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FINAL SHEET" sheetId="21" r:id="rId1"/>
    <sheet name="Summary" sheetId="17" r:id="rId2"/>
    <sheet name="Spitting Plant" sheetId="2" r:id="rId3"/>
    <sheet name="Tankform &amp; RW tank" sheetId="6" r:id="rId4"/>
    <sheet name="Sweet Water Plant" sheetId="7" r:id="rId5"/>
    <sheet name="ETP" sheetId="8" r:id="rId6"/>
    <sheet name="DM,RO &amp;Fire water" sheetId="9" r:id="rId7"/>
    <sheet name="Soft water " sheetId="10" r:id="rId8"/>
    <sheet name="FO Storage " sheetId="11" r:id="rId9"/>
    <sheet name="MP HP Boiler" sheetId="12" r:id="rId10"/>
    <sheet name="CPP" sheetId="13" r:id="rId11"/>
    <sheet name="Cooling Towers" sheetId="14" r:id="rId12"/>
    <sheet name="Piperack" sheetId="15" r:id="rId13"/>
    <sheet name="Office Buildings" sheetId="16" r:id="rId14"/>
    <sheet name="WB" sheetId="18" r:id="rId15"/>
    <sheet name="Road" sheetId="19" r:id="rId16"/>
    <sheet name="drainage" sheetId="20" r:id="rId17"/>
  </sheets>
  <calcPr calcId="145621"/>
</workbook>
</file>

<file path=xl/calcChain.xml><?xml version="1.0" encoding="utf-8"?>
<calcChain xmlns="http://schemas.openxmlformats.org/spreadsheetml/2006/main">
  <c r="F22" i="21" l="1"/>
  <c r="E22" i="21"/>
  <c r="D22" i="21"/>
  <c r="E21" i="21"/>
  <c r="E20" i="21"/>
  <c r="E19" i="21"/>
  <c r="E18" i="21"/>
  <c r="E17" i="21"/>
  <c r="E16" i="21"/>
  <c r="E15" i="21"/>
  <c r="E14" i="21"/>
  <c r="E13" i="21"/>
  <c r="F21" i="21"/>
  <c r="F20" i="21"/>
  <c r="F19" i="21"/>
  <c r="F18" i="21"/>
  <c r="F17" i="21"/>
  <c r="F16" i="21"/>
  <c r="F15" i="21"/>
  <c r="F14" i="21"/>
  <c r="F13" i="21"/>
  <c r="D13" i="21"/>
  <c r="D14" i="21"/>
  <c r="D15" i="21"/>
  <c r="D16" i="21"/>
  <c r="D17" i="21"/>
  <c r="D18" i="21"/>
  <c r="D19" i="21"/>
  <c r="D20" i="21"/>
  <c r="D21" i="21"/>
  <c r="D12" i="21"/>
  <c r="F12" i="21" s="1"/>
  <c r="E12" i="21" s="1"/>
  <c r="D11" i="21"/>
  <c r="F11" i="21" s="1"/>
  <c r="E11" i="21" s="1"/>
  <c r="D10" i="21"/>
  <c r="F10" i="21" s="1"/>
  <c r="E10" i="21" s="1"/>
  <c r="D9" i="21"/>
  <c r="F9" i="21" s="1"/>
  <c r="E9" i="21" s="1"/>
  <c r="D8" i="21"/>
  <c r="F8" i="21" s="1"/>
  <c r="E8" i="21" s="1"/>
  <c r="D7" i="21"/>
  <c r="F7" i="21" s="1"/>
  <c r="E7" i="21" s="1"/>
  <c r="F12" i="2" l="1"/>
  <c r="D4" i="20" l="1"/>
  <c r="C10" i="20"/>
  <c r="F10" i="20" s="1"/>
  <c r="I10" i="20" s="1"/>
  <c r="C8" i="20"/>
  <c r="F8" i="20" s="1"/>
  <c r="C7" i="20"/>
  <c r="C6" i="20"/>
  <c r="C5" i="20"/>
  <c r="C4" i="20"/>
  <c r="F7" i="20"/>
  <c r="I7" i="20" s="1"/>
  <c r="F6" i="20"/>
  <c r="I6" i="20" s="1"/>
  <c r="F5" i="20"/>
  <c r="I5" i="20" s="1"/>
  <c r="E4" i="20"/>
  <c r="F4" i="20"/>
  <c r="C17" i="17"/>
  <c r="D22" i="19"/>
  <c r="G22" i="19" s="1"/>
  <c r="J22" i="19" s="1"/>
  <c r="D21" i="19"/>
  <c r="G21" i="19" s="1"/>
  <c r="J21" i="19" s="1"/>
  <c r="D20" i="19"/>
  <c r="G20" i="19" s="1"/>
  <c r="J20" i="19" s="1"/>
  <c r="G19" i="19"/>
  <c r="J19" i="19" s="1"/>
  <c r="D19" i="19"/>
  <c r="I18" i="19"/>
  <c r="D18" i="19"/>
  <c r="G18" i="19" s="1"/>
  <c r="G17" i="19"/>
  <c r="D4" i="19"/>
  <c r="D5" i="19"/>
  <c r="D6" i="19"/>
  <c r="D7" i="19"/>
  <c r="D8" i="19"/>
  <c r="D9" i="19"/>
  <c r="D10" i="19"/>
  <c r="D11" i="19"/>
  <c r="D12" i="19"/>
  <c r="D3" i="19"/>
  <c r="D13" i="19" s="1"/>
  <c r="I4" i="20" l="1"/>
  <c r="I8" i="20"/>
  <c r="D9" i="20"/>
  <c r="F9" i="20" s="1"/>
  <c r="I9" i="20" s="1"/>
  <c r="J18" i="19"/>
  <c r="J17" i="19"/>
  <c r="I180" i="12"/>
  <c r="I11" i="20" l="1"/>
  <c r="C18" i="17" s="1"/>
  <c r="J23" i="19"/>
  <c r="C8" i="18"/>
  <c r="G8" i="18" s="1"/>
  <c r="J8" i="18" s="1"/>
  <c r="C7" i="18"/>
  <c r="G7" i="18" s="1"/>
  <c r="J7" i="18" s="1"/>
  <c r="G6" i="18"/>
  <c r="J6" i="18" s="1"/>
  <c r="G5" i="18"/>
  <c r="J5" i="18" s="1"/>
  <c r="G4" i="18"/>
  <c r="J4" i="18" s="1"/>
  <c r="J17" i="18"/>
  <c r="J15" i="18"/>
  <c r="J14" i="18"/>
  <c r="G13" i="18"/>
  <c r="J13" i="18" s="1"/>
  <c r="J12" i="18"/>
  <c r="G11" i="18"/>
  <c r="J11" i="18" s="1"/>
  <c r="G10" i="18"/>
  <c r="G9" i="18"/>
  <c r="J9" i="18" s="1"/>
  <c r="J10" i="18" l="1"/>
  <c r="J18" i="18" s="1"/>
  <c r="K18" i="18" s="1"/>
  <c r="C16" i="17" s="1"/>
  <c r="G16" i="18"/>
  <c r="J16" i="18" s="1"/>
  <c r="J5" i="15" l="1"/>
  <c r="J8" i="15"/>
  <c r="J9" i="15"/>
  <c r="J10" i="15"/>
  <c r="J11" i="15"/>
  <c r="J12" i="15"/>
  <c r="J13" i="15"/>
  <c r="J14" i="15"/>
  <c r="J15" i="15"/>
  <c r="J16" i="15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10" i="14"/>
  <c r="G37" i="13"/>
  <c r="J37" i="13" s="1"/>
  <c r="G38" i="13"/>
  <c r="J38" i="13" s="1"/>
  <c r="G39" i="13"/>
  <c r="J39" i="13" s="1"/>
  <c r="G36" i="13"/>
  <c r="J36" i="13" s="1"/>
  <c r="I211" i="12"/>
  <c r="I172" i="12"/>
  <c r="K43" i="9"/>
  <c r="J43" i="9"/>
  <c r="J13" i="16"/>
  <c r="G14" i="16"/>
  <c r="J14" i="16" s="1"/>
  <c r="G12" i="16"/>
  <c r="J12" i="16" s="1"/>
  <c r="G13" i="16"/>
  <c r="G15" i="16"/>
  <c r="J15" i="16" s="1"/>
  <c r="C8" i="16"/>
  <c r="G8" i="16" s="1"/>
  <c r="J8" i="16" s="1"/>
  <c r="C7" i="16"/>
  <c r="G7" i="16" s="1"/>
  <c r="J7" i="16" s="1"/>
  <c r="G6" i="16"/>
  <c r="J6" i="16" s="1"/>
  <c r="G5" i="16"/>
  <c r="J5" i="16" s="1"/>
  <c r="G4" i="16"/>
  <c r="J4" i="16" s="1"/>
  <c r="C8" i="15"/>
  <c r="G8" i="15" s="1"/>
  <c r="C7" i="15"/>
  <c r="G7" i="15" s="1"/>
  <c r="J7" i="15" s="1"/>
  <c r="G6" i="15"/>
  <c r="J6" i="15" s="1"/>
  <c r="G5" i="15"/>
  <c r="J4" i="15"/>
  <c r="G4" i="15"/>
  <c r="G11" i="16"/>
  <c r="J11" i="16" s="1"/>
  <c r="G10" i="16"/>
  <c r="J10" i="16" s="1"/>
  <c r="G15" i="15"/>
  <c r="G14" i="15"/>
  <c r="C11" i="15"/>
  <c r="G11" i="15"/>
  <c r="G10" i="15"/>
  <c r="J16" i="16" l="1"/>
  <c r="C15" i="17" s="1"/>
  <c r="E16" i="15"/>
  <c r="G16" i="15" s="1"/>
  <c r="E12" i="15"/>
  <c r="G12" i="15" s="1"/>
  <c r="G282" i="6"/>
  <c r="J282" i="6" s="1"/>
  <c r="G277" i="6"/>
  <c r="F276" i="6"/>
  <c r="G276" i="6" s="1"/>
  <c r="F275" i="6"/>
  <c r="C275" i="6"/>
  <c r="F274" i="6"/>
  <c r="E273" i="6"/>
  <c r="D273" i="6"/>
  <c r="D275" i="6" s="1"/>
  <c r="C273" i="6"/>
  <c r="C271" i="6"/>
  <c r="G271" i="6" s="1"/>
  <c r="J271" i="6" s="1"/>
  <c r="C270" i="6"/>
  <c r="G270" i="6" s="1"/>
  <c r="J270" i="6" s="1"/>
  <c r="G269" i="6"/>
  <c r="J269" i="6" s="1"/>
  <c r="I267" i="6"/>
  <c r="G266" i="6"/>
  <c r="J266" i="6" s="1"/>
  <c r="F261" i="6"/>
  <c r="G261" i="6" s="1"/>
  <c r="G262" i="6" s="1"/>
  <c r="J262" i="6" s="1"/>
  <c r="F260" i="6"/>
  <c r="D260" i="6"/>
  <c r="F259" i="6"/>
  <c r="D259" i="6"/>
  <c r="C259" i="6"/>
  <c r="C260" i="6" s="1"/>
  <c r="G258" i="6"/>
  <c r="J258" i="6" s="1"/>
  <c r="G247" i="6"/>
  <c r="J247" i="6" s="1"/>
  <c r="G246" i="6"/>
  <c r="J246" i="6" s="1"/>
  <c r="G245" i="6"/>
  <c r="J245" i="6" s="1"/>
  <c r="D255" i="6"/>
  <c r="G255" i="6" s="1"/>
  <c r="J255" i="6" s="1"/>
  <c r="I264" i="6"/>
  <c r="E251" i="6"/>
  <c r="G251" i="6" s="1"/>
  <c r="E253" i="6" s="1"/>
  <c r="G253" i="6" s="1"/>
  <c r="F249" i="6"/>
  <c r="D249" i="6"/>
  <c r="E254" i="6" s="1"/>
  <c r="G254" i="6" s="1"/>
  <c r="G39" i="14"/>
  <c r="F34" i="14"/>
  <c r="G34" i="14" s="1"/>
  <c r="G35" i="14" s="1"/>
  <c r="F33" i="14"/>
  <c r="G33" i="14" s="1"/>
  <c r="F32" i="14"/>
  <c r="G32" i="14" s="1"/>
  <c r="G30" i="14"/>
  <c r="G31" i="14" s="1"/>
  <c r="C7" i="14"/>
  <c r="G7" i="14" s="1"/>
  <c r="J7" i="14" s="1"/>
  <c r="C6" i="14"/>
  <c r="G6" i="14" s="1"/>
  <c r="J6" i="14" s="1"/>
  <c r="G5" i="14"/>
  <c r="J5" i="14" s="1"/>
  <c r="G4" i="14"/>
  <c r="J4" i="14" s="1"/>
  <c r="G3" i="14"/>
  <c r="J3" i="14" s="1"/>
  <c r="J41" i="14" s="1"/>
  <c r="C13" i="17" s="1"/>
  <c r="G26" i="14"/>
  <c r="G25" i="14"/>
  <c r="G24" i="14"/>
  <c r="G20" i="14"/>
  <c r="G19" i="14"/>
  <c r="G18" i="14"/>
  <c r="G15" i="14"/>
  <c r="G12" i="14"/>
  <c r="G13" i="14" s="1"/>
  <c r="F9" i="14"/>
  <c r="G9" i="14" s="1"/>
  <c r="F283" i="6" l="1"/>
  <c r="G283" i="6" s="1"/>
  <c r="J283" i="6" s="1"/>
  <c r="G278" i="6"/>
  <c r="J278" i="6" s="1"/>
  <c r="J17" i="15"/>
  <c r="C14" i="17" s="1"/>
  <c r="G274" i="6"/>
  <c r="J274" i="6" s="1"/>
  <c r="G273" i="6"/>
  <c r="J273" i="6" s="1"/>
  <c r="D274" i="6"/>
  <c r="G275" i="6"/>
  <c r="J275" i="6" s="1"/>
  <c r="J279" i="6"/>
  <c r="C280" i="6"/>
  <c r="G280" i="6" s="1"/>
  <c r="J280" i="6" s="1"/>
  <c r="C279" i="6"/>
  <c r="G279" i="6" s="1"/>
  <c r="J253" i="6"/>
  <c r="G260" i="6"/>
  <c r="J260" i="6" s="1"/>
  <c r="E249" i="6"/>
  <c r="E256" i="6" s="1"/>
  <c r="G259" i="6"/>
  <c r="J267" i="6"/>
  <c r="C264" i="6"/>
  <c r="G264" i="6" s="1"/>
  <c r="J264" i="6" s="1"/>
  <c r="C263" i="6"/>
  <c r="G263" i="6" s="1"/>
  <c r="J263" i="6" s="1"/>
  <c r="F267" i="6"/>
  <c r="G267" i="6" s="1"/>
  <c r="J254" i="6"/>
  <c r="D256" i="6"/>
  <c r="G256" i="6" s="1"/>
  <c r="J256" i="6" s="1"/>
  <c r="J251" i="6"/>
  <c r="E252" i="6"/>
  <c r="G252" i="6" s="1"/>
  <c r="C36" i="14"/>
  <c r="G36" i="14" s="1"/>
  <c r="C37" i="14"/>
  <c r="G37" i="14" s="1"/>
  <c r="C38" i="14"/>
  <c r="G38" i="14" s="1"/>
  <c r="F40" i="14"/>
  <c r="G40" i="14" s="1"/>
  <c r="G21" i="14"/>
  <c r="D22" i="14" s="1"/>
  <c r="G22" i="14" s="1"/>
  <c r="G27" i="14"/>
  <c r="G10" i="14"/>
  <c r="G16" i="14"/>
  <c r="C281" i="6" l="1"/>
  <c r="G281" i="6" s="1"/>
  <c r="J281" i="6" s="1"/>
  <c r="C265" i="6"/>
  <c r="G265" i="6" s="1"/>
  <c r="J265" i="6" s="1"/>
  <c r="G249" i="6"/>
  <c r="G250" i="6" s="1"/>
  <c r="J250" i="6" s="1"/>
  <c r="J259" i="6"/>
  <c r="G28" i="14"/>
  <c r="J249" i="6" l="1"/>
  <c r="D157" i="13" l="1"/>
  <c r="G154" i="13"/>
  <c r="J154" i="13" s="1"/>
  <c r="F149" i="13"/>
  <c r="G149" i="13" s="1"/>
  <c r="G150" i="13" s="1"/>
  <c r="F148" i="13"/>
  <c r="D148" i="13"/>
  <c r="C148" i="13"/>
  <c r="F147" i="13"/>
  <c r="D147" i="13"/>
  <c r="G146" i="13"/>
  <c r="G143" i="13"/>
  <c r="J143" i="13" s="1"/>
  <c r="I139" i="13"/>
  <c r="I150" i="13" s="1"/>
  <c r="F138" i="13"/>
  <c r="G138" i="13" s="1"/>
  <c r="G139" i="13" s="1"/>
  <c r="I148" i="13"/>
  <c r="F137" i="13"/>
  <c r="D137" i="13"/>
  <c r="C137" i="13"/>
  <c r="F136" i="13"/>
  <c r="G136" i="13" s="1"/>
  <c r="J136" i="13" s="1"/>
  <c r="D136" i="13"/>
  <c r="G135" i="13"/>
  <c r="J128" i="13"/>
  <c r="G128" i="13"/>
  <c r="E127" i="13"/>
  <c r="G127" i="13" s="1"/>
  <c r="D125" i="13"/>
  <c r="D133" i="13" s="1"/>
  <c r="G132" i="13"/>
  <c r="J132" i="13" s="1"/>
  <c r="I153" i="13"/>
  <c r="I141" i="13"/>
  <c r="I152" i="13" s="1"/>
  <c r="F125" i="13"/>
  <c r="G121" i="13"/>
  <c r="J121" i="13" s="1"/>
  <c r="F116" i="13"/>
  <c r="G116" i="13" s="1"/>
  <c r="G117" i="13" s="1"/>
  <c r="F115" i="13"/>
  <c r="D115" i="13"/>
  <c r="C115" i="13"/>
  <c r="F114" i="13"/>
  <c r="D114" i="13"/>
  <c r="G113" i="13"/>
  <c r="G104" i="13"/>
  <c r="G105" i="13"/>
  <c r="G110" i="13"/>
  <c r="J110" i="13" s="1"/>
  <c r="F103" i="13"/>
  <c r="G103" i="13" s="1"/>
  <c r="F102" i="13"/>
  <c r="D102" i="13"/>
  <c r="C102" i="13"/>
  <c r="F101" i="13"/>
  <c r="D101" i="13"/>
  <c r="G100" i="13"/>
  <c r="G97" i="13"/>
  <c r="J97" i="13" s="1"/>
  <c r="F92" i="13"/>
  <c r="G92" i="13" s="1"/>
  <c r="G93" i="13" s="1"/>
  <c r="I102" i="13"/>
  <c r="I151" i="13" s="1"/>
  <c r="F91" i="13"/>
  <c r="D91" i="13"/>
  <c r="C91" i="13"/>
  <c r="F90" i="13"/>
  <c r="D90" i="13"/>
  <c r="G89" i="13"/>
  <c r="G81" i="13"/>
  <c r="G86" i="13"/>
  <c r="F87" i="13" s="1"/>
  <c r="G87" i="13" s="1"/>
  <c r="J87" i="13" s="1"/>
  <c r="I96" i="13"/>
  <c r="I109" i="13" s="1"/>
  <c r="I120" i="13" s="1"/>
  <c r="F80" i="13"/>
  <c r="G80" i="13" s="1"/>
  <c r="F79" i="13"/>
  <c r="D79" i="13"/>
  <c r="C79" i="13"/>
  <c r="F78" i="13"/>
  <c r="D78" i="13"/>
  <c r="I89" i="13"/>
  <c r="G77" i="13"/>
  <c r="E69" i="13"/>
  <c r="D67" i="13"/>
  <c r="D74" i="13" s="1"/>
  <c r="G73" i="13"/>
  <c r="J73" i="13" s="1"/>
  <c r="I95" i="13"/>
  <c r="I108" i="13" s="1"/>
  <c r="I119" i="13" s="1"/>
  <c r="I94" i="13"/>
  <c r="I107" i="13" s="1"/>
  <c r="I118" i="13" s="1"/>
  <c r="I93" i="13"/>
  <c r="I106" i="13" s="1"/>
  <c r="I117" i="13" s="1"/>
  <c r="G69" i="13"/>
  <c r="F67" i="13"/>
  <c r="C65" i="13"/>
  <c r="G65" i="13" s="1"/>
  <c r="J65" i="13" s="1"/>
  <c r="C64" i="13"/>
  <c r="G64" i="13" s="1"/>
  <c r="J64" i="13" s="1"/>
  <c r="G63" i="13"/>
  <c r="J63" i="13" s="1"/>
  <c r="G62" i="13"/>
  <c r="J62" i="13" s="1"/>
  <c r="G61" i="13"/>
  <c r="J61" i="13" s="1"/>
  <c r="F111" i="13" l="1"/>
  <c r="G111" i="13" s="1"/>
  <c r="J111" i="13" s="1"/>
  <c r="G106" i="13"/>
  <c r="G102" i="13"/>
  <c r="C109" i="13" s="1"/>
  <c r="G109" i="13" s="1"/>
  <c r="J109" i="13" s="1"/>
  <c r="G114" i="13"/>
  <c r="J114" i="13" s="1"/>
  <c r="G82" i="13"/>
  <c r="C83" i="13" s="1"/>
  <c r="G83" i="13" s="1"/>
  <c r="J83" i="13" s="1"/>
  <c r="G101" i="13"/>
  <c r="J101" i="13" s="1"/>
  <c r="J113" i="13"/>
  <c r="G148" i="13"/>
  <c r="J148" i="13" s="1"/>
  <c r="F155" i="13"/>
  <c r="G155" i="13" s="1"/>
  <c r="J155" i="13" s="1"/>
  <c r="G115" i="13"/>
  <c r="J115" i="13" s="1"/>
  <c r="G137" i="13"/>
  <c r="J137" i="13" s="1"/>
  <c r="F144" i="13"/>
  <c r="G144" i="13" s="1"/>
  <c r="J144" i="13" s="1"/>
  <c r="G147" i="13"/>
  <c r="J147" i="13" s="1"/>
  <c r="J146" i="13"/>
  <c r="C152" i="13"/>
  <c r="G152" i="13" s="1"/>
  <c r="J152" i="13" s="1"/>
  <c r="C151" i="13"/>
  <c r="G151" i="13" s="1"/>
  <c r="J151" i="13" s="1"/>
  <c r="J150" i="13"/>
  <c r="J135" i="13"/>
  <c r="C141" i="13"/>
  <c r="G141" i="13" s="1"/>
  <c r="J141" i="13" s="1"/>
  <c r="C140" i="13"/>
  <c r="G140" i="13" s="1"/>
  <c r="J140" i="13" s="1"/>
  <c r="J139" i="13"/>
  <c r="E125" i="13"/>
  <c r="E133" i="13" s="1"/>
  <c r="G133" i="13" s="1"/>
  <c r="J133" i="13" s="1"/>
  <c r="E130" i="13"/>
  <c r="G130" i="13" s="1"/>
  <c r="J130" i="13" s="1"/>
  <c r="J127" i="13"/>
  <c r="E129" i="13"/>
  <c r="G129" i="13" s="1"/>
  <c r="J129" i="13" s="1"/>
  <c r="E131" i="13"/>
  <c r="G131" i="13" s="1"/>
  <c r="J131" i="13" s="1"/>
  <c r="F122" i="13"/>
  <c r="G122" i="13" s="1"/>
  <c r="J122" i="13" s="1"/>
  <c r="C119" i="13"/>
  <c r="G119" i="13" s="1"/>
  <c r="J119" i="13" s="1"/>
  <c r="C118" i="13"/>
  <c r="G118" i="13" s="1"/>
  <c r="J118" i="13" s="1"/>
  <c r="J117" i="13"/>
  <c r="J100" i="13"/>
  <c r="C108" i="13"/>
  <c r="G108" i="13" s="1"/>
  <c r="J108" i="13" s="1"/>
  <c r="C107" i="13"/>
  <c r="G107" i="13" s="1"/>
  <c r="J107" i="13" s="1"/>
  <c r="J106" i="13"/>
  <c r="G78" i="13"/>
  <c r="J78" i="13" s="1"/>
  <c r="G91" i="13"/>
  <c r="J91" i="13" s="1"/>
  <c r="F98" i="13"/>
  <c r="G98" i="13" s="1"/>
  <c r="J98" i="13" s="1"/>
  <c r="G90" i="13"/>
  <c r="J90" i="13" s="1"/>
  <c r="J93" i="13"/>
  <c r="J89" i="13"/>
  <c r="C95" i="13"/>
  <c r="G95" i="13" s="1"/>
  <c r="J95" i="13" s="1"/>
  <c r="C94" i="13"/>
  <c r="G94" i="13" s="1"/>
  <c r="J94" i="13" s="1"/>
  <c r="G79" i="13"/>
  <c r="J79" i="13" s="1"/>
  <c r="J77" i="13"/>
  <c r="J86" i="13"/>
  <c r="J69" i="13"/>
  <c r="E71" i="13"/>
  <c r="G71" i="13" s="1"/>
  <c r="J71" i="13" s="1"/>
  <c r="E70" i="13"/>
  <c r="G70" i="13" s="1"/>
  <c r="J70" i="13" s="1"/>
  <c r="E72" i="13"/>
  <c r="G72" i="13" s="1"/>
  <c r="J72" i="13" s="1"/>
  <c r="E67" i="13"/>
  <c r="D55" i="13"/>
  <c r="E55" i="13" s="1"/>
  <c r="D54" i="13"/>
  <c r="E54" i="13" s="1"/>
  <c r="D53" i="13"/>
  <c r="E53" i="13" s="1"/>
  <c r="D52" i="13"/>
  <c r="E52" i="13" s="1"/>
  <c r="D51" i="13"/>
  <c r="E51" i="13" s="1"/>
  <c r="E46" i="13"/>
  <c r="E41" i="13"/>
  <c r="D160" i="13"/>
  <c r="G160" i="13" s="1"/>
  <c r="J160" i="13" s="1"/>
  <c r="G34" i="13"/>
  <c r="F35" i="13" s="1"/>
  <c r="G35" i="13" s="1"/>
  <c r="F29" i="13"/>
  <c r="G29" i="13" s="1"/>
  <c r="G30" i="13" s="1"/>
  <c r="F28" i="13"/>
  <c r="G28" i="13" s="1"/>
  <c r="J28" i="13" s="1"/>
  <c r="F27" i="13"/>
  <c r="G27" i="13" s="1"/>
  <c r="J27" i="13" s="1"/>
  <c r="G25" i="13"/>
  <c r="O22" i="13"/>
  <c r="E22" i="13"/>
  <c r="F17" i="13"/>
  <c r="F19" i="13" s="1"/>
  <c r="E17" i="13"/>
  <c r="D17" i="13"/>
  <c r="C17" i="13"/>
  <c r="C19" i="13" s="1"/>
  <c r="C22" i="13" s="1"/>
  <c r="G22" i="13" s="1"/>
  <c r="J22" i="13" s="1"/>
  <c r="E16" i="13"/>
  <c r="D16" i="13"/>
  <c r="C16" i="13"/>
  <c r="E14" i="13"/>
  <c r="D14" i="13"/>
  <c r="C14" i="13"/>
  <c r="E12" i="13"/>
  <c r="D12" i="13"/>
  <c r="C12" i="13"/>
  <c r="F10" i="13"/>
  <c r="E10" i="13"/>
  <c r="D10" i="13"/>
  <c r="C10" i="13"/>
  <c r="P7" i="13"/>
  <c r="C7" i="13" s="1"/>
  <c r="G6" i="13"/>
  <c r="J6" i="13" s="1"/>
  <c r="J102" i="13" l="1"/>
  <c r="C84" i="13"/>
  <c r="G84" i="13" s="1"/>
  <c r="J84" i="13" s="1"/>
  <c r="C96" i="13"/>
  <c r="G96" i="13" s="1"/>
  <c r="J96" i="13" s="1"/>
  <c r="J82" i="13"/>
  <c r="C120" i="13"/>
  <c r="G120" i="13" s="1"/>
  <c r="J120" i="13" s="1"/>
  <c r="G125" i="13"/>
  <c r="J125" i="13" s="1"/>
  <c r="C142" i="13"/>
  <c r="G142" i="13" s="1"/>
  <c r="J142" i="13" s="1"/>
  <c r="C153" i="13"/>
  <c r="G153" i="13" s="1"/>
  <c r="J153" i="13" s="1"/>
  <c r="E49" i="13"/>
  <c r="G49" i="13" s="1"/>
  <c r="J49" i="13" s="1"/>
  <c r="E56" i="13"/>
  <c r="C85" i="13"/>
  <c r="G85" i="13" s="1"/>
  <c r="J85" i="13" s="1"/>
  <c r="G67" i="13"/>
  <c r="E74" i="13"/>
  <c r="G74" i="13" s="1"/>
  <c r="J74" i="13" s="1"/>
  <c r="E47" i="13"/>
  <c r="G47" i="13" s="1"/>
  <c r="J47" i="13" s="1"/>
  <c r="E44" i="13"/>
  <c r="G44" i="13" s="1"/>
  <c r="J44" i="13" s="1"/>
  <c r="J35" i="13"/>
  <c r="E42" i="13"/>
  <c r="G42" i="13" s="1"/>
  <c r="J34" i="13"/>
  <c r="C33" i="13"/>
  <c r="G33" i="13" s="1"/>
  <c r="J33" i="13" s="1"/>
  <c r="G16" i="13"/>
  <c r="J16" i="13" s="1"/>
  <c r="D159" i="13"/>
  <c r="G159" i="13" s="1"/>
  <c r="J159" i="13" s="1"/>
  <c r="G10" i="13"/>
  <c r="G12" i="13"/>
  <c r="G13" i="13" s="1"/>
  <c r="J13" i="13" s="1"/>
  <c r="G17" i="13"/>
  <c r="C31" i="13"/>
  <c r="G31" i="13" s="1"/>
  <c r="J31" i="13" s="1"/>
  <c r="J30" i="13"/>
  <c r="C32" i="13"/>
  <c r="G32" i="13" s="1"/>
  <c r="J32" i="13" s="1"/>
  <c r="D19" i="13"/>
  <c r="G19" i="13" s="1"/>
  <c r="C8" i="13"/>
  <c r="G7" i="13"/>
  <c r="J7" i="13" s="1"/>
  <c r="G14" i="13"/>
  <c r="G26" i="13"/>
  <c r="J26" i="13" s="1"/>
  <c r="J25" i="13"/>
  <c r="D161" i="13"/>
  <c r="G161" i="13" s="1"/>
  <c r="G157" i="13"/>
  <c r="G232" i="12"/>
  <c r="G231" i="12"/>
  <c r="D228" i="12"/>
  <c r="G228" i="12" s="1"/>
  <c r="D227" i="12"/>
  <c r="C227" i="12"/>
  <c r="E222" i="12"/>
  <c r="G222" i="12" s="1"/>
  <c r="E217" i="12"/>
  <c r="E220" i="12"/>
  <c r="G220" i="12" s="1"/>
  <c r="D223" i="12"/>
  <c r="G223" i="12" s="1"/>
  <c r="J223" i="12" s="1"/>
  <c r="E215" i="12"/>
  <c r="G215" i="12" s="1"/>
  <c r="D218" i="12"/>
  <c r="G218" i="12" s="1"/>
  <c r="J218" i="12" s="1"/>
  <c r="G213" i="12"/>
  <c r="J213" i="12" s="1"/>
  <c r="G212" i="12"/>
  <c r="J212" i="12" s="1"/>
  <c r="E210" i="12"/>
  <c r="G210" i="12" s="1"/>
  <c r="J210" i="12" s="1"/>
  <c r="E207" i="12"/>
  <c r="G204" i="12"/>
  <c r="J204" i="12" s="1"/>
  <c r="G200" i="12"/>
  <c r="G201" i="12" s="1"/>
  <c r="G197" i="12"/>
  <c r="F198" i="12" s="1"/>
  <c r="G198" i="12" s="1"/>
  <c r="J198" i="12" s="1"/>
  <c r="G193" i="12"/>
  <c r="G192" i="12"/>
  <c r="G182" i="12"/>
  <c r="J182" i="12" s="1"/>
  <c r="G183" i="12"/>
  <c r="J183" i="12" s="1"/>
  <c r="E171" i="12"/>
  <c r="G171" i="12" s="1"/>
  <c r="J171" i="12" s="1"/>
  <c r="E168" i="12"/>
  <c r="E170" i="12" s="1"/>
  <c r="G170" i="12" s="1"/>
  <c r="J170" i="12" s="1"/>
  <c r="D147" i="12"/>
  <c r="D149" i="12" s="1"/>
  <c r="E142" i="12"/>
  <c r="E144" i="12" s="1"/>
  <c r="E145" i="12" s="1"/>
  <c r="E146" i="12" s="1"/>
  <c r="D142" i="12"/>
  <c r="D144" i="12" s="1"/>
  <c r="D146" i="12" s="1"/>
  <c r="D134" i="12"/>
  <c r="D137" i="12" s="1"/>
  <c r="G137" i="12" s="1"/>
  <c r="G189" i="12"/>
  <c r="J189" i="12" s="1"/>
  <c r="G185" i="12"/>
  <c r="G186" i="12" s="1"/>
  <c r="G130" i="12"/>
  <c r="J130" i="12" s="1"/>
  <c r="F125" i="12"/>
  <c r="G125" i="12" s="1"/>
  <c r="G126" i="12" s="1"/>
  <c r="F124" i="12"/>
  <c r="C124" i="12"/>
  <c r="F123" i="12"/>
  <c r="E122" i="12"/>
  <c r="D122" i="12"/>
  <c r="D123" i="12" s="1"/>
  <c r="C122" i="12"/>
  <c r="G114" i="12"/>
  <c r="G119" i="12"/>
  <c r="F120" i="12" s="1"/>
  <c r="G120" i="12" s="1"/>
  <c r="J120" i="12" s="1"/>
  <c r="F113" i="12"/>
  <c r="G113" i="12" s="1"/>
  <c r="F112" i="12"/>
  <c r="C112" i="12"/>
  <c r="F111" i="12"/>
  <c r="I122" i="12"/>
  <c r="E110" i="12"/>
  <c r="D110" i="12"/>
  <c r="D111" i="12" s="1"/>
  <c r="C110" i="12"/>
  <c r="G107" i="12"/>
  <c r="F108" i="12" s="1"/>
  <c r="G108" i="12" s="1"/>
  <c r="J108" i="12" s="1"/>
  <c r="I118" i="12"/>
  <c r="I129" i="12" s="1"/>
  <c r="F102" i="12"/>
  <c r="G102" i="12" s="1"/>
  <c r="G103" i="12" s="1"/>
  <c r="I112" i="12"/>
  <c r="F101" i="12"/>
  <c r="C101" i="12"/>
  <c r="F100" i="12"/>
  <c r="E99" i="12"/>
  <c r="D99" i="12"/>
  <c r="D100" i="12" s="1"/>
  <c r="C99" i="12"/>
  <c r="G95" i="12"/>
  <c r="J95" i="12" s="1"/>
  <c r="I117" i="12"/>
  <c r="I128" i="12" s="1"/>
  <c r="I188" i="12" s="1"/>
  <c r="F90" i="12"/>
  <c r="G90" i="12" s="1"/>
  <c r="G91" i="12" s="1"/>
  <c r="F89" i="12"/>
  <c r="C89" i="12"/>
  <c r="F88" i="12"/>
  <c r="E87" i="12"/>
  <c r="D87" i="12"/>
  <c r="D88" i="12" s="1"/>
  <c r="C87" i="12"/>
  <c r="E75" i="12"/>
  <c r="D75" i="12"/>
  <c r="D77" i="12" s="1"/>
  <c r="C75" i="12"/>
  <c r="G83" i="12"/>
  <c r="J83" i="12" s="1"/>
  <c r="I82" i="12"/>
  <c r="I116" i="12" s="1"/>
  <c r="I127" i="12" s="1"/>
  <c r="I187" i="12" s="1"/>
  <c r="F78" i="12"/>
  <c r="G78" i="12" s="1"/>
  <c r="G79" i="12" s="1"/>
  <c r="F77" i="12"/>
  <c r="C77" i="12"/>
  <c r="F76" i="12"/>
  <c r="I87" i="12"/>
  <c r="D71" i="12"/>
  <c r="G71" i="12" s="1"/>
  <c r="J71" i="12" s="1"/>
  <c r="D65" i="12"/>
  <c r="D72" i="12" s="1"/>
  <c r="I115" i="12"/>
  <c r="I126" i="12" s="1"/>
  <c r="I186" i="12" s="1"/>
  <c r="I194" i="12" s="1"/>
  <c r="E67" i="12"/>
  <c r="G67" i="12" s="1"/>
  <c r="F65" i="12"/>
  <c r="G61" i="12"/>
  <c r="J61" i="12" s="1"/>
  <c r="I60" i="12"/>
  <c r="F56" i="12"/>
  <c r="G56" i="12" s="1"/>
  <c r="G57" i="12" s="1"/>
  <c r="F55" i="12"/>
  <c r="D55" i="12"/>
  <c r="C55" i="12"/>
  <c r="F54" i="12"/>
  <c r="D54" i="12"/>
  <c r="G53" i="12"/>
  <c r="D43" i="12"/>
  <c r="E48" i="12" s="1"/>
  <c r="G48" i="12" s="1"/>
  <c r="E225" i="12"/>
  <c r="E226" i="12" s="1"/>
  <c r="G226" i="12" s="1"/>
  <c r="J181" i="12"/>
  <c r="G180" i="12"/>
  <c r="D179" i="12"/>
  <c r="G179" i="12" s="1"/>
  <c r="J179" i="12" s="1"/>
  <c r="G178" i="12"/>
  <c r="J178" i="12" s="1"/>
  <c r="D177" i="12"/>
  <c r="G177" i="12" s="1"/>
  <c r="I176" i="12"/>
  <c r="G175" i="12"/>
  <c r="E176" i="12" s="1"/>
  <c r="G176" i="12" s="1"/>
  <c r="G174" i="12"/>
  <c r="J174" i="12" s="1"/>
  <c r="J163" i="12"/>
  <c r="F157" i="12"/>
  <c r="E157" i="12"/>
  <c r="D165" i="12"/>
  <c r="G165" i="12" s="1"/>
  <c r="I154" i="12"/>
  <c r="G153" i="12"/>
  <c r="J151" i="12"/>
  <c r="C150" i="12"/>
  <c r="I149" i="12"/>
  <c r="I165" i="12" s="1"/>
  <c r="I177" i="12" s="1"/>
  <c r="C149" i="12"/>
  <c r="I148" i="12"/>
  <c r="I142" i="12"/>
  <c r="I157" i="12" s="1"/>
  <c r="F142" i="12"/>
  <c r="E147" i="12" s="1"/>
  <c r="E149" i="12" s="1"/>
  <c r="E150" i="12" s="1"/>
  <c r="D49" i="12"/>
  <c r="G49" i="12" s="1"/>
  <c r="J49" i="12" s="1"/>
  <c r="I46" i="12"/>
  <c r="E45" i="12"/>
  <c r="G45" i="12" s="1"/>
  <c r="E47" i="12" s="1"/>
  <c r="G47" i="12" s="1"/>
  <c r="F43" i="12"/>
  <c r="G38" i="12"/>
  <c r="J38" i="12" s="1"/>
  <c r="G37" i="12"/>
  <c r="J37" i="12" s="1"/>
  <c r="I58" i="12"/>
  <c r="I59" i="12"/>
  <c r="I31" i="12"/>
  <c r="E31" i="12"/>
  <c r="D31" i="12"/>
  <c r="C31" i="12"/>
  <c r="O30" i="12"/>
  <c r="E30" i="12"/>
  <c r="F27" i="12"/>
  <c r="D15" i="12"/>
  <c r="D18" i="12" s="1"/>
  <c r="C15" i="12"/>
  <c r="F23" i="12"/>
  <c r="D23" i="12"/>
  <c r="F22" i="12"/>
  <c r="E22" i="12"/>
  <c r="D22" i="12"/>
  <c r="C22" i="12"/>
  <c r="C26" i="12" s="1"/>
  <c r="F21" i="12"/>
  <c r="E21" i="12"/>
  <c r="D21" i="12"/>
  <c r="C21" i="12"/>
  <c r="C25" i="12" s="1"/>
  <c r="C30" i="12" s="1"/>
  <c r="E20" i="12"/>
  <c r="D20" i="12"/>
  <c r="C20" i="12"/>
  <c r="E18" i="12"/>
  <c r="E17" i="12"/>
  <c r="D17" i="12"/>
  <c r="C17" i="12"/>
  <c r="E15" i="12"/>
  <c r="E14" i="12"/>
  <c r="D14" i="12"/>
  <c r="C14" i="12"/>
  <c r="F12" i="12"/>
  <c r="G12" i="12" s="1"/>
  <c r="F11" i="12"/>
  <c r="E11" i="12"/>
  <c r="D11" i="12"/>
  <c r="C11" i="12"/>
  <c r="P8" i="12"/>
  <c r="C8" i="12" s="1"/>
  <c r="G7" i="12"/>
  <c r="J7" i="12" s="1"/>
  <c r="J123" i="11"/>
  <c r="K123" i="11"/>
  <c r="G124" i="11"/>
  <c r="J124" i="11" s="1"/>
  <c r="K124" i="11" s="1"/>
  <c r="D124" i="11"/>
  <c r="C126" i="11"/>
  <c r="C127" i="11" s="1"/>
  <c r="G127" i="11" s="1"/>
  <c r="J127" i="11" s="1"/>
  <c r="G131" i="11"/>
  <c r="J131" i="11" s="1"/>
  <c r="G129" i="11"/>
  <c r="J129" i="11" s="1"/>
  <c r="C128" i="11"/>
  <c r="C130" i="11" s="1"/>
  <c r="G130" i="11" s="1"/>
  <c r="J130" i="11" s="1"/>
  <c r="D120" i="11"/>
  <c r="G120" i="11" s="1"/>
  <c r="J120" i="11" s="1"/>
  <c r="D119" i="11"/>
  <c r="G119" i="11"/>
  <c r="J119" i="11" s="1"/>
  <c r="D111" i="11"/>
  <c r="D115" i="11" s="1"/>
  <c r="G115" i="11" s="1"/>
  <c r="C53" i="11"/>
  <c r="D86" i="11" s="1"/>
  <c r="G107" i="11"/>
  <c r="J107" i="11" s="1"/>
  <c r="I106" i="11"/>
  <c r="I105" i="11"/>
  <c r="I104" i="11"/>
  <c r="F102" i="11"/>
  <c r="G102" i="11" s="1"/>
  <c r="G103" i="11" s="1"/>
  <c r="I101" i="11"/>
  <c r="F101" i="11"/>
  <c r="D101" i="11"/>
  <c r="C101" i="11"/>
  <c r="F100" i="11"/>
  <c r="D100" i="11"/>
  <c r="G99" i="11"/>
  <c r="C90" i="11"/>
  <c r="F88" i="11"/>
  <c r="F87" i="11"/>
  <c r="F86" i="11"/>
  <c r="D81" i="11"/>
  <c r="E81" i="11" s="1"/>
  <c r="F79" i="11"/>
  <c r="F75" i="11"/>
  <c r="F73" i="11"/>
  <c r="C71" i="11"/>
  <c r="G71" i="11" s="1"/>
  <c r="J71" i="11" s="1"/>
  <c r="C70" i="11"/>
  <c r="G70" i="11" s="1"/>
  <c r="J70" i="11" s="1"/>
  <c r="J69" i="11"/>
  <c r="C69" i="11"/>
  <c r="G69" i="11" s="1"/>
  <c r="G68" i="11"/>
  <c r="J68" i="11" s="1"/>
  <c r="G67" i="11"/>
  <c r="J67" i="11" s="1"/>
  <c r="C61" i="11"/>
  <c r="E90" i="11" s="1"/>
  <c r="G90" i="11" s="1"/>
  <c r="J90" i="11" s="1"/>
  <c r="C58" i="11"/>
  <c r="C56" i="11"/>
  <c r="F85" i="11" s="1"/>
  <c r="C54" i="11"/>
  <c r="D94" i="11"/>
  <c r="E94" i="11" s="1"/>
  <c r="E42" i="11"/>
  <c r="C42" i="11"/>
  <c r="G42" i="11" s="1"/>
  <c r="J42" i="11" s="1"/>
  <c r="F40" i="11"/>
  <c r="F39" i="11"/>
  <c r="F38" i="11"/>
  <c r="F31" i="11"/>
  <c r="F28" i="11"/>
  <c r="F29" i="11" s="1"/>
  <c r="G29" i="11" s="1"/>
  <c r="F27" i="11"/>
  <c r="C23" i="11"/>
  <c r="G23" i="11" s="1"/>
  <c r="J23" i="11" s="1"/>
  <c r="C22" i="11"/>
  <c r="G22" i="11" s="1"/>
  <c r="J22" i="11" s="1"/>
  <c r="G21" i="11"/>
  <c r="J21" i="11" s="1"/>
  <c r="C21" i="11"/>
  <c r="G20" i="11"/>
  <c r="J20" i="11" s="1"/>
  <c r="G19" i="11"/>
  <c r="J19" i="11" s="1"/>
  <c r="C13" i="11"/>
  <c r="C11" i="11"/>
  <c r="F33" i="11" s="1"/>
  <c r="C10" i="11"/>
  <c r="F25" i="11" s="1"/>
  <c r="C8" i="11"/>
  <c r="F37" i="11" s="1"/>
  <c r="C5" i="11"/>
  <c r="D46" i="11" s="1"/>
  <c r="D111" i="10"/>
  <c r="D113" i="10" s="1"/>
  <c r="G113" i="10" s="1"/>
  <c r="J113" i="10" s="1"/>
  <c r="I111" i="10"/>
  <c r="G107" i="10"/>
  <c r="F108" i="10" s="1"/>
  <c r="G108" i="10" s="1"/>
  <c r="F102" i="10"/>
  <c r="G102" i="10" s="1"/>
  <c r="G103" i="10" s="1"/>
  <c r="F101" i="10"/>
  <c r="G101" i="10" s="1"/>
  <c r="D101" i="10"/>
  <c r="C101" i="10"/>
  <c r="F100" i="10"/>
  <c r="G100" i="10" s="1"/>
  <c r="D100" i="10"/>
  <c r="J99" i="10"/>
  <c r="G99" i="10"/>
  <c r="G126" i="13" l="1"/>
  <c r="J126" i="13" s="1"/>
  <c r="E48" i="13"/>
  <c r="G48" i="13" s="1"/>
  <c r="J48" i="13" s="1"/>
  <c r="G56" i="13"/>
  <c r="E58" i="13"/>
  <c r="G58" i="13" s="1"/>
  <c r="J58" i="13" s="1"/>
  <c r="J222" i="12"/>
  <c r="G227" i="12"/>
  <c r="G229" i="12" s="1"/>
  <c r="E234" i="12" s="1"/>
  <c r="G234" i="12" s="1"/>
  <c r="G68" i="13"/>
  <c r="J68" i="13" s="1"/>
  <c r="J67" i="13"/>
  <c r="J42" i="13"/>
  <c r="E43" i="13"/>
  <c r="G43" i="13" s="1"/>
  <c r="J43" i="13" s="1"/>
  <c r="G20" i="13"/>
  <c r="J20" i="13" s="1"/>
  <c r="G11" i="13"/>
  <c r="J11" i="13" s="1"/>
  <c r="G18" i="13"/>
  <c r="D21" i="13" s="1"/>
  <c r="G21" i="13" s="1"/>
  <c r="J21" i="13" s="1"/>
  <c r="C9" i="13"/>
  <c r="G9" i="13" s="1"/>
  <c r="J9" i="13" s="1"/>
  <c r="G8" i="13"/>
  <c r="J8" i="13" s="1"/>
  <c r="G158" i="13"/>
  <c r="J158" i="13" s="1"/>
  <c r="J157" i="13"/>
  <c r="D162" i="13"/>
  <c r="G162" i="13" s="1"/>
  <c r="J162" i="13" s="1"/>
  <c r="J161" i="13"/>
  <c r="G15" i="13"/>
  <c r="J15" i="13" s="1"/>
  <c r="E221" i="12"/>
  <c r="G221" i="12" s="1"/>
  <c r="J221" i="12" s="1"/>
  <c r="J220" i="12"/>
  <c r="J215" i="12"/>
  <c r="E216" i="12"/>
  <c r="G216" i="12" s="1"/>
  <c r="J216" i="12" s="1"/>
  <c r="G217" i="12"/>
  <c r="J217" i="12" s="1"/>
  <c r="J201" i="12"/>
  <c r="C203" i="12"/>
  <c r="G203" i="12" s="1"/>
  <c r="J203" i="12" s="1"/>
  <c r="C202" i="12"/>
  <c r="G202" i="12" s="1"/>
  <c r="J202" i="12" s="1"/>
  <c r="F205" i="12"/>
  <c r="G205" i="12" s="1"/>
  <c r="J205" i="12" s="1"/>
  <c r="G194" i="12"/>
  <c r="J197" i="12"/>
  <c r="G30" i="12"/>
  <c r="J30" i="12" s="1"/>
  <c r="D76" i="12"/>
  <c r="G76" i="12" s="1"/>
  <c r="J76" i="12" s="1"/>
  <c r="G115" i="12"/>
  <c r="J115" i="12" s="1"/>
  <c r="J176" i="12"/>
  <c r="G87" i="12"/>
  <c r="J87" i="12" s="1"/>
  <c r="J48" i="12"/>
  <c r="F84" i="12"/>
  <c r="G84" i="12" s="1"/>
  <c r="J84" i="12" s="1"/>
  <c r="G75" i="12"/>
  <c r="J75" i="12" s="1"/>
  <c r="D89" i="12"/>
  <c r="G89" i="12" s="1"/>
  <c r="J89" i="12" s="1"/>
  <c r="J165" i="12"/>
  <c r="G77" i="12"/>
  <c r="J77" i="12" s="1"/>
  <c r="G110" i="12"/>
  <c r="J110" i="12" s="1"/>
  <c r="F131" i="12"/>
  <c r="G131" i="12" s="1"/>
  <c r="J131" i="12" s="1"/>
  <c r="G123" i="12"/>
  <c r="J123" i="12" s="1"/>
  <c r="G31" i="12"/>
  <c r="J31" i="12" s="1"/>
  <c r="F190" i="12"/>
  <c r="G190" i="12" s="1"/>
  <c r="J190" i="12" s="1"/>
  <c r="C188" i="12"/>
  <c r="G188" i="12" s="1"/>
  <c r="J188" i="12" s="1"/>
  <c r="C187" i="12"/>
  <c r="G187" i="12" s="1"/>
  <c r="J187" i="12" s="1"/>
  <c r="J186" i="12"/>
  <c r="G122" i="12"/>
  <c r="J122" i="12" s="1"/>
  <c r="J126" i="12"/>
  <c r="C128" i="12"/>
  <c r="G128" i="12" s="1"/>
  <c r="J128" i="12" s="1"/>
  <c r="C127" i="12"/>
  <c r="G127" i="12" s="1"/>
  <c r="J127" i="12" s="1"/>
  <c r="D124" i="12"/>
  <c r="G124" i="12" s="1"/>
  <c r="D112" i="12"/>
  <c r="G112" i="12" s="1"/>
  <c r="J112" i="12" s="1"/>
  <c r="G55" i="12"/>
  <c r="J55" i="12" s="1"/>
  <c r="F62" i="12"/>
  <c r="G62" i="12" s="1"/>
  <c r="J62" i="12" s="1"/>
  <c r="F96" i="12"/>
  <c r="G96" i="12" s="1"/>
  <c r="J96" i="12" s="1"/>
  <c r="I99" i="12"/>
  <c r="J119" i="12"/>
  <c r="J47" i="12"/>
  <c r="E169" i="12"/>
  <c r="G169" i="12" s="1"/>
  <c r="J169" i="12" s="1"/>
  <c r="G54" i="12"/>
  <c r="J54" i="12" s="1"/>
  <c r="G111" i="12"/>
  <c r="J111" i="12" s="1"/>
  <c r="G99" i="12"/>
  <c r="G100" i="12"/>
  <c r="J100" i="12" s="1"/>
  <c r="J103" i="12"/>
  <c r="C105" i="12"/>
  <c r="G105" i="12" s="1"/>
  <c r="J105" i="12" s="1"/>
  <c r="C104" i="12"/>
  <c r="G104" i="12" s="1"/>
  <c r="J104" i="12" s="1"/>
  <c r="J107" i="12"/>
  <c r="D101" i="12"/>
  <c r="G101" i="12" s="1"/>
  <c r="J101" i="12" s="1"/>
  <c r="G88" i="12"/>
  <c r="J88" i="12" s="1"/>
  <c r="C93" i="12"/>
  <c r="G93" i="12" s="1"/>
  <c r="J93" i="12" s="1"/>
  <c r="C92" i="12"/>
  <c r="G92" i="12" s="1"/>
  <c r="J92" i="12" s="1"/>
  <c r="J91" i="12"/>
  <c r="C81" i="12"/>
  <c r="G81" i="12" s="1"/>
  <c r="J81" i="12" s="1"/>
  <c r="C80" i="12"/>
  <c r="G80" i="12" s="1"/>
  <c r="J80" i="12" s="1"/>
  <c r="J67" i="12"/>
  <c r="E69" i="12"/>
  <c r="G69" i="12" s="1"/>
  <c r="J69" i="12" s="1"/>
  <c r="E68" i="12"/>
  <c r="G68" i="12" s="1"/>
  <c r="E70" i="12"/>
  <c r="G70" i="12" s="1"/>
  <c r="J70" i="12" s="1"/>
  <c r="E65" i="12"/>
  <c r="E72" i="12" s="1"/>
  <c r="G72" i="12" s="1"/>
  <c r="J72" i="12" s="1"/>
  <c r="J53" i="12"/>
  <c r="C59" i="12"/>
  <c r="G59" i="12" s="1"/>
  <c r="J59" i="12" s="1"/>
  <c r="C58" i="12"/>
  <c r="G58" i="12" s="1"/>
  <c r="J58" i="12" s="1"/>
  <c r="J57" i="12"/>
  <c r="D161" i="12"/>
  <c r="G161" i="12" s="1"/>
  <c r="E43" i="12"/>
  <c r="E50" i="12" s="1"/>
  <c r="D162" i="12"/>
  <c r="G162" i="12" s="1"/>
  <c r="D163" i="12"/>
  <c r="G14" i="12"/>
  <c r="D160" i="12"/>
  <c r="G160" i="12" s="1"/>
  <c r="J180" i="12"/>
  <c r="G22" i="12"/>
  <c r="G11" i="12"/>
  <c r="G13" i="12" s="1"/>
  <c r="J13" i="12" s="1"/>
  <c r="G20" i="12"/>
  <c r="J20" i="12" s="1"/>
  <c r="G17" i="12"/>
  <c r="C9" i="12"/>
  <c r="G8" i="12"/>
  <c r="J8" i="12" s="1"/>
  <c r="C18" i="12"/>
  <c r="G18" i="12" s="1"/>
  <c r="G15" i="12"/>
  <c r="F25" i="12"/>
  <c r="G21" i="12"/>
  <c r="I161" i="12"/>
  <c r="I162" i="12"/>
  <c r="G146" i="12"/>
  <c r="J79" i="12"/>
  <c r="J45" i="12"/>
  <c r="G144" i="12"/>
  <c r="J144" i="12" s="1"/>
  <c r="D145" i="12"/>
  <c r="G145" i="12" s="1"/>
  <c r="D25" i="12"/>
  <c r="D26" i="12"/>
  <c r="G26" i="12" s="1"/>
  <c r="G23" i="12"/>
  <c r="D50" i="12"/>
  <c r="E46" i="12"/>
  <c r="G46" i="12" s="1"/>
  <c r="J46" i="12" s="1"/>
  <c r="G147" i="12"/>
  <c r="J229" i="12"/>
  <c r="D136" i="12"/>
  <c r="G136" i="12" s="1"/>
  <c r="J136" i="12" s="1"/>
  <c r="G134" i="12"/>
  <c r="D138" i="12"/>
  <c r="G138" i="12" s="1"/>
  <c r="G27" i="12"/>
  <c r="C40" i="12"/>
  <c r="G40" i="12" s="1"/>
  <c r="J40" i="12" s="1"/>
  <c r="C41" i="12"/>
  <c r="G41" i="12" s="1"/>
  <c r="J41" i="12" s="1"/>
  <c r="G39" i="12"/>
  <c r="J39" i="12" s="1"/>
  <c r="I145" i="12"/>
  <c r="I160" i="12" s="1"/>
  <c r="D150" i="12"/>
  <c r="G150" i="12" s="1"/>
  <c r="G149" i="12"/>
  <c r="J149" i="12" s="1"/>
  <c r="G142" i="12"/>
  <c r="F154" i="12"/>
  <c r="G154" i="12" s="1"/>
  <c r="J154" i="12" s="1"/>
  <c r="J153" i="12"/>
  <c r="G157" i="12"/>
  <c r="J177" i="12"/>
  <c r="E209" i="12"/>
  <c r="G209" i="12" s="1"/>
  <c r="J209" i="12" s="1"/>
  <c r="E208" i="12"/>
  <c r="G208" i="12" s="1"/>
  <c r="E230" i="12"/>
  <c r="G230" i="12" s="1"/>
  <c r="D159" i="12"/>
  <c r="G159" i="12" s="1"/>
  <c r="J159" i="12" s="1"/>
  <c r="F76" i="11"/>
  <c r="F77" i="11" s="1"/>
  <c r="G77" i="11" s="1"/>
  <c r="F108" i="11"/>
  <c r="G108" i="11" s="1"/>
  <c r="C6" i="11"/>
  <c r="G101" i="11"/>
  <c r="D113" i="11"/>
  <c r="G113" i="11" s="1"/>
  <c r="J113" i="11" s="1"/>
  <c r="G126" i="11"/>
  <c r="J126" i="11" s="1"/>
  <c r="C59" i="11"/>
  <c r="F81" i="11" s="1"/>
  <c r="G86" i="11"/>
  <c r="G128" i="11"/>
  <c r="J128" i="11" s="1"/>
  <c r="J121" i="11"/>
  <c r="K121" i="11" s="1"/>
  <c r="G81" i="11"/>
  <c r="G100" i="11"/>
  <c r="J100" i="11" s="1"/>
  <c r="J101" i="11"/>
  <c r="D33" i="11"/>
  <c r="D38" i="11"/>
  <c r="G38" i="11" s="1"/>
  <c r="G94" i="11"/>
  <c r="J94" i="11" s="1"/>
  <c r="D116" i="11"/>
  <c r="G116" i="11" s="1"/>
  <c r="J116" i="11" s="1"/>
  <c r="J115" i="11"/>
  <c r="D30" i="11"/>
  <c r="E46" i="11"/>
  <c r="G46" i="11" s="1"/>
  <c r="J46" i="11" s="1"/>
  <c r="D75" i="11"/>
  <c r="D82" i="11"/>
  <c r="C55" i="11"/>
  <c r="E76" i="11" s="1"/>
  <c r="D91" i="11"/>
  <c r="D87" i="11"/>
  <c r="G87" i="11" s="1"/>
  <c r="D73" i="11"/>
  <c r="D85" i="11"/>
  <c r="G85" i="11" s="1"/>
  <c r="D78" i="11"/>
  <c r="C105" i="11"/>
  <c r="G105" i="11" s="1"/>
  <c r="J105" i="11" s="1"/>
  <c r="C104" i="11"/>
  <c r="G104" i="11" s="1"/>
  <c r="J104" i="11" s="1"/>
  <c r="J103" i="11"/>
  <c r="I111" i="11"/>
  <c r="J99" i="11"/>
  <c r="G111" i="11"/>
  <c r="D114" i="11"/>
  <c r="G114" i="11" s="1"/>
  <c r="J114" i="11" s="1"/>
  <c r="D115" i="10"/>
  <c r="G115" i="10" s="1"/>
  <c r="G111" i="10"/>
  <c r="D114" i="10"/>
  <c r="G114" i="10" s="1"/>
  <c r="J114" i="10" s="1"/>
  <c r="C105" i="10"/>
  <c r="G105" i="10" s="1"/>
  <c r="J105" i="10" s="1"/>
  <c r="C104" i="10"/>
  <c r="G104" i="10" s="1"/>
  <c r="J104" i="10" s="1"/>
  <c r="J103" i="10"/>
  <c r="J108" i="10"/>
  <c r="C106" i="10"/>
  <c r="G106" i="10" s="1"/>
  <c r="J106" i="10" s="1"/>
  <c r="J101" i="10"/>
  <c r="J100" i="10"/>
  <c r="J107" i="10"/>
  <c r="C53" i="10"/>
  <c r="D94" i="10" s="1"/>
  <c r="E94" i="10" s="1"/>
  <c r="G94" i="10" s="1"/>
  <c r="J94" i="10" s="1"/>
  <c r="C5" i="10"/>
  <c r="C6" i="10" s="1"/>
  <c r="C90" i="10"/>
  <c r="F88" i="10"/>
  <c r="F87" i="10"/>
  <c r="F79" i="10"/>
  <c r="F75" i="10"/>
  <c r="C71" i="10"/>
  <c r="G71" i="10" s="1"/>
  <c r="J71" i="10" s="1"/>
  <c r="C70" i="10"/>
  <c r="G70" i="10" s="1"/>
  <c r="J70" i="10" s="1"/>
  <c r="C69" i="10"/>
  <c r="G69" i="10" s="1"/>
  <c r="J69" i="10" s="1"/>
  <c r="G68" i="10"/>
  <c r="J68" i="10" s="1"/>
  <c r="G67" i="10"/>
  <c r="J67" i="10" s="1"/>
  <c r="C61" i="10"/>
  <c r="E90" i="10" s="1"/>
  <c r="C58" i="10"/>
  <c r="F73" i="10" s="1"/>
  <c r="C56" i="10"/>
  <c r="F85" i="10" s="1"/>
  <c r="C42" i="10"/>
  <c r="F40" i="10"/>
  <c r="F39" i="10"/>
  <c r="F31" i="10"/>
  <c r="F27" i="10"/>
  <c r="C23" i="10"/>
  <c r="G23" i="10" s="1"/>
  <c r="J23" i="10" s="1"/>
  <c r="C22" i="10"/>
  <c r="G22" i="10" s="1"/>
  <c r="J22" i="10" s="1"/>
  <c r="C21" i="10"/>
  <c r="G21" i="10" s="1"/>
  <c r="J21" i="10" s="1"/>
  <c r="G20" i="10"/>
  <c r="J20" i="10" s="1"/>
  <c r="G19" i="10"/>
  <c r="J19" i="10" s="1"/>
  <c r="C13" i="10"/>
  <c r="E42" i="10" s="1"/>
  <c r="C10" i="10"/>
  <c r="F25" i="10" s="1"/>
  <c r="C8" i="10"/>
  <c r="J109" i="10" l="1"/>
  <c r="K109" i="10" s="1"/>
  <c r="E57" i="13"/>
  <c r="G57" i="13" s="1"/>
  <c r="J57" i="13" s="1"/>
  <c r="J56" i="13"/>
  <c r="J233" i="12"/>
  <c r="G233" i="12"/>
  <c r="J18" i="13"/>
  <c r="C195" i="12"/>
  <c r="G195" i="12" s="1"/>
  <c r="J194" i="12" s="1"/>
  <c r="C196" i="12"/>
  <c r="G196" i="12" s="1"/>
  <c r="C116" i="12"/>
  <c r="G116" i="12" s="1"/>
  <c r="J116" i="12" s="1"/>
  <c r="C117" i="12"/>
  <c r="G117" i="12" s="1"/>
  <c r="J117" i="12" s="1"/>
  <c r="E172" i="12"/>
  <c r="G172" i="12" s="1"/>
  <c r="J172" i="12" s="1"/>
  <c r="J99" i="12"/>
  <c r="G65" i="12"/>
  <c r="J65" i="12" s="1"/>
  <c r="J161" i="12"/>
  <c r="J160" i="12"/>
  <c r="J68" i="12"/>
  <c r="E164" i="12"/>
  <c r="G164" i="12" s="1"/>
  <c r="J164" i="12" s="1"/>
  <c r="C129" i="12"/>
  <c r="G129" i="12" s="1"/>
  <c r="J129" i="12" s="1"/>
  <c r="J124" i="12"/>
  <c r="C118" i="12"/>
  <c r="G118" i="12" s="1"/>
  <c r="J118" i="12" s="1"/>
  <c r="G16" i="12"/>
  <c r="J16" i="12" s="1"/>
  <c r="G25" i="12"/>
  <c r="G28" i="12" s="1"/>
  <c r="J28" i="12" s="1"/>
  <c r="C60" i="12"/>
  <c r="G60" i="12" s="1"/>
  <c r="J60" i="12" s="1"/>
  <c r="C106" i="12"/>
  <c r="G106" i="12" s="1"/>
  <c r="J106" i="12" s="1"/>
  <c r="C94" i="12"/>
  <c r="G94" i="12" s="1"/>
  <c r="J94" i="12" s="1"/>
  <c r="C82" i="12"/>
  <c r="G82" i="12" s="1"/>
  <c r="J82" i="12" s="1"/>
  <c r="G43" i="12"/>
  <c r="G44" i="12" s="1"/>
  <c r="J44" i="12" s="1"/>
  <c r="J145" i="12"/>
  <c r="J146" i="12"/>
  <c r="G50" i="12"/>
  <c r="J50" i="12" s="1"/>
  <c r="D32" i="12"/>
  <c r="G32" i="12" s="1"/>
  <c r="D33" i="12"/>
  <c r="G33" i="12" s="1"/>
  <c r="G19" i="12"/>
  <c r="J19" i="12" s="1"/>
  <c r="E148" i="12"/>
  <c r="G148" i="12" s="1"/>
  <c r="J148" i="12" s="1"/>
  <c r="J147" i="12"/>
  <c r="G143" i="12"/>
  <c r="J143" i="12" s="1"/>
  <c r="J142" i="12"/>
  <c r="G152" i="12"/>
  <c r="J152" i="12" s="1"/>
  <c r="J150" i="12"/>
  <c r="I175" i="12"/>
  <c r="J175" i="12" s="1"/>
  <c r="J162" i="12"/>
  <c r="J137" i="12"/>
  <c r="G158" i="12"/>
  <c r="J158" i="12" s="1"/>
  <c r="J157" i="12"/>
  <c r="D139" i="12"/>
  <c r="G139" i="12" s="1"/>
  <c r="J139" i="12" s="1"/>
  <c r="J138" i="12"/>
  <c r="J208" i="12"/>
  <c r="E211" i="12"/>
  <c r="G211" i="12" s="1"/>
  <c r="J211" i="12" s="1"/>
  <c r="J134" i="12"/>
  <c r="G135" i="12"/>
  <c r="J135" i="12" s="1"/>
  <c r="G24" i="12"/>
  <c r="G9" i="12"/>
  <c r="J9" i="12" s="1"/>
  <c r="C10" i="12"/>
  <c r="G10" i="12" s="1"/>
  <c r="J10" i="12" s="1"/>
  <c r="D43" i="11"/>
  <c r="D39" i="11"/>
  <c r="G39" i="11" s="1"/>
  <c r="G41" i="11" s="1"/>
  <c r="J41" i="11" s="1"/>
  <c r="D34" i="11"/>
  <c r="C7" i="11"/>
  <c r="D25" i="11"/>
  <c r="J132" i="11"/>
  <c r="K132" i="11" s="1"/>
  <c r="D27" i="11"/>
  <c r="E27" i="11" s="1"/>
  <c r="G27" i="11" s="1"/>
  <c r="D37" i="11"/>
  <c r="G37" i="11" s="1"/>
  <c r="C106" i="11"/>
  <c r="G106" i="11" s="1"/>
  <c r="J106" i="11" s="1"/>
  <c r="E73" i="11"/>
  <c r="G73" i="11" s="1"/>
  <c r="E82" i="11"/>
  <c r="G82" i="11" s="1"/>
  <c r="E75" i="11"/>
  <c r="G75" i="11" s="1"/>
  <c r="E30" i="11"/>
  <c r="G30" i="11" s="1"/>
  <c r="E31" i="11"/>
  <c r="E40" i="11" s="1"/>
  <c r="G40" i="11" s="1"/>
  <c r="D35" i="11"/>
  <c r="D31" i="11"/>
  <c r="E78" i="11"/>
  <c r="G78" i="11" s="1"/>
  <c r="D79" i="11"/>
  <c r="D83" i="11"/>
  <c r="E79" i="11"/>
  <c r="E88" i="11" s="1"/>
  <c r="G88" i="11" s="1"/>
  <c r="G89" i="11" s="1"/>
  <c r="J89" i="11" s="1"/>
  <c r="E91" i="11"/>
  <c r="G91" i="11" s="1"/>
  <c r="D76" i="11"/>
  <c r="G76" i="11" s="1"/>
  <c r="G33" i="11"/>
  <c r="E33" i="11"/>
  <c r="E25" i="11"/>
  <c r="G25" i="11" s="1"/>
  <c r="G112" i="11"/>
  <c r="J112" i="11" s="1"/>
  <c r="J111" i="11"/>
  <c r="J111" i="10"/>
  <c r="G112" i="10"/>
  <c r="J112" i="10" s="1"/>
  <c r="J115" i="10"/>
  <c r="D116" i="10"/>
  <c r="G116" i="10" s="1"/>
  <c r="J116" i="10" s="1"/>
  <c r="G90" i="10"/>
  <c r="J90" i="10" s="1"/>
  <c r="D86" i="10"/>
  <c r="G42" i="10"/>
  <c r="J42" i="10" s="1"/>
  <c r="F76" i="10"/>
  <c r="F77" i="10" s="1"/>
  <c r="G77" i="10" s="1"/>
  <c r="C54" i="10"/>
  <c r="D91" i="10" s="1"/>
  <c r="D81" i="10"/>
  <c r="E81" i="10" s="1"/>
  <c r="C59" i="10"/>
  <c r="F81" i="10" s="1"/>
  <c r="D34" i="10"/>
  <c r="E34" i="10" s="1"/>
  <c r="G34" i="10" s="1"/>
  <c r="D38" i="10"/>
  <c r="G38" i="10" s="1"/>
  <c r="D46" i="10"/>
  <c r="E46" i="10" s="1"/>
  <c r="G46" i="10" s="1"/>
  <c r="J46" i="10" s="1"/>
  <c r="D33" i="10"/>
  <c r="E33" i="10" s="1"/>
  <c r="G33" i="10" s="1"/>
  <c r="F37" i="10"/>
  <c r="F28" i="10"/>
  <c r="F29" i="10" s="1"/>
  <c r="G29" i="10" s="1"/>
  <c r="C11" i="10"/>
  <c r="F33" i="10" s="1"/>
  <c r="F38" i="10"/>
  <c r="D43" i="10"/>
  <c r="D39" i="10"/>
  <c r="G39" i="10" s="1"/>
  <c r="D25" i="10"/>
  <c r="D30" i="10"/>
  <c r="D37" i="10"/>
  <c r="C7" i="10"/>
  <c r="E28" i="10" s="1"/>
  <c r="D27" i="10"/>
  <c r="F86" i="10"/>
  <c r="G86" i="10" s="1"/>
  <c r="G243" i="6"/>
  <c r="J243" i="6" s="1"/>
  <c r="K243" i="6" s="1"/>
  <c r="G43" i="9"/>
  <c r="D24" i="9"/>
  <c r="D28" i="9" s="1"/>
  <c r="G28" i="9" s="1"/>
  <c r="G66" i="9"/>
  <c r="F67" i="9" s="1"/>
  <c r="G67" i="9" s="1"/>
  <c r="I65" i="9"/>
  <c r="I64" i="9"/>
  <c r="I62" i="9"/>
  <c r="F61" i="9"/>
  <c r="G61" i="9" s="1"/>
  <c r="G62" i="9" s="1"/>
  <c r="I60" i="9"/>
  <c r="F60" i="9"/>
  <c r="D60" i="9"/>
  <c r="C60" i="9"/>
  <c r="F59" i="9"/>
  <c r="D59" i="9"/>
  <c r="I58" i="9"/>
  <c r="G58" i="9"/>
  <c r="G54" i="9"/>
  <c r="J54" i="9" s="1"/>
  <c r="F49" i="9"/>
  <c r="G49" i="9" s="1"/>
  <c r="G50" i="9" s="1"/>
  <c r="F48" i="9"/>
  <c r="G48" i="9" s="1"/>
  <c r="J48" i="9" s="1"/>
  <c r="F47" i="9"/>
  <c r="G47" i="9" s="1"/>
  <c r="J47" i="9" s="1"/>
  <c r="G45" i="9"/>
  <c r="G46" i="9" s="1"/>
  <c r="J46" i="9" s="1"/>
  <c r="J30" i="9"/>
  <c r="D41" i="9"/>
  <c r="G41" i="9" s="1"/>
  <c r="J39" i="9"/>
  <c r="D39" i="9"/>
  <c r="D38" i="9"/>
  <c r="G38" i="9" s="1"/>
  <c r="J38" i="9" s="1"/>
  <c r="D37" i="9"/>
  <c r="G37" i="9" s="1"/>
  <c r="D36" i="9"/>
  <c r="G36" i="9" s="1"/>
  <c r="J36" i="9" s="1"/>
  <c r="D35" i="9"/>
  <c r="G35" i="9" s="1"/>
  <c r="J35" i="9" s="1"/>
  <c r="F33" i="9"/>
  <c r="E33" i="9"/>
  <c r="J19" i="9"/>
  <c r="F13" i="9"/>
  <c r="E13" i="9"/>
  <c r="D19" i="9"/>
  <c r="D4" i="9"/>
  <c r="D6" i="9" s="1"/>
  <c r="G6" i="9" s="1"/>
  <c r="J6" i="9" s="1"/>
  <c r="J10" i="9"/>
  <c r="J23" i="8"/>
  <c r="G29" i="8"/>
  <c r="J29" i="8" s="1"/>
  <c r="G28" i="8"/>
  <c r="J28" i="8" s="1"/>
  <c r="G24" i="8"/>
  <c r="J24" i="8" s="1"/>
  <c r="G25" i="8"/>
  <c r="J25" i="8" s="1"/>
  <c r="G26" i="8"/>
  <c r="J26" i="8" s="1"/>
  <c r="G27" i="8"/>
  <c r="J27" i="8" s="1"/>
  <c r="G23" i="8"/>
  <c r="C11" i="8"/>
  <c r="D11" i="8"/>
  <c r="E11" i="8"/>
  <c r="F11" i="8"/>
  <c r="C13" i="8"/>
  <c r="D13" i="8"/>
  <c r="E13" i="8"/>
  <c r="F18" i="8"/>
  <c r="F20" i="8" s="1"/>
  <c r="E18" i="8"/>
  <c r="D18" i="8"/>
  <c r="C18" i="8"/>
  <c r="C20" i="8" s="1"/>
  <c r="E17" i="8"/>
  <c r="D17" i="8"/>
  <c r="C17" i="8"/>
  <c r="E15" i="8"/>
  <c r="D15" i="8"/>
  <c r="C15" i="8"/>
  <c r="P8" i="8"/>
  <c r="C8" i="8" s="1"/>
  <c r="G8" i="8" s="1"/>
  <c r="J8" i="8" s="1"/>
  <c r="G7" i="8"/>
  <c r="J7" i="8" s="1"/>
  <c r="J196" i="12" l="1"/>
  <c r="J195" i="12"/>
  <c r="J164" i="13"/>
  <c r="K164" i="13" s="1"/>
  <c r="C12" i="17" s="1"/>
  <c r="G66" i="12"/>
  <c r="J66" i="12" s="1"/>
  <c r="J43" i="12"/>
  <c r="G34" i="12"/>
  <c r="J34" i="12" s="1"/>
  <c r="D29" i="12"/>
  <c r="G29" i="12" s="1"/>
  <c r="J29" i="12" s="1"/>
  <c r="J24" i="12"/>
  <c r="E34" i="11"/>
  <c r="G34" i="11" s="1"/>
  <c r="E43" i="11"/>
  <c r="G43" i="11" s="1"/>
  <c r="G79" i="11"/>
  <c r="G80" i="11" s="1"/>
  <c r="E28" i="11"/>
  <c r="D28" i="11"/>
  <c r="G28" i="11" s="1"/>
  <c r="G26" i="11"/>
  <c r="J26" i="11" s="1"/>
  <c r="J25" i="11"/>
  <c r="J73" i="11"/>
  <c r="G74" i="11"/>
  <c r="J74" i="11" s="1"/>
  <c r="J117" i="11"/>
  <c r="K117" i="11" s="1"/>
  <c r="D92" i="11"/>
  <c r="E83" i="11"/>
  <c r="G83" i="11" s="1"/>
  <c r="G84" i="11" s="1"/>
  <c r="J84" i="11" s="1"/>
  <c r="G31" i="11"/>
  <c r="D44" i="11"/>
  <c r="E35" i="11"/>
  <c r="G35" i="11" s="1"/>
  <c r="G36" i="11" s="1"/>
  <c r="J36" i="11" s="1"/>
  <c r="J117" i="10"/>
  <c r="K117" i="10" s="1"/>
  <c r="D73" i="10"/>
  <c r="E73" i="10" s="1"/>
  <c r="G73" i="10" s="1"/>
  <c r="D78" i="10"/>
  <c r="D85" i="10"/>
  <c r="G85" i="10" s="1"/>
  <c r="G81" i="10"/>
  <c r="C55" i="10"/>
  <c r="E76" i="10" s="1"/>
  <c r="D75" i="10"/>
  <c r="E75" i="10" s="1"/>
  <c r="G75" i="10" s="1"/>
  <c r="D87" i="10"/>
  <c r="G87" i="10" s="1"/>
  <c r="G37" i="10"/>
  <c r="D82" i="10"/>
  <c r="E82" i="10" s="1"/>
  <c r="G82" i="10" s="1"/>
  <c r="D31" i="10"/>
  <c r="E30" i="10"/>
  <c r="G30" i="10" s="1"/>
  <c r="D35" i="10"/>
  <c r="E31" i="10"/>
  <c r="E40" i="10" s="1"/>
  <c r="G40" i="10" s="1"/>
  <c r="E91" i="10"/>
  <c r="G91" i="10" s="1"/>
  <c r="D28" i="10"/>
  <c r="G28" i="10" s="1"/>
  <c r="E25" i="10"/>
  <c r="G25" i="10" s="1"/>
  <c r="D79" i="10"/>
  <c r="E78" i="10"/>
  <c r="G78" i="10" s="1"/>
  <c r="D83" i="10"/>
  <c r="E79" i="10"/>
  <c r="E88" i="10" s="1"/>
  <c r="G88" i="10" s="1"/>
  <c r="E43" i="10"/>
  <c r="G43" i="10" s="1"/>
  <c r="E27" i="10"/>
  <c r="G27" i="10" s="1"/>
  <c r="J58" i="9"/>
  <c r="F55" i="9"/>
  <c r="G55" i="9" s="1"/>
  <c r="J55" i="9" s="1"/>
  <c r="G60" i="9"/>
  <c r="J66" i="9"/>
  <c r="J67" i="9"/>
  <c r="G59" i="9"/>
  <c r="J59" i="9" s="1"/>
  <c r="D26" i="9"/>
  <c r="G26" i="9" s="1"/>
  <c r="J26" i="9" s="1"/>
  <c r="C51" i="9"/>
  <c r="G51" i="9" s="1"/>
  <c r="J51" i="9" s="1"/>
  <c r="C52" i="9"/>
  <c r="G52" i="9" s="1"/>
  <c r="J52" i="9" s="1"/>
  <c r="J50" i="9"/>
  <c r="J60" i="9"/>
  <c r="C64" i="9"/>
  <c r="G64" i="9" s="1"/>
  <c r="J64" i="9" s="1"/>
  <c r="C63" i="9"/>
  <c r="G63" i="9" s="1"/>
  <c r="J63" i="9" s="1"/>
  <c r="J62" i="9"/>
  <c r="C53" i="9"/>
  <c r="G53" i="9" s="1"/>
  <c r="J53" i="9" s="1"/>
  <c r="J45" i="9"/>
  <c r="E40" i="9"/>
  <c r="G40" i="9" s="1"/>
  <c r="J40" i="9" s="1"/>
  <c r="G33" i="9"/>
  <c r="G34" i="9" s="1"/>
  <c r="J34" i="9" s="1"/>
  <c r="J41" i="9"/>
  <c r="D29" i="9"/>
  <c r="G29" i="9" s="1"/>
  <c r="J29" i="9" s="1"/>
  <c r="J28" i="9"/>
  <c r="D27" i="9"/>
  <c r="G27" i="9" s="1"/>
  <c r="J27" i="9" s="1"/>
  <c r="J37" i="9"/>
  <c r="G24" i="9"/>
  <c r="D15" i="9"/>
  <c r="G15" i="9" s="1"/>
  <c r="J15" i="9" s="1"/>
  <c r="D21" i="9"/>
  <c r="G21" i="9" s="1"/>
  <c r="J21" i="9" s="1"/>
  <c r="G13" i="9"/>
  <c r="D16" i="9"/>
  <c r="G16" i="9" s="1"/>
  <c r="J16" i="9" s="1"/>
  <c r="D17" i="9"/>
  <c r="G17" i="9" s="1"/>
  <c r="D18" i="9"/>
  <c r="G18" i="9" s="1"/>
  <c r="J18" i="9" s="1"/>
  <c r="D7" i="9"/>
  <c r="G7" i="9" s="1"/>
  <c r="J7" i="9" s="1"/>
  <c r="D8" i="9"/>
  <c r="G8" i="9" s="1"/>
  <c r="G4" i="9"/>
  <c r="G11" i="8"/>
  <c r="G13" i="8"/>
  <c r="G14" i="8" s="1"/>
  <c r="J14" i="8" s="1"/>
  <c r="G17" i="8"/>
  <c r="J17" i="8" s="1"/>
  <c r="G15" i="8"/>
  <c r="D20" i="8"/>
  <c r="G20" i="8" s="1"/>
  <c r="C9" i="8"/>
  <c r="G18" i="8"/>
  <c r="D225" i="6"/>
  <c r="D236" i="6"/>
  <c r="F145" i="6"/>
  <c r="D145" i="6"/>
  <c r="D143" i="6"/>
  <c r="D140" i="6"/>
  <c r="C139" i="6"/>
  <c r="F137" i="6"/>
  <c r="F136" i="6"/>
  <c r="D136" i="6"/>
  <c r="D135" i="6"/>
  <c r="D134" i="6"/>
  <c r="D131" i="6"/>
  <c r="E131" i="6" s="1"/>
  <c r="G131" i="6" s="1"/>
  <c r="D130" i="6"/>
  <c r="E130" i="6" s="1"/>
  <c r="F128" i="6"/>
  <c r="D127" i="6"/>
  <c r="D132" i="6" s="1"/>
  <c r="E132" i="6" s="1"/>
  <c r="F124" i="6"/>
  <c r="D124" i="6"/>
  <c r="D122" i="6"/>
  <c r="E122" i="6" s="1"/>
  <c r="C120" i="6"/>
  <c r="G120" i="6" s="1"/>
  <c r="J120" i="6" s="1"/>
  <c r="C119" i="6"/>
  <c r="G119" i="6" s="1"/>
  <c r="J119" i="6" s="1"/>
  <c r="C118" i="6"/>
  <c r="G118" i="6" s="1"/>
  <c r="J118" i="6" s="1"/>
  <c r="G117" i="6"/>
  <c r="J117" i="6" s="1"/>
  <c r="G116" i="6"/>
  <c r="J116" i="6" s="1"/>
  <c r="C110" i="6"/>
  <c r="E139" i="6" s="1"/>
  <c r="C107" i="6"/>
  <c r="F122" i="6" s="1"/>
  <c r="C105" i="6"/>
  <c r="C104" i="6"/>
  <c r="D125" i="6" s="1"/>
  <c r="F97" i="6"/>
  <c r="D97" i="6"/>
  <c r="E97" i="6" s="1"/>
  <c r="D95" i="6"/>
  <c r="E95" i="6" s="1"/>
  <c r="G95" i="6" s="1"/>
  <c r="J95" i="6" s="1"/>
  <c r="D92" i="6"/>
  <c r="E92" i="6" s="1"/>
  <c r="G92" i="6" s="1"/>
  <c r="C91" i="6"/>
  <c r="F89" i="6"/>
  <c r="F88" i="6"/>
  <c r="D88" i="6"/>
  <c r="D87" i="6"/>
  <c r="D86" i="6"/>
  <c r="D83" i="6"/>
  <c r="D82" i="6"/>
  <c r="E82" i="6" s="1"/>
  <c r="F80" i="6"/>
  <c r="D79" i="6"/>
  <c r="D84" i="6" s="1"/>
  <c r="F76" i="6"/>
  <c r="D76" i="6"/>
  <c r="E76" i="6" s="1"/>
  <c r="D74" i="6"/>
  <c r="E74" i="6" s="1"/>
  <c r="C72" i="6"/>
  <c r="G72" i="6" s="1"/>
  <c r="J72" i="6" s="1"/>
  <c r="C71" i="6"/>
  <c r="G71" i="6" s="1"/>
  <c r="J71" i="6" s="1"/>
  <c r="C70" i="6"/>
  <c r="G70" i="6" s="1"/>
  <c r="J70" i="6" s="1"/>
  <c r="G69" i="6"/>
  <c r="J69" i="6" s="1"/>
  <c r="G68" i="6"/>
  <c r="J68" i="6" s="1"/>
  <c r="C62" i="6"/>
  <c r="E91" i="6" s="1"/>
  <c r="C59" i="6"/>
  <c r="F74" i="6" s="1"/>
  <c r="C57" i="6"/>
  <c r="F86" i="6" s="1"/>
  <c r="C56" i="6"/>
  <c r="F48" i="6"/>
  <c r="D48" i="6"/>
  <c r="E48" i="6" s="1"/>
  <c r="D46" i="6"/>
  <c r="E46" i="6" s="1"/>
  <c r="G46" i="6" s="1"/>
  <c r="J46" i="6" s="1"/>
  <c r="D43" i="6"/>
  <c r="E43" i="6" s="1"/>
  <c r="G43" i="6" s="1"/>
  <c r="C42" i="6"/>
  <c r="F40" i="6"/>
  <c r="F39" i="6"/>
  <c r="D39" i="6"/>
  <c r="D38" i="6"/>
  <c r="D37" i="6"/>
  <c r="D34" i="6"/>
  <c r="D33" i="6"/>
  <c r="E33" i="6" s="1"/>
  <c r="F31" i="6"/>
  <c r="D30" i="6"/>
  <c r="F27" i="6"/>
  <c r="D27" i="6"/>
  <c r="E27" i="6" s="1"/>
  <c r="D25" i="6"/>
  <c r="E25" i="6" s="1"/>
  <c r="C23" i="6"/>
  <c r="G23" i="6" s="1"/>
  <c r="J23" i="6" s="1"/>
  <c r="C22" i="6"/>
  <c r="G22" i="6" s="1"/>
  <c r="J22" i="6" s="1"/>
  <c r="C21" i="6"/>
  <c r="G21" i="6" s="1"/>
  <c r="J21" i="6" s="1"/>
  <c r="G20" i="6"/>
  <c r="J20" i="6" s="1"/>
  <c r="G19" i="6"/>
  <c r="J19" i="6" s="1"/>
  <c r="C13" i="6"/>
  <c r="E42" i="6" s="1"/>
  <c r="C10" i="6"/>
  <c r="F25" i="6" s="1"/>
  <c r="C8" i="6"/>
  <c r="F37" i="6" s="1"/>
  <c r="C7" i="6"/>
  <c r="J56" i="9" l="1"/>
  <c r="K56" i="9" s="1"/>
  <c r="G91" i="6"/>
  <c r="J91" i="6" s="1"/>
  <c r="G32" i="11"/>
  <c r="J32" i="11"/>
  <c r="E47" i="11"/>
  <c r="G47" i="11" s="1"/>
  <c r="J47" i="11" s="1"/>
  <c r="E44" i="11"/>
  <c r="G44" i="11" s="1"/>
  <c r="G45" i="11" s="1"/>
  <c r="J45" i="11" s="1"/>
  <c r="E92" i="11"/>
  <c r="G92" i="11"/>
  <c r="G93" i="11" s="1"/>
  <c r="J93" i="11" s="1"/>
  <c r="E95" i="11"/>
  <c r="G95" i="11" s="1"/>
  <c r="J95" i="11" s="1"/>
  <c r="J80" i="11"/>
  <c r="G89" i="10"/>
  <c r="J89" i="10" s="1"/>
  <c r="G41" i="10"/>
  <c r="J41" i="10" s="1"/>
  <c r="D76" i="10"/>
  <c r="G76" i="10" s="1"/>
  <c r="J73" i="10"/>
  <c r="G74" i="10"/>
  <c r="J74" i="10" s="1"/>
  <c r="J25" i="10"/>
  <c r="G26" i="10"/>
  <c r="J26" i="10" s="1"/>
  <c r="D92" i="10"/>
  <c r="E83" i="10"/>
  <c r="G83" i="10" s="1"/>
  <c r="G84" i="10" s="1"/>
  <c r="J84" i="10" s="1"/>
  <c r="E35" i="10"/>
  <c r="G35" i="10" s="1"/>
  <c r="G36" i="10" s="1"/>
  <c r="J36" i="10" s="1"/>
  <c r="D44" i="10"/>
  <c r="G79" i="10"/>
  <c r="G31" i="10"/>
  <c r="G32" i="10" s="1"/>
  <c r="C65" i="9"/>
  <c r="G65" i="9" s="1"/>
  <c r="J65" i="9" s="1"/>
  <c r="J68" i="9" s="1"/>
  <c r="K68" i="9" s="1"/>
  <c r="J33" i="9"/>
  <c r="J42" i="9" s="1"/>
  <c r="K42" i="9" s="1"/>
  <c r="J24" i="9"/>
  <c r="G25" i="9"/>
  <c r="J25" i="9" s="1"/>
  <c r="G14" i="9"/>
  <c r="J14" i="9" s="1"/>
  <c r="J13" i="9"/>
  <c r="J17" i="9"/>
  <c r="E20" i="9"/>
  <c r="G20" i="9" s="1"/>
  <c r="J20" i="9" s="1"/>
  <c r="G5" i="9"/>
  <c r="J5" i="9" s="1"/>
  <c r="J4" i="9"/>
  <c r="D9" i="9"/>
  <c r="G9" i="9" s="1"/>
  <c r="J9" i="9" s="1"/>
  <c r="J8" i="9"/>
  <c r="G19" i="8"/>
  <c r="D22" i="8" s="1"/>
  <c r="G22" i="8" s="1"/>
  <c r="J22" i="8" s="1"/>
  <c r="G21" i="8"/>
  <c r="J21" i="8" s="1"/>
  <c r="G16" i="8"/>
  <c r="J16" i="8" s="1"/>
  <c r="G12" i="8"/>
  <c r="J12" i="8" s="1"/>
  <c r="C10" i="8"/>
  <c r="G10" i="8" s="1"/>
  <c r="J10" i="8" s="1"/>
  <c r="G9" i="8"/>
  <c r="J9" i="8" s="1"/>
  <c r="F77" i="6"/>
  <c r="F78" i="6" s="1"/>
  <c r="G78" i="6" s="1"/>
  <c r="F28" i="6"/>
  <c r="F29" i="6" s="1"/>
  <c r="G29" i="6" s="1"/>
  <c r="G139" i="6"/>
  <c r="J139" i="6" s="1"/>
  <c r="E125" i="6"/>
  <c r="G136" i="6"/>
  <c r="G39" i="6"/>
  <c r="G122" i="6"/>
  <c r="J122" i="6" s="1"/>
  <c r="C11" i="6"/>
  <c r="F33" i="6" s="1"/>
  <c r="G33" i="6" s="1"/>
  <c r="G48" i="6"/>
  <c r="J48" i="6" s="1"/>
  <c r="C60" i="6"/>
  <c r="F82" i="6" s="1"/>
  <c r="G82" i="6" s="1"/>
  <c r="G88" i="6"/>
  <c r="D128" i="6"/>
  <c r="E80" i="6"/>
  <c r="E89" i="6" s="1"/>
  <c r="G89" i="6" s="1"/>
  <c r="G86" i="6"/>
  <c r="G27" i="6"/>
  <c r="F38" i="6"/>
  <c r="G38" i="6" s="1"/>
  <c r="G76" i="6"/>
  <c r="G42" i="6"/>
  <c r="J42" i="6" s="1"/>
  <c r="G37" i="6"/>
  <c r="F87" i="6"/>
  <c r="G87" i="6" s="1"/>
  <c r="G97" i="6"/>
  <c r="J97" i="6" s="1"/>
  <c r="E127" i="6"/>
  <c r="G127" i="6" s="1"/>
  <c r="G123" i="6"/>
  <c r="J123" i="6" s="1"/>
  <c r="D93" i="6"/>
  <c r="E84" i="6"/>
  <c r="G84" i="6" s="1"/>
  <c r="D31" i="6"/>
  <c r="D35" i="6"/>
  <c r="F135" i="6"/>
  <c r="G135" i="6" s="1"/>
  <c r="F125" i="6"/>
  <c r="F126" i="6" s="1"/>
  <c r="G126" i="6" s="1"/>
  <c r="C108" i="6"/>
  <c r="F130" i="6" s="1"/>
  <c r="G130" i="6" s="1"/>
  <c r="E28" i="6"/>
  <c r="D28" i="6"/>
  <c r="G25" i="6"/>
  <c r="E30" i="6"/>
  <c r="G30" i="6" s="1"/>
  <c r="G132" i="6"/>
  <c r="E31" i="6"/>
  <c r="E40" i="6" s="1"/>
  <c r="G40" i="6" s="1"/>
  <c r="E77" i="6"/>
  <c r="D77" i="6"/>
  <c r="E124" i="6"/>
  <c r="G124" i="6" s="1"/>
  <c r="D141" i="6"/>
  <c r="E145" i="6"/>
  <c r="G145" i="6" s="1"/>
  <c r="J145" i="6" s="1"/>
  <c r="E34" i="6"/>
  <c r="G34" i="6" s="1"/>
  <c r="G74" i="6"/>
  <c r="D80" i="6"/>
  <c r="E79" i="6"/>
  <c r="G79" i="6" s="1"/>
  <c r="F134" i="6"/>
  <c r="G134" i="6" s="1"/>
  <c r="E83" i="6"/>
  <c r="G83" i="6" s="1"/>
  <c r="E128" i="6"/>
  <c r="E140" i="6"/>
  <c r="G140" i="6" s="1"/>
  <c r="E143" i="6"/>
  <c r="G143" i="6" s="1"/>
  <c r="J143" i="6" s="1"/>
  <c r="C149" i="7"/>
  <c r="G149" i="7" s="1"/>
  <c r="J149" i="7" s="1"/>
  <c r="J48" i="11" l="1"/>
  <c r="I49" i="11" s="1"/>
  <c r="J49" i="11" s="1"/>
  <c r="K49" i="11" s="1"/>
  <c r="J96" i="11"/>
  <c r="I97" i="11" s="1"/>
  <c r="J97" i="11" s="1"/>
  <c r="K97" i="11" s="1"/>
  <c r="J108" i="11"/>
  <c r="J109" i="11" s="1"/>
  <c r="K109" i="11" s="1"/>
  <c r="G80" i="10"/>
  <c r="E95" i="10" s="1"/>
  <c r="G95" i="10" s="1"/>
  <c r="J95" i="10" s="1"/>
  <c r="E47" i="10"/>
  <c r="G47" i="10" s="1"/>
  <c r="J47" i="10" s="1"/>
  <c r="J32" i="10"/>
  <c r="E44" i="10"/>
  <c r="G44" i="10" s="1"/>
  <c r="G45" i="10" s="1"/>
  <c r="J45" i="10" s="1"/>
  <c r="E92" i="10"/>
  <c r="G92" i="10" s="1"/>
  <c r="G93" i="10" s="1"/>
  <c r="J93" i="10" s="1"/>
  <c r="J31" i="9"/>
  <c r="K31" i="9" s="1"/>
  <c r="K69" i="9" s="1"/>
  <c r="C8" i="17" s="1"/>
  <c r="J11" i="9"/>
  <c r="K11" i="9" s="1"/>
  <c r="J22" i="9"/>
  <c r="K22" i="9" s="1"/>
  <c r="J19" i="8"/>
  <c r="J30" i="8" s="1"/>
  <c r="K30" i="8" s="1"/>
  <c r="C7" i="17" s="1"/>
  <c r="G125" i="6"/>
  <c r="G80" i="6"/>
  <c r="G28" i="6"/>
  <c r="G85" i="6"/>
  <c r="J85" i="6" s="1"/>
  <c r="G41" i="6"/>
  <c r="J41" i="6" s="1"/>
  <c r="G90" i="6"/>
  <c r="J90" i="6" s="1"/>
  <c r="G31" i="6"/>
  <c r="G32" i="6" s="1"/>
  <c r="E93" i="6"/>
  <c r="G93" i="6" s="1"/>
  <c r="G94" i="6" s="1"/>
  <c r="J94" i="6" s="1"/>
  <c r="E137" i="6"/>
  <c r="G137" i="6" s="1"/>
  <c r="G138" i="6" s="1"/>
  <c r="J138" i="6" s="1"/>
  <c r="G128" i="6"/>
  <c r="G133" i="6"/>
  <c r="J133" i="6" s="1"/>
  <c r="J25" i="6"/>
  <c r="G26" i="6"/>
  <c r="J26" i="6" s="1"/>
  <c r="D44" i="6"/>
  <c r="E35" i="6"/>
  <c r="G35" i="6" s="1"/>
  <c r="G36" i="6" s="1"/>
  <c r="J36" i="6" s="1"/>
  <c r="J74" i="6"/>
  <c r="G75" i="6"/>
  <c r="J75" i="6" s="1"/>
  <c r="E141" i="6"/>
  <c r="G141" i="6" s="1"/>
  <c r="G142" i="6" s="1"/>
  <c r="J142" i="6" s="1"/>
  <c r="G77" i="6"/>
  <c r="G81" i="6" s="1"/>
  <c r="E131" i="7"/>
  <c r="G131" i="7" s="1"/>
  <c r="J131" i="7" s="1"/>
  <c r="E145" i="7"/>
  <c r="E139" i="7"/>
  <c r="E140" i="7" s="1"/>
  <c r="G140" i="7" s="1"/>
  <c r="I143" i="7"/>
  <c r="E142" i="7"/>
  <c r="G142" i="7" s="1"/>
  <c r="J142" i="7" s="1"/>
  <c r="D134" i="7"/>
  <c r="E134" i="7" s="1"/>
  <c r="E128" i="7"/>
  <c r="E129" i="7" s="1"/>
  <c r="G129" i="7" s="1"/>
  <c r="E123" i="7"/>
  <c r="E124" i="7" s="1"/>
  <c r="G124" i="7" s="1"/>
  <c r="D89" i="7"/>
  <c r="K133" i="11" l="1"/>
  <c r="C10" i="17" s="1"/>
  <c r="J80" i="10"/>
  <c r="J96" i="10" s="1"/>
  <c r="I97" i="10" s="1"/>
  <c r="J97" i="10" s="1"/>
  <c r="K97" i="10" s="1"/>
  <c r="J48" i="10"/>
  <c r="I49" i="10" s="1"/>
  <c r="J49" i="10" s="1"/>
  <c r="K49" i="10" s="1"/>
  <c r="G129" i="6"/>
  <c r="J129" i="6" s="1"/>
  <c r="E47" i="6"/>
  <c r="G47" i="6" s="1"/>
  <c r="J47" i="6" s="1"/>
  <c r="J32" i="6"/>
  <c r="E96" i="6"/>
  <c r="G96" i="6" s="1"/>
  <c r="J96" i="6" s="1"/>
  <c r="J81" i="6"/>
  <c r="E44" i="6"/>
  <c r="G44" i="6" s="1"/>
  <c r="G45" i="6" s="1"/>
  <c r="J45" i="6" s="1"/>
  <c r="E130" i="7"/>
  <c r="G130" i="7" s="1"/>
  <c r="J130" i="7" s="1"/>
  <c r="E146" i="7"/>
  <c r="G146" i="7" s="1"/>
  <c r="E147" i="7"/>
  <c r="G147" i="7" s="1"/>
  <c r="J147" i="7" s="1"/>
  <c r="J140" i="7"/>
  <c r="E143" i="7"/>
  <c r="G143" i="7" s="1"/>
  <c r="J143" i="7" s="1"/>
  <c r="E141" i="7"/>
  <c r="G141" i="7" s="1"/>
  <c r="J141" i="7" s="1"/>
  <c r="E136" i="7"/>
  <c r="G136" i="7" s="1"/>
  <c r="J136" i="7" s="1"/>
  <c r="E135" i="7"/>
  <c r="G135" i="7" s="1"/>
  <c r="E137" i="7" s="1"/>
  <c r="G137" i="7" s="1"/>
  <c r="J137" i="7" s="1"/>
  <c r="J129" i="7"/>
  <c r="E132" i="7"/>
  <c r="G132" i="7" s="1"/>
  <c r="E126" i="7"/>
  <c r="G126" i="7" s="1"/>
  <c r="J126" i="7" s="1"/>
  <c r="J124" i="7"/>
  <c r="E125" i="7"/>
  <c r="G125" i="7" s="1"/>
  <c r="J125" i="7" s="1"/>
  <c r="C72" i="7"/>
  <c r="C71" i="7"/>
  <c r="C70" i="7"/>
  <c r="C68" i="7"/>
  <c r="C67" i="7"/>
  <c r="E67" i="7"/>
  <c r="D65" i="7"/>
  <c r="E65" i="7" s="1"/>
  <c r="E72" i="7" s="1"/>
  <c r="M7" i="7"/>
  <c r="J118" i="7"/>
  <c r="D118" i="7"/>
  <c r="D117" i="7"/>
  <c r="G117" i="7" s="1"/>
  <c r="D116" i="7"/>
  <c r="G116" i="7" s="1"/>
  <c r="D115" i="7"/>
  <c r="G115" i="7" s="1"/>
  <c r="F112" i="7"/>
  <c r="E112" i="7"/>
  <c r="D120" i="7"/>
  <c r="G120" i="7" s="1"/>
  <c r="I109" i="7"/>
  <c r="G108" i="7"/>
  <c r="F109" i="7" s="1"/>
  <c r="G109" i="7" s="1"/>
  <c r="J106" i="7"/>
  <c r="C105" i="7"/>
  <c r="I104" i="7"/>
  <c r="I120" i="7" s="1"/>
  <c r="C104" i="7"/>
  <c r="D102" i="7"/>
  <c r="I115" i="7"/>
  <c r="F97" i="7"/>
  <c r="E102" i="7" s="1"/>
  <c r="E104" i="7" s="1"/>
  <c r="E105" i="7" s="1"/>
  <c r="E97" i="7"/>
  <c r="E99" i="7" s="1"/>
  <c r="D97" i="7"/>
  <c r="D99" i="7" s="1"/>
  <c r="D100" i="7" s="1"/>
  <c r="I103" i="7"/>
  <c r="I93" i="7"/>
  <c r="I116" i="7" s="1"/>
  <c r="D92" i="7"/>
  <c r="G92" i="7" s="1"/>
  <c r="J92" i="7" s="1"/>
  <c r="D91" i="7"/>
  <c r="G91" i="7" s="1"/>
  <c r="J91" i="7" s="1"/>
  <c r="I97" i="7"/>
  <c r="I112" i="7" s="1"/>
  <c r="G89" i="7"/>
  <c r="D93" i="7"/>
  <c r="G93" i="7" s="1"/>
  <c r="J86" i="7"/>
  <c r="C85" i="7"/>
  <c r="G85" i="7" s="1"/>
  <c r="J85" i="7" s="1"/>
  <c r="E84" i="7"/>
  <c r="C84" i="7"/>
  <c r="G84" i="7" s="1"/>
  <c r="J84" i="7" s="1"/>
  <c r="C83" i="7"/>
  <c r="G83" i="7" s="1"/>
  <c r="J83" i="7" s="1"/>
  <c r="E81" i="7"/>
  <c r="C81" i="7"/>
  <c r="G81" i="7" s="1"/>
  <c r="I81" i="7"/>
  <c r="D80" i="7"/>
  <c r="E80" i="7" s="1"/>
  <c r="C80" i="7"/>
  <c r="C79" i="7"/>
  <c r="G79" i="7" s="1"/>
  <c r="C78" i="7"/>
  <c r="G78" i="7" s="1"/>
  <c r="J78" i="7" s="1"/>
  <c r="I77" i="7"/>
  <c r="G77" i="7"/>
  <c r="J77" i="7" s="1"/>
  <c r="D75" i="7"/>
  <c r="D71" i="7"/>
  <c r="I68" i="7"/>
  <c r="F65" i="7"/>
  <c r="C61" i="7"/>
  <c r="C63" i="7" s="1"/>
  <c r="G63" i="7" s="1"/>
  <c r="J63" i="7" s="1"/>
  <c r="G60" i="7"/>
  <c r="J60" i="7" s="1"/>
  <c r="G59" i="7"/>
  <c r="J59" i="7" s="1"/>
  <c r="G55" i="7"/>
  <c r="F56" i="7" s="1"/>
  <c r="G56" i="7" s="1"/>
  <c r="I54" i="7"/>
  <c r="I53" i="7"/>
  <c r="I69" i="7" s="1"/>
  <c r="I52" i="7"/>
  <c r="I70" i="7" s="1"/>
  <c r="I51" i="7"/>
  <c r="I67" i="7" s="1"/>
  <c r="F50" i="7"/>
  <c r="G50" i="7" s="1"/>
  <c r="G51" i="7" s="1"/>
  <c r="C53" i="7" s="1"/>
  <c r="G53" i="7" s="1"/>
  <c r="I49" i="7"/>
  <c r="I72" i="7" s="1"/>
  <c r="F49" i="7"/>
  <c r="D49" i="7"/>
  <c r="C49" i="7"/>
  <c r="F48" i="7"/>
  <c r="D48" i="7"/>
  <c r="I47" i="7"/>
  <c r="I65" i="7" s="1"/>
  <c r="G47" i="7"/>
  <c r="G44" i="7"/>
  <c r="F45" i="7" s="1"/>
  <c r="G45" i="7" s="1"/>
  <c r="F39" i="7"/>
  <c r="G39" i="7" s="1"/>
  <c r="G40" i="7" s="1"/>
  <c r="C41" i="7" s="1"/>
  <c r="G41" i="7" s="1"/>
  <c r="J41" i="7" s="1"/>
  <c r="F38" i="7"/>
  <c r="G38" i="7" s="1"/>
  <c r="J38" i="7" s="1"/>
  <c r="F37" i="7"/>
  <c r="G37" i="7" s="1"/>
  <c r="J37" i="7" s="1"/>
  <c r="G35" i="7"/>
  <c r="G36" i="7" s="1"/>
  <c r="J36" i="7" s="1"/>
  <c r="I30" i="7"/>
  <c r="I45" i="7" s="1"/>
  <c r="E30" i="7"/>
  <c r="D30" i="7"/>
  <c r="C30" i="7"/>
  <c r="O29" i="7"/>
  <c r="E29" i="7"/>
  <c r="F26" i="7"/>
  <c r="C26" i="7"/>
  <c r="C14" i="7" s="1"/>
  <c r="C17" i="7" s="1"/>
  <c r="F22" i="7"/>
  <c r="D22" i="7"/>
  <c r="D26" i="7" s="1"/>
  <c r="F21" i="7"/>
  <c r="E21" i="7"/>
  <c r="D21" i="7"/>
  <c r="C21" i="7"/>
  <c r="C25" i="7" s="1"/>
  <c r="F20" i="7"/>
  <c r="F24" i="7" s="1"/>
  <c r="E20" i="7"/>
  <c r="D20" i="7"/>
  <c r="C20" i="7"/>
  <c r="C24" i="7" s="1"/>
  <c r="E19" i="7"/>
  <c r="D19" i="7"/>
  <c r="C19" i="7"/>
  <c r="E17" i="7"/>
  <c r="E16" i="7"/>
  <c r="D16" i="7"/>
  <c r="C16" i="7"/>
  <c r="E14" i="7"/>
  <c r="E13" i="7"/>
  <c r="D13" i="7"/>
  <c r="C13" i="7"/>
  <c r="F11" i="7"/>
  <c r="G11" i="7" s="1"/>
  <c r="F10" i="7"/>
  <c r="E10" i="7"/>
  <c r="D10" i="7"/>
  <c r="C10" i="7"/>
  <c r="P7" i="7"/>
  <c r="C7" i="7" s="1"/>
  <c r="G6" i="7"/>
  <c r="J6" i="7" s="1"/>
  <c r="J98" i="6" l="1"/>
  <c r="K98" i="6" s="1"/>
  <c r="K118" i="10"/>
  <c r="C9" i="17" s="1"/>
  <c r="J234" i="12"/>
  <c r="J235" i="12" s="1"/>
  <c r="C11" i="17" s="1"/>
  <c r="J55" i="7"/>
  <c r="C62" i="7"/>
  <c r="G62" i="7" s="1"/>
  <c r="J62" i="7" s="1"/>
  <c r="G112" i="7"/>
  <c r="J112" i="7" s="1"/>
  <c r="E144" i="6"/>
  <c r="G144" i="6" s="1"/>
  <c r="J144" i="6" s="1"/>
  <c r="J146" i="6" s="1"/>
  <c r="K146" i="6" s="1"/>
  <c r="J49" i="6"/>
  <c r="K49" i="6" s="1"/>
  <c r="G26" i="7"/>
  <c r="D25" i="7"/>
  <c r="G22" i="7"/>
  <c r="G71" i="7"/>
  <c r="J71" i="7" s="1"/>
  <c r="J132" i="7"/>
  <c r="G30" i="7"/>
  <c r="J30" i="7" s="1"/>
  <c r="G65" i="7"/>
  <c r="G66" i="7" s="1"/>
  <c r="J66" i="7" s="1"/>
  <c r="G67" i="7"/>
  <c r="E69" i="7" s="1"/>
  <c r="G69" i="7" s="1"/>
  <c r="J69" i="7" s="1"/>
  <c r="J135" i="7"/>
  <c r="D24" i="7"/>
  <c r="G48" i="7"/>
  <c r="J48" i="7" s="1"/>
  <c r="E70" i="7"/>
  <c r="G70" i="7" s="1"/>
  <c r="J70" i="7" s="1"/>
  <c r="D72" i="7"/>
  <c r="G72" i="7" s="1"/>
  <c r="J72" i="7" s="1"/>
  <c r="J79" i="7"/>
  <c r="E148" i="7"/>
  <c r="G148" i="7" s="1"/>
  <c r="J148" i="7" s="1"/>
  <c r="J146" i="7"/>
  <c r="D101" i="7"/>
  <c r="D14" i="7"/>
  <c r="D17" i="7" s="1"/>
  <c r="G21" i="7"/>
  <c r="J47" i="7"/>
  <c r="J120" i="7"/>
  <c r="G113" i="7"/>
  <c r="J113" i="7" s="1"/>
  <c r="J44" i="7"/>
  <c r="E75" i="7"/>
  <c r="G75" i="7" s="1"/>
  <c r="G76" i="7" s="1"/>
  <c r="J76" i="7" s="1"/>
  <c r="I117" i="7"/>
  <c r="J117" i="7" s="1"/>
  <c r="J115" i="7"/>
  <c r="G16" i="7"/>
  <c r="G25" i="7"/>
  <c r="G80" i="7"/>
  <c r="E82" i="7" s="1"/>
  <c r="G82" i="7" s="1"/>
  <c r="J82" i="7" s="1"/>
  <c r="J109" i="7"/>
  <c r="G49" i="7"/>
  <c r="G10" i="7"/>
  <c r="D31" i="7" s="1"/>
  <c r="G31" i="7" s="1"/>
  <c r="G19" i="7"/>
  <c r="J19" i="7" s="1"/>
  <c r="G13" i="7"/>
  <c r="G7" i="7"/>
  <c r="J7" i="7" s="1"/>
  <c r="C8" i="7"/>
  <c r="C9" i="7" s="1"/>
  <c r="G9" i="7" s="1"/>
  <c r="J9" i="7" s="1"/>
  <c r="G17" i="7"/>
  <c r="I56" i="7"/>
  <c r="J56" i="7" s="1"/>
  <c r="J45" i="7"/>
  <c r="C29" i="7"/>
  <c r="G29" i="7" s="1"/>
  <c r="J29" i="7" s="1"/>
  <c r="G24" i="7"/>
  <c r="D94" i="7"/>
  <c r="G94" i="7" s="1"/>
  <c r="J94" i="7" s="1"/>
  <c r="J93" i="7"/>
  <c r="G99" i="7"/>
  <c r="J99" i="7" s="1"/>
  <c r="E100" i="7"/>
  <c r="E101" i="7" s="1"/>
  <c r="C43" i="7"/>
  <c r="G43" i="7" s="1"/>
  <c r="J43" i="7" s="1"/>
  <c r="J35" i="7"/>
  <c r="J40" i="7"/>
  <c r="C42" i="7"/>
  <c r="G42" i="7" s="1"/>
  <c r="J42" i="7" s="1"/>
  <c r="J108" i="7"/>
  <c r="E119" i="7"/>
  <c r="G119" i="7" s="1"/>
  <c r="J119" i="7" s="1"/>
  <c r="J51" i="7"/>
  <c r="J53" i="7"/>
  <c r="G61" i="7"/>
  <c r="J61" i="7" s="1"/>
  <c r="J81" i="7"/>
  <c r="J116" i="7"/>
  <c r="G20" i="7"/>
  <c r="G90" i="7"/>
  <c r="J90" i="7" s="1"/>
  <c r="J89" i="7"/>
  <c r="C52" i="7"/>
  <c r="G52" i="7" s="1"/>
  <c r="J52" i="7" s="1"/>
  <c r="D104" i="7"/>
  <c r="G102" i="7"/>
  <c r="E68" i="7"/>
  <c r="G97" i="7"/>
  <c r="D114" i="7"/>
  <c r="G114" i="7" s="1"/>
  <c r="J114" i="7" s="1"/>
  <c r="E197" i="2"/>
  <c r="G197" i="2" s="1"/>
  <c r="E194" i="2"/>
  <c r="E196" i="2" s="1"/>
  <c r="G196" i="2" s="1"/>
  <c r="E128" i="2"/>
  <c r="G128" i="2" s="1"/>
  <c r="J128" i="2" s="1"/>
  <c r="E125" i="2"/>
  <c r="E126" i="2" s="1"/>
  <c r="G126" i="2" s="1"/>
  <c r="E211" i="2"/>
  <c r="E212" i="2" s="1"/>
  <c r="G212" i="2" s="1"/>
  <c r="E179" i="2"/>
  <c r="E185" i="2" s="1"/>
  <c r="E191" i="2" s="1"/>
  <c r="E176" i="2"/>
  <c r="E182" i="2" s="1"/>
  <c r="E188" i="2" s="1"/>
  <c r="E173" i="2"/>
  <c r="E170" i="2"/>
  <c r="D162" i="2"/>
  <c r="E155" i="2"/>
  <c r="G155" i="2" s="1"/>
  <c r="J155" i="2" s="1"/>
  <c r="E152" i="2"/>
  <c r="E154" i="2" s="1"/>
  <c r="G154" i="2" s="1"/>
  <c r="J154" i="2" s="1"/>
  <c r="E149" i="2"/>
  <c r="E134" i="2"/>
  <c r="E146" i="2"/>
  <c r="D140" i="2"/>
  <c r="E131" i="2"/>
  <c r="D114" i="2"/>
  <c r="D91" i="2"/>
  <c r="C87" i="2"/>
  <c r="G87" i="2" s="1"/>
  <c r="J87" i="2" s="1"/>
  <c r="C86" i="2"/>
  <c r="C85" i="2"/>
  <c r="G85" i="2" s="1"/>
  <c r="J85" i="2" s="1"/>
  <c r="C83" i="2"/>
  <c r="C82" i="2"/>
  <c r="C81" i="2"/>
  <c r="G81" i="2" s="1"/>
  <c r="J81" i="2" s="1"/>
  <c r="C80" i="2"/>
  <c r="G80" i="2" s="1"/>
  <c r="J80" i="2" s="1"/>
  <c r="C79" i="2"/>
  <c r="G79" i="2" s="1"/>
  <c r="J88" i="2"/>
  <c r="E86" i="2"/>
  <c r="E83" i="2"/>
  <c r="D82" i="2"/>
  <c r="D77" i="2"/>
  <c r="E77" i="2" s="1"/>
  <c r="G77" i="2" s="1"/>
  <c r="M8" i="2"/>
  <c r="G86" i="2" l="1"/>
  <c r="J86" i="2" s="1"/>
  <c r="J80" i="7"/>
  <c r="G27" i="7"/>
  <c r="J27" i="7" s="1"/>
  <c r="G101" i="7"/>
  <c r="J101" i="7" s="1"/>
  <c r="J67" i="7"/>
  <c r="C54" i="7"/>
  <c r="G54" i="7" s="1"/>
  <c r="J54" i="7" s="1"/>
  <c r="G14" i="7"/>
  <c r="G15" i="7" s="1"/>
  <c r="J15" i="7" s="1"/>
  <c r="J75" i="7"/>
  <c r="G18" i="7"/>
  <c r="J18" i="7" s="1"/>
  <c r="G68" i="7"/>
  <c r="J68" i="7" s="1"/>
  <c r="G100" i="7"/>
  <c r="J100" i="7" s="1"/>
  <c r="G23" i="7"/>
  <c r="J23" i="7" s="1"/>
  <c r="J65" i="7"/>
  <c r="J49" i="7"/>
  <c r="G12" i="7"/>
  <c r="J12" i="7" s="1"/>
  <c r="G8" i="7"/>
  <c r="J8" i="7" s="1"/>
  <c r="J102" i="7"/>
  <c r="D28" i="7"/>
  <c r="G28" i="7" s="1"/>
  <c r="J28" i="7" s="1"/>
  <c r="G98" i="7"/>
  <c r="J98" i="7" s="1"/>
  <c r="J97" i="7"/>
  <c r="G104" i="7"/>
  <c r="J104" i="7" s="1"/>
  <c r="D105" i="7"/>
  <c r="G105" i="7" s="1"/>
  <c r="E195" i="2"/>
  <c r="G195" i="2" s="1"/>
  <c r="E198" i="2" s="1"/>
  <c r="G198" i="2" s="1"/>
  <c r="E129" i="2"/>
  <c r="G129" i="2" s="1"/>
  <c r="J126" i="2"/>
  <c r="E127" i="2"/>
  <c r="G127" i="2" s="1"/>
  <c r="J127" i="2" s="1"/>
  <c r="E214" i="2"/>
  <c r="G214" i="2" s="1"/>
  <c r="J212" i="2"/>
  <c r="E213" i="2"/>
  <c r="G213" i="2" s="1"/>
  <c r="J213" i="2" s="1"/>
  <c r="E153" i="2"/>
  <c r="G153" i="2" s="1"/>
  <c r="J79" i="2"/>
  <c r="G83" i="2"/>
  <c r="G78" i="2"/>
  <c r="J78" i="2" s="1"/>
  <c r="J77" i="2"/>
  <c r="E82" i="2"/>
  <c r="G82" i="2" s="1"/>
  <c r="F236" i="6"/>
  <c r="D238" i="6"/>
  <c r="G238" i="6" s="1"/>
  <c r="J238" i="6" s="1"/>
  <c r="D231" i="6"/>
  <c r="J231" i="6"/>
  <c r="I230" i="6"/>
  <c r="I229" i="6"/>
  <c r="I228" i="6"/>
  <c r="F225" i="6"/>
  <c r="E225" i="6"/>
  <c r="I207" i="6"/>
  <c r="I210" i="6"/>
  <c r="I225" i="6" s="1"/>
  <c r="D215" i="6"/>
  <c r="F210" i="6"/>
  <c r="E215" i="6" s="1"/>
  <c r="E210" i="6"/>
  <c r="E212" i="6" s="1"/>
  <c r="E213" i="6" s="1"/>
  <c r="D210" i="6"/>
  <c r="D212" i="6" s="1"/>
  <c r="D214" i="6" s="1"/>
  <c r="D221" i="6" s="1"/>
  <c r="I222" i="6"/>
  <c r="J219" i="6"/>
  <c r="C218" i="6"/>
  <c r="I217" i="6"/>
  <c r="I233" i="6" s="1"/>
  <c r="D217" i="6"/>
  <c r="D218" i="6" s="1"/>
  <c r="C217" i="6"/>
  <c r="G206" i="6"/>
  <c r="F207" i="6" s="1"/>
  <c r="G207" i="6" s="1"/>
  <c r="I204" i="6"/>
  <c r="F201" i="6"/>
  <c r="G201" i="6" s="1"/>
  <c r="G202" i="6" s="1"/>
  <c r="F200" i="6"/>
  <c r="D200" i="6"/>
  <c r="F199" i="6"/>
  <c r="D199" i="6"/>
  <c r="C199" i="6"/>
  <c r="C200" i="6" s="1"/>
  <c r="G198" i="6"/>
  <c r="J198" i="6" s="1"/>
  <c r="C149" i="6"/>
  <c r="C150" i="6" s="1"/>
  <c r="G156" i="6"/>
  <c r="F157" i="6" s="1"/>
  <c r="G157" i="6" s="1"/>
  <c r="F151" i="6"/>
  <c r="G151" i="6" s="1"/>
  <c r="G152" i="6" s="1"/>
  <c r="F150" i="6"/>
  <c r="D150" i="6"/>
  <c r="F149" i="6"/>
  <c r="D149" i="6"/>
  <c r="G148" i="6"/>
  <c r="J148" i="6" s="1"/>
  <c r="E194" i="6"/>
  <c r="D194" i="6"/>
  <c r="G192" i="6"/>
  <c r="J192" i="6" s="1"/>
  <c r="J191" i="6"/>
  <c r="I190" i="6"/>
  <c r="I157" i="6" s="1"/>
  <c r="E190" i="6"/>
  <c r="D190" i="6"/>
  <c r="C190" i="6"/>
  <c r="J189" i="6"/>
  <c r="D188" i="6"/>
  <c r="C188" i="6"/>
  <c r="J187" i="6"/>
  <c r="C186" i="6"/>
  <c r="J185" i="6"/>
  <c r="J183" i="6"/>
  <c r="J181" i="6"/>
  <c r="E179" i="6"/>
  <c r="D179" i="6"/>
  <c r="C179" i="6"/>
  <c r="E178" i="6"/>
  <c r="C178" i="6"/>
  <c r="E177" i="6"/>
  <c r="C177" i="6"/>
  <c r="J176" i="6"/>
  <c r="F174" i="6"/>
  <c r="E174" i="6"/>
  <c r="D174" i="6"/>
  <c r="C174" i="6"/>
  <c r="F173" i="6"/>
  <c r="E173" i="6"/>
  <c r="D173" i="6"/>
  <c r="D178" i="6" s="1"/>
  <c r="C173" i="6"/>
  <c r="J172" i="6"/>
  <c r="E170" i="6"/>
  <c r="D170" i="6"/>
  <c r="D177" i="6" s="1"/>
  <c r="C170" i="6"/>
  <c r="E168" i="6"/>
  <c r="D168" i="6"/>
  <c r="C168" i="6"/>
  <c r="I167" i="6"/>
  <c r="F166" i="6"/>
  <c r="E166" i="6"/>
  <c r="E186" i="6" s="1"/>
  <c r="D166" i="6"/>
  <c r="D186" i="6" s="1"/>
  <c r="C166" i="6"/>
  <c r="J252" i="6" l="1"/>
  <c r="J284" i="6" s="1"/>
  <c r="K284" i="6" s="1"/>
  <c r="D32" i="7"/>
  <c r="G32" i="7" s="1"/>
  <c r="E103" i="7"/>
  <c r="G103" i="7" s="1"/>
  <c r="J103" i="7" s="1"/>
  <c r="G107" i="7"/>
  <c r="J107" i="7" s="1"/>
  <c r="J105" i="7"/>
  <c r="E156" i="2"/>
  <c r="G156" i="2" s="1"/>
  <c r="J156" i="2" s="1"/>
  <c r="E84" i="2"/>
  <c r="G84" i="2" s="1"/>
  <c r="J84" i="2" s="1"/>
  <c r="G199" i="6"/>
  <c r="J199" i="6" s="1"/>
  <c r="G236" i="6"/>
  <c r="D239" i="6"/>
  <c r="G239" i="6" s="1"/>
  <c r="J239" i="6" s="1"/>
  <c r="D240" i="6"/>
  <c r="G240" i="6" s="1"/>
  <c r="E214" i="6"/>
  <c r="E221" i="6" s="1"/>
  <c r="G221" i="6" s="1"/>
  <c r="F222" i="6" s="1"/>
  <c r="G222" i="6" s="1"/>
  <c r="J222" i="6" s="1"/>
  <c r="G210" i="6"/>
  <c r="G211" i="6" s="1"/>
  <c r="J211" i="6" s="1"/>
  <c r="G200" i="6"/>
  <c r="J200" i="6" s="1"/>
  <c r="D233" i="6"/>
  <c r="G233" i="6" s="1"/>
  <c r="J233" i="6" s="1"/>
  <c r="D227" i="6"/>
  <c r="G227" i="6" s="1"/>
  <c r="J227" i="6" s="1"/>
  <c r="G225" i="6"/>
  <c r="D228" i="6"/>
  <c r="G228" i="6" s="1"/>
  <c r="J228" i="6" s="1"/>
  <c r="D229" i="6"/>
  <c r="G229" i="6" s="1"/>
  <c r="D230" i="6"/>
  <c r="G230" i="6" s="1"/>
  <c r="J230" i="6" s="1"/>
  <c r="E217" i="6"/>
  <c r="E218" i="6" s="1"/>
  <c r="G218" i="6" s="1"/>
  <c r="G215" i="6"/>
  <c r="C203" i="6"/>
  <c r="G203" i="6" s="1"/>
  <c r="J203" i="6" s="1"/>
  <c r="C204" i="6"/>
  <c r="G204" i="6" s="1"/>
  <c r="J204" i="6" s="1"/>
  <c r="J202" i="6"/>
  <c r="J207" i="6"/>
  <c r="J206" i="6"/>
  <c r="G168" i="6"/>
  <c r="G169" i="6" s="1"/>
  <c r="J169" i="6" s="1"/>
  <c r="G150" i="6"/>
  <c r="G149" i="6"/>
  <c r="J149" i="6" s="1"/>
  <c r="C154" i="6"/>
  <c r="G154" i="6" s="1"/>
  <c r="J154" i="6" s="1"/>
  <c r="C153" i="6"/>
  <c r="G153" i="6" s="1"/>
  <c r="J153" i="6" s="1"/>
  <c r="J152" i="6"/>
  <c r="J156" i="6"/>
  <c r="G166" i="6"/>
  <c r="G167" i="6" s="1"/>
  <c r="G194" i="6"/>
  <c r="G195" i="6" s="1"/>
  <c r="J195" i="6" s="1"/>
  <c r="G186" i="6"/>
  <c r="J186" i="6" s="1"/>
  <c r="G170" i="6"/>
  <c r="J170" i="6" s="1"/>
  <c r="G178" i="6"/>
  <c r="J178" i="6" s="1"/>
  <c r="G173" i="6"/>
  <c r="J173" i="6" s="1"/>
  <c r="G174" i="6"/>
  <c r="J174" i="6" s="1"/>
  <c r="G177" i="6"/>
  <c r="J177" i="6" s="1"/>
  <c r="G190" i="6"/>
  <c r="J190" i="6" s="1"/>
  <c r="J194" i="6"/>
  <c r="G179" i="6"/>
  <c r="J179" i="6" s="1"/>
  <c r="G188" i="6"/>
  <c r="J188" i="6" s="1"/>
  <c r="J167" i="6"/>
  <c r="G193" i="6"/>
  <c r="J193" i="6" s="1"/>
  <c r="I179" i="2"/>
  <c r="I185" i="2" s="1"/>
  <c r="I178" i="2"/>
  <c r="I177" i="2"/>
  <c r="I183" i="2" s="1"/>
  <c r="I189" i="2" s="1"/>
  <c r="J166" i="2"/>
  <c r="I165" i="2"/>
  <c r="I147" i="2"/>
  <c r="J144" i="2"/>
  <c r="I143" i="2"/>
  <c r="I139" i="2"/>
  <c r="I111" i="2"/>
  <c r="I135" i="2" s="1"/>
  <c r="I150" i="2" s="1"/>
  <c r="I106" i="2"/>
  <c r="I122" i="2" s="1"/>
  <c r="I140" i="2" s="1"/>
  <c r="I70" i="2"/>
  <c r="I56" i="2"/>
  <c r="I55" i="2"/>
  <c r="I71" i="2" s="1"/>
  <c r="I105" i="2" s="1"/>
  <c r="I129" i="2" s="1"/>
  <c r="J129" i="2" s="1"/>
  <c r="I54" i="2"/>
  <c r="I72" i="2" s="1"/>
  <c r="I53" i="2"/>
  <c r="I69" i="2" s="1"/>
  <c r="I51" i="2"/>
  <c r="I49" i="2"/>
  <c r="I67" i="2" s="1"/>
  <c r="I99" i="2" s="1"/>
  <c r="I114" i="2" s="1"/>
  <c r="I31" i="2"/>
  <c r="I47" i="2" s="1"/>
  <c r="I58" i="2" s="1"/>
  <c r="J150" i="7" l="1"/>
  <c r="I74" i="2"/>
  <c r="I94" i="2"/>
  <c r="I95" i="2"/>
  <c r="I82" i="2"/>
  <c r="I201" i="2"/>
  <c r="I195" i="2"/>
  <c r="J195" i="2" s="1"/>
  <c r="D241" i="6"/>
  <c r="G241" i="6" s="1"/>
  <c r="J241" i="6" s="1"/>
  <c r="J240" i="6"/>
  <c r="J236" i="6"/>
  <c r="G237" i="6"/>
  <c r="J237" i="6" s="1"/>
  <c r="C205" i="6"/>
  <c r="G205" i="6" s="1"/>
  <c r="J205" i="6" s="1"/>
  <c r="J208" i="6" s="1"/>
  <c r="K208" i="6" s="1"/>
  <c r="J210" i="6"/>
  <c r="G226" i="6"/>
  <c r="J226" i="6" s="1"/>
  <c r="J225" i="6"/>
  <c r="J229" i="6"/>
  <c r="E232" i="6"/>
  <c r="G232" i="6" s="1"/>
  <c r="J232" i="6" s="1"/>
  <c r="J221" i="6"/>
  <c r="G217" i="6"/>
  <c r="J217" i="6" s="1"/>
  <c r="G220" i="6"/>
  <c r="J220" i="6" s="1"/>
  <c r="J218" i="6"/>
  <c r="G212" i="6"/>
  <c r="J212" i="6" s="1"/>
  <c r="G214" i="6"/>
  <c r="J214" i="6" s="1"/>
  <c r="D213" i="6"/>
  <c r="G213" i="6" s="1"/>
  <c r="J213" i="6" s="1"/>
  <c r="J215" i="6"/>
  <c r="G171" i="6"/>
  <c r="J171" i="6" s="1"/>
  <c r="J168" i="6"/>
  <c r="C155" i="6"/>
  <c r="G155" i="6" s="1"/>
  <c r="J155" i="6" s="1"/>
  <c r="J150" i="6"/>
  <c r="G175" i="6"/>
  <c r="E182" i="6" s="1"/>
  <c r="G182" i="6" s="1"/>
  <c r="J182" i="6" s="1"/>
  <c r="G180" i="6"/>
  <c r="J180" i="6" s="1"/>
  <c r="I174" i="2"/>
  <c r="I191" i="2"/>
  <c r="I197" i="2" s="1"/>
  <c r="J197" i="2" s="1"/>
  <c r="I184" i="2"/>
  <c r="I102" i="2" l="1"/>
  <c r="I117" i="2" s="1"/>
  <c r="I103" i="2"/>
  <c r="I118" i="2" s="1"/>
  <c r="I83" i="2"/>
  <c r="J82" i="2"/>
  <c r="J153" i="2"/>
  <c r="J242" i="6"/>
  <c r="K242" i="6" s="1"/>
  <c r="J234" i="6"/>
  <c r="K234" i="6" s="1"/>
  <c r="E216" i="6"/>
  <c r="G216" i="6" s="1"/>
  <c r="J216" i="6" s="1"/>
  <c r="J223" i="6" s="1"/>
  <c r="K223" i="6" s="1"/>
  <c r="J175" i="6"/>
  <c r="D184" i="6"/>
  <c r="G184" i="6" s="1"/>
  <c r="J184" i="6" s="1"/>
  <c r="I180" i="2"/>
  <c r="I190" i="2"/>
  <c r="I196" i="2" s="1"/>
  <c r="J196" i="2" s="1"/>
  <c r="I203" i="2"/>
  <c r="I104" i="2" l="1"/>
  <c r="I119" i="2" s="1"/>
  <c r="I138" i="2" s="1"/>
  <c r="J83" i="2"/>
  <c r="J196" i="6"/>
  <c r="K196" i="6" s="1"/>
  <c r="I202" i="2"/>
  <c r="I186" i="2"/>
  <c r="K150" i="7" l="1"/>
  <c r="C6" i="17" s="1"/>
  <c r="I192" i="2"/>
  <c r="I198" i="2" s="1"/>
  <c r="J198" i="2" s="1"/>
  <c r="I204" i="2" l="1"/>
  <c r="J157" i="6" l="1"/>
  <c r="J158" i="6" s="1"/>
  <c r="K158" i="6" s="1"/>
  <c r="K285" i="6" s="1"/>
  <c r="C4" i="17" s="1"/>
  <c r="I209" i="2"/>
  <c r="I214" i="2" s="1"/>
  <c r="J214" i="2" s="1"/>
  <c r="E167" i="2" l="1"/>
  <c r="D167" i="2"/>
  <c r="G165" i="2"/>
  <c r="J165" i="2" s="1"/>
  <c r="D164" i="2"/>
  <c r="G164" i="2" s="1"/>
  <c r="J164" i="2" s="1"/>
  <c r="G163" i="2"/>
  <c r="J163" i="2" s="1"/>
  <c r="G162" i="2"/>
  <c r="J162" i="2" s="1"/>
  <c r="G160" i="2"/>
  <c r="E161" i="2" s="1"/>
  <c r="G161" i="2" s="1"/>
  <c r="J161" i="2" s="1"/>
  <c r="G159" i="2"/>
  <c r="J159" i="2" s="1"/>
  <c r="G143" i="2"/>
  <c r="J143" i="2" s="1"/>
  <c r="D142" i="2"/>
  <c r="G142" i="2" s="1"/>
  <c r="J142" i="2" s="1"/>
  <c r="G141" i="2"/>
  <c r="J141" i="2" s="1"/>
  <c r="G140" i="2"/>
  <c r="J140" i="2" s="1"/>
  <c r="G138" i="2"/>
  <c r="E139" i="2" s="1"/>
  <c r="G139" i="2" s="1"/>
  <c r="J139" i="2" s="1"/>
  <c r="G137" i="2"/>
  <c r="J137" i="2" s="1"/>
  <c r="D117" i="2"/>
  <c r="G117" i="2" s="1"/>
  <c r="J117" i="2" s="1"/>
  <c r="F99" i="2"/>
  <c r="E104" i="2" s="1"/>
  <c r="E106" i="2" s="1"/>
  <c r="E107" i="2" s="1"/>
  <c r="C107" i="2"/>
  <c r="C106" i="2"/>
  <c r="D104" i="2"/>
  <c r="D106" i="2" s="1"/>
  <c r="D107" i="2" s="1"/>
  <c r="D93" i="2"/>
  <c r="G93" i="2" s="1"/>
  <c r="J93" i="2" s="1"/>
  <c r="J120" i="2"/>
  <c r="F114" i="2"/>
  <c r="E114" i="2"/>
  <c r="G110" i="2"/>
  <c r="J110" i="2" s="1"/>
  <c r="J108" i="2"/>
  <c r="E99" i="2"/>
  <c r="E101" i="2" s="1"/>
  <c r="E102" i="2" s="1"/>
  <c r="E103" i="2" s="1"/>
  <c r="D99" i="2"/>
  <c r="D101" i="2" s="1"/>
  <c r="G167" i="2" l="1"/>
  <c r="J167" i="2" s="1"/>
  <c r="J160" i="2"/>
  <c r="J138" i="2"/>
  <c r="G114" i="2"/>
  <c r="G115" i="2" s="1"/>
  <c r="J115" i="2" s="1"/>
  <c r="F111" i="2"/>
  <c r="G111" i="2" s="1"/>
  <c r="J111" i="2" s="1"/>
  <c r="G107" i="2"/>
  <c r="G106" i="2"/>
  <c r="J106" i="2" s="1"/>
  <c r="D116" i="2"/>
  <c r="G116" i="2" s="1"/>
  <c r="J116" i="2" s="1"/>
  <c r="D120" i="2"/>
  <c r="D119" i="2"/>
  <c r="G119" i="2" s="1"/>
  <c r="J119" i="2" s="1"/>
  <c r="D122" i="2"/>
  <c r="G122" i="2" s="1"/>
  <c r="J122" i="2" s="1"/>
  <c r="D118" i="2"/>
  <c r="G118" i="2" s="1"/>
  <c r="G99" i="2"/>
  <c r="G100" i="2" s="1"/>
  <c r="J100" i="2" s="1"/>
  <c r="G101" i="2"/>
  <c r="J101" i="2" s="1"/>
  <c r="D95" i="2"/>
  <c r="G95" i="2" s="1"/>
  <c r="J95" i="2" s="1"/>
  <c r="D102" i="2"/>
  <c r="G102" i="2" s="1"/>
  <c r="J102" i="2" s="1"/>
  <c r="D103" i="2"/>
  <c r="G103" i="2" s="1"/>
  <c r="J103" i="2" s="1"/>
  <c r="G104" i="2"/>
  <c r="D94" i="2"/>
  <c r="G94" i="2" s="1"/>
  <c r="J94" i="2" s="1"/>
  <c r="G91" i="2"/>
  <c r="J114" i="2" l="1"/>
  <c r="J107" i="2"/>
  <c r="G109" i="2"/>
  <c r="J109" i="2" s="1"/>
  <c r="E121" i="2"/>
  <c r="G121" i="2" s="1"/>
  <c r="J121" i="2" s="1"/>
  <c r="J118" i="2"/>
  <c r="J99" i="2"/>
  <c r="D96" i="2"/>
  <c r="G96" i="2" s="1"/>
  <c r="J96" i="2" s="1"/>
  <c r="E105" i="2"/>
  <c r="G105" i="2" s="1"/>
  <c r="J105" i="2" s="1"/>
  <c r="J104" i="2"/>
  <c r="G92" i="2"/>
  <c r="J92" i="2" s="1"/>
  <c r="J91" i="2"/>
  <c r="C63" i="2" l="1"/>
  <c r="G63" i="2" s="1"/>
  <c r="J63" i="2" s="1"/>
  <c r="D73" i="2"/>
  <c r="E69" i="2"/>
  <c r="D67" i="2"/>
  <c r="E70" i="2" s="1"/>
  <c r="F67" i="2"/>
  <c r="G62" i="2"/>
  <c r="J62" i="2" s="1"/>
  <c r="G61" i="2"/>
  <c r="J61" i="2" s="1"/>
  <c r="D74" i="2" l="1"/>
  <c r="E72" i="2"/>
  <c r="C64" i="2"/>
  <c r="G64" i="2" s="1"/>
  <c r="J64" i="2" s="1"/>
  <c r="C65" i="2"/>
  <c r="G65" i="2" s="1"/>
  <c r="J65" i="2" s="1"/>
  <c r="P8" i="2"/>
  <c r="G73" i="2"/>
  <c r="J73" i="2" s="1"/>
  <c r="G69" i="2"/>
  <c r="J69" i="2" l="1"/>
  <c r="E71" i="2"/>
  <c r="G70" i="2"/>
  <c r="J70" i="2" s="1"/>
  <c r="G72" i="2"/>
  <c r="J72" i="2" s="1"/>
  <c r="E67" i="2"/>
  <c r="E74" i="2" s="1"/>
  <c r="G74" i="2" s="1"/>
  <c r="J74" i="2" s="1"/>
  <c r="G67" i="2" l="1"/>
  <c r="G71" i="2"/>
  <c r="J71" i="2" s="1"/>
  <c r="G68" i="2" l="1"/>
  <c r="J68" i="2" s="1"/>
  <c r="J67" i="2"/>
  <c r="G57" i="2" l="1"/>
  <c r="J57" i="2" s="1"/>
  <c r="F52" i="2"/>
  <c r="G52" i="2" s="1"/>
  <c r="G53" i="2" s="1"/>
  <c r="F51" i="2"/>
  <c r="D51" i="2"/>
  <c r="C51" i="2"/>
  <c r="F50" i="2"/>
  <c r="D50" i="2"/>
  <c r="G49" i="2"/>
  <c r="J49" i="2" s="1"/>
  <c r="G46" i="2"/>
  <c r="F47" i="2" s="1"/>
  <c r="G47" i="2" s="1"/>
  <c r="J47" i="2" s="1"/>
  <c r="F41" i="2"/>
  <c r="G41" i="2" s="1"/>
  <c r="G42" i="2" s="1"/>
  <c r="F40" i="2"/>
  <c r="G40" i="2" s="1"/>
  <c r="J40" i="2" s="1"/>
  <c r="F39" i="2"/>
  <c r="G39" i="2" s="1"/>
  <c r="J39" i="2" s="1"/>
  <c r="G37" i="2"/>
  <c r="J37" i="2" s="1"/>
  <c r="F58" i="2" l="1"/>
  <c r="G58" i="2" s="1"/>
  <c r="J58" i="2" s="1"/>
  <c r="G51" i="2"/>
  <c r="J51" i="2" s="1"/>
  <c r="G50" i="2"/>
  <c r="G38" i="2"/>
  <c r="J38" i="2" s="1"/>
  <c r="C54" i="2"/>
  <c r="G54" i="2" s="1"/>
  <c r="J54" i="2" s="1"/>
  <c r="C55" i="2"/>
  <c r="G55" i="2" s="1"/>
  <c r="J55" i="2" s="1"/>
  <c r="J53" i="2"/>
  <c r="C44" i="2"/>
  <c r="G44" i="2" s="1"/>
  <c r="J44" i="2" s="1"/>
  <c r="J42" i="2"/>
  <c r="C43" i="2"/>
  <c r="G43" i="2" s="1"/>
  <c r="J43" i="2" s="1"/>
  <c r="C45" i="2"/>
  <c r="G45" i="2" s="1"/>
  <c r="J45" i="2" s="1"/>
  <c r="J46" i="2"/>
  <c r="C56" i="2" l="1"/>
  <c r="G56" i="2" s="1"/>
  <c r="J56" i="2" s="1"/>
  <c r="J50" i="2"/>
  <c r="E206" i="2"/>
  <c r="E207" i="2" s="1"/>
  <c r="G207" i="2" s="1"/>
  <c r="E203" i="2"/>
  <c r="G203" i="2" s="1"/>
  <c r="J203" i="2" s="1"/>
  <c r="E200" i="2"/>
  <c r="E201" i="2" s="1"/>
  <c r="G201" i="2" s="1"/>
  <c r="G191" i="2"/>
  <c r="J191" i="2" s="1"/>
  <c r="E189" i="2"/>
  <c r="G189" i="2" s="1"/>
  <c r="G185" i="2"/>
  <c r="J185" i="2" s="1"/>
  <c r="E183" i="2"/>
  <c r="G183" i="2" s="1"/>
  <c r="G179" i="2"/>
  <c r="J179" i="2" s="1"/>
  <c r="E177" i="2"/>
  <c r="G177" i="2" s="1"/>
  <c r="G173" i="2"/>
  <c r="J173" i="2" s="1"/>
  <c r="E171" i="2"/>
  <c r="G171" i="2" s="1"/>
  <c r="G149" i="2"/>
  <c r="J149" i="2" s="1"/>
  <c r="E147" i="2"/>
  <c r="G147" i="2" s="1"/>
  <c r="G134" i="2"/>
  <c r="J134" i="2" s="1"/>
  <c r="C8" i="2"/>
  <c r="G7" i="2"/>
  <c r="J7" i="2" s="1"/>
  <c r="O30" i="2"/>
  <c r="E30" i="2"/>
  <c r="E15" i="2"/>
  <c r="E18" i="2"/>
  <c r="F23" i="2"/>
  <c r="G12" i="2"/>
  <c r="F27" i="2"/>
  <c r="C27" i="2"/>
  <c r="C15" i="2" s="1"/>
  <c r="C18" i="2" s="1"/>
  <c r="D23" i="2"/>
  <c r="D27" i="2" s="1"/>
  <c r="D15" i="2" s="1"/>
  <c r="E31" i="2"/>
  <c r="D31" i="2"/>
  <c r="C31" i="2"/>
  <c r="F22" i="2"/>
  <c r="E22" i="2"/>
  <c r="D22" i="2"/>
  <c r="C22" i="2"/>
  <c r="C26" i="2" s="1"/>
  <c r="F21" i="2"/>
  <c r="F25" i="2" s="1"/>
  <c r="E21" i="2"/>
  <c r="D21" i="2"/>
  <c r="C21" i="2"/>
  <c r="C25" i="2" s="1"/>
  <c r="E20" i="2"/>
  <c r="D20" i="2"/>
  <c r="C20" i="2"/>
  <c r="E17" i="2"/>
  <c r="D17" i="2"/>
  <c r="C17" i="2"/>
  <c r="E14" i="2"/>
  <c r="D14" i="2"/>
  <c r="F11" i="2"/>
  <c r="C14" i="2"/>
  <c r="C11" i="2"/>
  <c r="E11" i="2"/>
  <c r="D11" i="2"/>
  <c r="G20" i="2" l="1"/>
  <c r="J20" i="2" s="1"/>
  <c r="D25" i="2"/>
  <c r="G25" i="2" s="1"/>
  <c r="D26" i="2"/>
  <c r="G26" i="2" s="1"/>
  <c r="E209" i="2"/>
  <c r="G209" i="2" s="1"/>
  <c r="J209" i="2" s="1"/>
  <c r="J207" i="2"/>
  <c r="E208" i="2"/>
  <c r="G208" i="2" s="1"/>
  <c r="J208" i="2" s="1"/>
  <c r="E204" i="2"/>
  <c r="G204" i="2" s="1"/>
  <c r="J204" i="2" s="1"/>
  <c r="J201" i="2"/>
  <c r="E202" i="2"/>
  <c r="G202" i="2" s="1"/>
  <c r="J202" i="2" s="1"/>
  <c r="E192" i="2"/>
  <c r="G192" i="2" s="1"/>
  <c r="J192" i="2" s="1"/>
  <c r="J189" i="2"/>
  <c r="E190" i="2"/>
  <c r="G190" i="2" s="1"/>
  <c r="J190" i="2" s="1"/>
  <c r="E186" i="2"/>
  <c r="G186" i="2" s="1"/>
  <c r="J186" i="2" s="1"/>
  <c r="J183" i="2"/>
  <c r="E184" i="2"/>
  <c r="G184" i="2" s="1"/>
  <c r="J184" i="2" s="1"/>
  <c r="E180" i="2"/>
  <c r="G180" i="2" s="1"/>
  <c r="J180" i="2" s="1"/>
  <c r="J177" i="2"/>
  <c r="E178" i="2"/>
  <c r="G178" i="2" s="1"/>
  <c r="J178" i="2" s="1"/>
  <c r="E174" i="2"/>
  <c r="G174" i="2" s="1"/>
  <c r="J174" i="2" s="1"/>
  <c r="J171" i="2"/>
  <c r="E172" i="2"/>
  <c r="G172" i="2" s="1"/>
  <c r="J172" i="2" s="1"/>
  <c r="G31" i="2"/>
  <c r="J31" i="2" s="1"/>
  <c r="E150" i="2"/>
  <c r="G150" i="2" s="1"/>
  <c r="J150" i="2" s="1"/>
  <c r="J147" i="2"/>
  <c r="E148" i="2"/>
  <c r="G148" i="2" s="1"/>
  <c r="J148" i="2" s="1"/>
  <c r="C9" i="2"/>
  <c r="G9" i="2" s="1"/>
  <c r="J9" i="2" s="1"/>
  <c r="G8" i="2"/>
  <c r="J8" i="2" s="1"/>
  <c r="D18" i="2"/>
  <c r="G18" i="2" s="1"/>
  <c r="G15" i="2"/>
  <c r="G27" i="2"/>
  <c r="C30" i="2"/>
  <c r="G30" i="2" s="1"/>
  <c r="J30" i="2" s="1"/>
  <c r="G23" i="2"/>
  <c r="G14" i="2"/>
  <c r="C10" i="2" l="1"/>
  <c r="G10" i="2" s="1"/>
  <c r="J10" i="2" s="1"/>
  <c r="G16" i="2"/>
  <c r="J16" i="2" s="1"/>
  <c r="G28" i="2"/>
  <c r="J28" i="2" s="1"/>
  <c r="E133" i="2" l="1"/>
  <c r="G133" i="2" s="1"/>
  <c r="J133" i="2" s="1"/>
  <c r="G22" i="2"/>
  <c r="G21" i="2"/>
  <c r="G17" i="2"/>
  <c r="G19" i="2" s="1"/>
  <c r="J19" i="2" s="1"/>
  <c r="G11" i="2"/>
  <c r="G13" i="2" s="1"/>
  <c r="J13" i="2" s="1"/>
  <c r="G24" i="2" l="1"/>
  <c r="J24" i="2" s="1"/>
  <c r="D33" i="2"/>
  <c r="G33" i="2" s="1"/>
  <c r="D32" i="2"/>
  <c r="G32" i="2" s="1"/>
  <c r="E132" i="2"/>
  <c r="G132" i="2" s="1"/>
  <c r="J132" i="2" s="1"/>
  <c r="G34" i="2" l="1"/>
  <c r="J34" i="2" s="1"/>
  <c r="E135" i="2"/>
  <c r="G135" i="2" s="1"/>
  <c r="J135" i="2" s="1"/>
  <c r="D29" i="2"/>
  <c r="G29" i="2" s="1"/>
  <c r="J29" i="2" s="1"/>
  <c r="J215" i="2" l="1"/>
  <c r="K215" i="2" s="1"/>
  <c r="C5" i="17" s="1"/>
  <c r="C19" i="17" l="1"/>
</calcChain>
</file>

<file path=xl/sharedStrings.xml><?xml version="1.0" encoding="utf-8"?>
<sst xmlns="http://schemas.openxmlformats.org/spreadsheetml/2006/main" count="2679" uniqueCount="407">
  <si>
    <t>Description</t>
  </si>
  <si>
    <t>Unit</t>
  </si>
  <si>
    <t>Qty</t>
  </si>
  <si>
    <t>Rate</t>
  </si>
  <si>
    <t>LS</t>
  </si>
  <si>
    <t>Reinforcement</t>
  </si>
  <si>
    <t>Sr.No</t>
  </si>
  <si>
    <t>L</t>
  </si>
  <si>
    <t>B</t>
  </si>
  <si>
    <t>No</t>
  </si>
  <si>
    <t>Amounts</t>
  </si>
  <si>
    <t>A</t>
  </si>
  <si>
    <t>cum</t>
  </si>
  <si>
    <t>Soling</t>
  </si>
  <si>
    <t>Pcc</t>
  </si>
  <si>
    <t>h</t>
  </si>
  <si>
    <t>Total rcc</t>
  </si>
  <si>
    <t>Form work</t>
  </si>
  <si>
    <t>Reinforment steel</t>
  </si>
  <si>
    <t>Foundation bolt</t>
  </si>
  <si>
    <t>Floor area</t>
  </si>
  <si>
    <t>Structural steel</t>
  </si>
  <si>
    <t>Grating</t>
  </si>
  <si>
    <t>Hand railing</t>
  </si>
  <si>
    <t>Painting</t>
  </si>
  <si>
    <t xml:space="preserve"> </t>
  </si>
  <si>
    <t>Grass Amounts</t>
  </si>
  <si>
    <t>Piling Work</t>
  </si>
  <si>
    <t xml:space="preserve">Piling Works - Square pile 250 mm x 250 mm </t>
  </si>
  <si>
    <t xml:space="preserve"> - Mobilization and demobilization crane and Piling Jack rig</t>
  </si>
  <si>
    <t xml:space="preserve"> - Supply and driven to set Square pile 250 mm x 250 mm </t>
  </si>
  <si>
    <t xml:space="preserve"> - Cut of pile head to required elevation and remove outside area</t>
  </si>
  <si>
    <t xml:space="preserve"> - Welding to join piles</t>
  </si>
  <si>
    <t>Raft</t>
  </si>
  <si>
    <t>Sand Filling</t>
  </si>
  <si>
    <t>Rcc footing in M30</t>
  </si>
  <si>
    <t>SQM</t>
  </si>
  <si>
    <t>Total</t>
  </si>
  <si>
    <t>no</t>
  </si>
  <si>
    <t>M</t>
  </si>
  <si>
    <t>Cum</t>
  </si>
  <si>
    <t>Grouting of Foundation</t>
  </si>
  <si>
    <t>Plinth Beam</t>
  </si>
  <si>
    <t>Beam</t>
  </si>
  <si>
    <t>Backfilling</t>
  </si>
  <si>
    <t>Deduction</t>
  </si>
  <si>
    <t>Piles</t>
  </si>
  <si>
    <t>RM</t>
  </si>
  <si>
    <t xml:space="preserve">Structural steel for cooling Tower </t>
  </si>
  <si>
    <t>Pump Foundation ( Big)</t>
  </si>
  <si>
    <t>Excavation</t>
  </si>
  <si>
    <t>CUM</t>
  </si>
  <si>
    <t>Disposal of Soil</t>
  </si>
  <si>
    <t>PCC</t>
  </si>
  <si>
    <t>RCC in Raft</t>
  </si>
  <si>
    <t>Shuttering</t>
  </si>
  <si>
    <t>KG</t>
  </si>
  <si>
    <t>Pockets</t>
  </si>
  <si>
    <t>Grouting of GP2</t>
  </si>
  <si>
    <t>Civil Pump Foundation ( Small)</t>
  </si>
  <si>
    <t>Excavation of soil</t>
  </si>
  <si>
    <t>Transporting of excavated soil</t>
  </si>
  <si>
    <t>P/L of Top Slab</t>
  </si>
  <si>
    <t xml:space="preserve">Reinforcement steel </t>
  </si>
  <si>
    <t>Shuttering for Pardi, RCC work</t>
  </si>
  <si>
    <t>Foundation Bolt</t>
  </si>
  <si>
    <t>Total Amounts</t>
  </si>
  <si>
    <t>Nos</t>
  </si>
  <si>
    <t>BLD</t>
  </si>
  <si>
    <t>Piling Works - Spun pile Dia. 450 mm (For Tank Farm)</t>
  </si>
  <si>
    <t xml:space="preserve"> - Mobilization and Demobilization service crane</t>
  </si>
  <si>
    <t xml:space="preserve"> - Supply and driven to set Spun pile Dia. 450 mm </t>
  </si>
  <si>
    <t>Sand Filling bottom</t>
  </si>
  <si>
    <t>Pcc For Foundation</t>
  </si>
  <si>
    <t>Control  Room ( 10 x 5.5)</t>
  </si>
  <si>
    <t>Transporting of excavated soil outside the company Premises</t>
  </si>
  <si>
    <t>P/L of 230mm thk. Rubble soling.</t>
  </si>
  <si>
    <t>P/L of Pcc in M10</t>
  </si>
  <si>
    <t>P/L of RCC in M25</t>
  </si>
  <si>
    <t>P/L of 9"thk. Soling</t>
  </si>
  <si>
    <t>P/L Of PCC in M10</t>
  </si>
  <si>
    <t xml:space="preserve">P/L of RCC raft </t>
  </si>
  <si>
    <t>P/L of RCC PARDI in M25</t>
  </si>
  <si>
    <t>Plastering of Tank</t>
  </si>
  <si>
    <t>Mis. Refractory Work</t>
  </si>
  <si>
    <t>Sqm</t>
  </si>
  <si>
    <t>Structural Cover</t>
  </si>
  <si>
    <t>Painting for the above work</t>
  </si>
  <si>
    <t>P/L:Of PCC in M10</t>
  </si>
  <si>
    <t>P/L of RCC Pardi in M25</t>
  </si>
  <si>
    <t>Backfilling of available soil</t>
  </si>
  <si>
    <t>Shuttering for Pardi, raft Rcc work</t>
  </si>
  <si>
    <t>Labour Charges</t>
  </si>
  <si>
    <t>Ground floor Building Area.</t>
  </si>
  <si>
    <t>NOS</t>
  </si>
  <si>
    <t>a</t>
  </si>
  <si>
    <t>b</t>
  </si>
  <si>
    <t>RCC Effluent Collection Tank for ETP ( 3.0x 2.0x2.0)</t>
  </si>
  <si>
    <t>P/L of Top Slab &amp; Bottom Slab</t>
  </si>
  <si>
    <t>P/F of Deck plate sheets top &amp; Bottom</t>
  </si>
  <si>
    <t>Tiling For Floor</t>
  </si>
  <si>
    <t>Shuttering for RCC work</t>
  </si>
  <si>
    <t>SQm</t>
  </si>
  <si>
    <t>Side Partion with Window &amp; Door( ACP Sheets)</t>
  </si>
  <si>
    <t xml:space="preserve">P/F of Deck plate sheets top </t>
  </si>
  <si>
    <t xml:space="preserve">P/L of Top Slab </t>
  </si>
  <si>
    <t>Top waterproofing by Brickbat</t>
  </si>
  <si>
    <t>Remarks</t>
  </si>
  <si>
    <r>
      <t xml:space="preserve">Civil Work                       </t>
    </r>
    <r>
      <rPr>
        <sz val="12"/>
        <color indexed="8"/>
        <rFont val="Calibri"/>
        <family val="2"/>
        <scheme val="minor"/>
      </rPr>
      <t>Excavation</t>
    </r>
  </si>
  <si>
    <t>Data</t>
  </si>
  <si>
    <t>Width</t>
  </si>
  <si>
    <t>Height</t>
  </si>
  <si>
    <t>Quantity</t>
  </si>
  <si>
    <t>Length</t>
  </si>
  <si>
    <t xml:space="preserve">RCC Gutter 0.6 M Effective Width x 1mt. Depth </t>
  </si>
  <si>
    <t>Sr. No</t>
  </si>
  <si>
    <t xml:space="preserve">Excavation </t>
  </si>
  <si>
    <t>Ls</t>
  </si>
  <si>
    <t>Excavation of Soil</t>
  </si>
  <si>
    <t>Concreting for post grouting</t>
  </si>
  <si>
    <t xml:space="preserve">F/F of structural post </t>
  </si>
  <si>
    <t>P/F of MS  Chain link</t>
  </si>
  <si>
    <t>Structural Materials for Post</t>
  </si>
  <si>
    <t xml:space="preserve">Sq. pipe made Gate </t>
  </si>
  <si>
    <t>Transporting of excavated soil or back filling</t>
  </si>
  <si>
    <t>plum concrete</t>
  </si>
  <si>
    <t>P/L of RCC for foundation Raft</t>
  </si>
  <si>
    <t>Column for Legs</t>
  </si>
  <si>
    <t>Reinforcement steel with materials.</t>
  </si>
  <si>
    <t>Column Shuttering</t>
  </si>
  <si>
    <t>Civil Work for foundation</t>
  </si>
  <si>
    <t>Soling                        Raft</t>
  </si>
  <si>
    <t>PCC in 1;2;4</t>
  </si>
  <si>
    <t>RCC work</t>
  </si>
  <si>
    <t xml:space="preserve">Form work </t>
  </si>
  <si>
    <t>For PCC</t>
  </si>
  <si>
    <t>Reinforcement steel for above work</t>
  </si>
  <si>
    <t>Backfilling of Outside Murrum</t>
  </si>
  <si>
    <t>Top Excavated area for Road soling</t>
  </si>
  <si>
    <t>Nos. Of Foundation</t>
  </si>
  <si>
    <t xml:space="preserve"> Raft</t>
  </si>
  <si>
    <t>Calculation</t>
  </si>
  <si>
    <t xml:space="preserve"> Structural  &amp; roofing work for Shed</t>
  </si>
  <si>
    <t>Structure</t>
  </si>
  <si>
    <t>Gross Amounts</t>
  </si>
  <si>
    <t>Piling Nos</t>
  </si>
  <si>
    <t>Inner Diameter of Tank</t>
  </si>
  <si>
    <t>Outer Diameter of Tank</t>
  </si>
  <si>
    <t>Thickness of Raft</t>
  </si>
  <si>
    <t>Wall Height</t>
  </si>
  <si>
    <t>Sand Filling Inside of Tank</t>
  </si>
  <si>
    <t>Pardi</t>
  </si>
  <si>
    <t>Shuttering for Pardi, RCC work     outer</t>
  </si>
  <si>
    <t>Inner</t>
  </si>
  <si>
    <t>Nos. Of Foundation Bolt</t>
  </si>
  <si>
    <t>Sand Filling Inside</t>
  </si>
  <si>
    <t>bottom</t>
  </si>
  <si>
    <t>Asphalting on top</t>
  </si>
  <si>
    <t>Sump</t>
  </si>
  <si>
    <t>Thick ness of Bitumen Layer</t>
  </si>
  <si>
    <t>Surrounding Floor</t>
  </si>
  <si>
    <t>bund wall</t>
  </si>
  <si>
    <t>Data for one Nos. of Tank foundation.</t>
  </si>
  <si>
    <t>P/L M30 RCC of Bottom Raft</t>
  </si>
  <si>
    <t>Dia</t>
  </si>
  <si>
    <t>Nut wt.</t>
  </si>
  <si>
    <t>Base plate of Tank</t>
  </si>
  <si>
    <t>Civil Pump Foundation ( Medium)</t>
  </si>
  <si>
    <t>RCC foundation for C1201 Foundation</t>
  </si>
  <si>
    <t>Civil Work for C 1201</t>
  </si>
  <si>
    <t>RCC foundation for Tank dia. 1800 ( 3 Nos.)</t>
  </si>
  <si>
    <t>Instrument Room ( 12 x 6.0)</t>
  </si>
  <si>
    <t>Second floor    El 109.40</t>
  </si>
  <si>
    <t>First floor   El 106.6</t>
  </si>
  <si>
    <t>Third floor    El 112.9</t>
  </si>
  <si>
    <t xml:space="preserve">Forth floor   @ El 114.6 </t>
  </si>
  <si>
    <t>Fifth floor  @ El117.6</t>
  </si>
  <si>
    <t>Sixth floor @123.10</t>
  </si>
  <si>
    <t xml:space="preserve">Seven floor @128.6   </t>
  </si>
  <si>
    <t>Eight floor @135.6</t>
  </si>
  <si>
    <t>Top Roof @ El138.1</t>
  </si>
  <si>
    <t>Top Roof @ El144.1</t>
  </si>
  <si>
    <t>First floor   El 104.4</t>
  </si>
  <si>
    <t xml:space="preserve">Seven floor @133.3  </t>
  </si>
  <si>
    <t>Civil Work for 4 Tanks.</t>
  </si>
  <si>
    <t>RCC foundation for V -1412,1413,1414,1415 &amp; T 1405,1406,1407 for 2to 3MT</t>
  </si>
  <si>
    <t>First floor   El 106.</t>
  </si>
  <si>
    <t>Roof area</t>
  </si>
  <si>
    <t>First floor  Roof  El 106.6</t>
  </si>
  <si>
    <t>Ground floor   El 104.6 Roofing</t>
  </si>
  <si>
    <t>Second  floor   El 109.5</t>
  </si>
  <si>
    <t>Second floor  Roof  El 114.5</t>
  </si>
  <si>
    <t>Structural pipe bracket Supports at @ 104.8,105.6,112.7,108.5,104.5,111.7,112.7,108.5</t>
  </si>
  <si>
    <t>RCC Road Work for loading unloading of tanker(28x18)- 2  Nos.</t>
  </si>
  <si>
    <r>
      <t xml:space="preserve">Civil Work                       </t>
    </r>
    <r>
      <rPr>
        <sz val="12"/>
        <color rgb="FFFF0000"/>
        <rFont val="Calibri"/>
        <family val="2"/>
        <scheme val="minor"/>
      </rPr>
      <t>Excavation</t>
    </r>
  </si>
  <si>
    <t>Tank</t>
  </si>
  <si>
    <t xml:space="preserve">Ground Floor Entire area of ETP </t>
  </si>
  <si>
    <t>First Floor of Laboratory</t>
  </si>
  <si>
    <t>Second Floor of laboratory</t>
  </si>
  <si>
    <t>First Floor of Sludge tank, DUPT</t>
  </si>
  <si>
    <t>Paver Block</t>
  </si>
  <si>
    <t>M2</t>
  </si>
  <si>
    <t>RCC Floor foundation for RO Plant</t>
  </si>
  <si>
    <t>RCC Gutter 0.6 M Effective Width x 1mt. Depth for Ro plant</t>
  </si>
  <si>
    <t>RCC Floor foundation for DM Plant</t>
  </si>
  <si>
    <t>RCC Building for Fire Pump Room</t>
  </si>
  <si>
    <t>MCC Room on Tank Form</t>
  </si>
  <si>
    <t xml:space="preserve">Civil Work </t>
  </si>
  <si>
    <t xml:space="preserve">Civil Work  </t>
  </si>
  <si>
    <t>For Tank @ Dia. 5.0 T - 9103</t>
  </si>
  <si>
    <t>For Tank Cap 100MT @ Dia. 3.0</t>
  </si>
  <si>
    <t>For Tank Cap 100MT @ Dia. 3.5</t>
  </si>
  <si>
    <t>Hence For Nos. of Tank</t>
  </si>
  <si>
    <t>Hence For  Nos. of Tank</t>
  </si>
  <si>
    <t>Dyke Wall for Oil Tank</t>
  </si>
  <si>
    <t>Plastering</t>
  </si>
  <si>
    <t xml:space="preserve">Brick wall 210mm thick </t>
  </si>
  <si>
    <t>RCC Floor Area</t>
  </si>
  <si>
    <t>Chain link fencing ( Post @2m c/c &amp; ht 2mt.)</t>
  </si>
  <si>
    <t>Structural Painting</t>
  </si>
  <si>
    <t>RCC foundation for MP -9102 Foundation</t>
  </si>
  <si>
    <t>Civil Work for MP - 9102</t>
  </si>
  <si>
    <t>Civil Work for FP -9122,91115A &amp; 1115B</t>
  </si>
  <si>
    <t>Civil Work for HP - 9109</t>
  </si>
  <si>
    <t>Civil Work for FBFP 9109</t>
  </si>
  <si>
    <t xml:space="preserve">Civil Work for FS - </t>
  </si>
  <si>
    <t xml:space="preserve">Civil Work for FSP - 9101A &amp; 9101B </t>
  </si>
  <si>
    <t>Civil Work for  APH-9101</t>
  </si>
  <si>
    <t>Civil Work for  FBFP -9102A &amp; 9102B</t>
  </si>
  <si>
    <t>Civil Work for  FOP 9102A &amp; 9102B</t>
  </si>
  <si>
    <t>RCC Effluent Collection  PIT ( 1.5x 1.5x2.0)- 9122</t>
  </si>
  <si>
    <t>MCC Room Work</t>
  </si>
  <si>
    <t>First floor   El 107.1</t>
  </si>
  <si>
    <t>Deck Slab</t>
  </si>
  <si>
    <t>Deck plate</t>
  </si>
  <si>
    <t>Civil Work for  DA- 9102</t>
  </si>
  <si>
    <t>Civil Work for  FT - 9115</t>
  </si>
  <si>
    <t>Second floor    El 110.3</t>
  </si>
  <si>
    <t>Civil Work for T-9107</t>
  </si>
  <si>
    <t>Civil Work for T-9106</t>
  </si>
  <si>
    <t>Top Roof @ El115</t>
  </si>
  <si>
    <t>Side</t>
  </si>
  <si>
    <t>RCC Floor Area  El 100.6</t>
  </si>
  <si>
    <t>RCC Floor For Eel- 111.15</t>
  </si>
  <si>
    <t>Floor El 106.6</t>
  </si>
  <si>
    <t>CEP Foundation</t>
  </si>
  <si>
    <t>Structural Floor at El115.53</t>
  </si>
  <si>
    <t>Floor Area</t>
  </si>
  <si>
    <t>Structural Roof at EL 125.9</t>
  </si>
  <si>
    <t>Roofing Sheets</t>
  </si>
  <si>
    <t>Side Cladding</t>
  </si>
  <si>
    <t>RCC foundation for Chimney</t>
  </si>
  <si>
    <t>Civil Work for ID fan</t>
  </si>
  <si>
    <t xml:space="preserve">Civil Work for HP/LP </t>
  </si>
  <si>
    <t>Civil Work for water Pump- 2 nos.</t>
  </si>
  <si>
    <t>Civil Work for blow down pit</t>
  </si>
  <si>
    <t>Civil Work for column Cx1 to Cx4</t>
  </si>
  <si>
    <t>Civil Work for column DS1 to DS11</t>
  </si>
  <si>
    <t>Excavation with Transportation</t>
  </si>
  <si>
    <t>cooling Tower</t>
  </si>
  <si>
    <t xml:space="preserve">Soling </t>
  </si>
  <si>
    <t>RCC</t>
  </si>
  <si>
    <t>Cooling Wall</t>
  </si>
  <si>
    <t>Foundation</t>
  </si>
  <si>
    <t>Total QTY</t>
  </si>
  <si>
    <t>Reinforcement Steel Work</t>
  </si>
  <si>
    <t>Form Work</t>
  </si>
  <si>
    <t>Wall</t>
  </si>
  <si>
    <t>Backfilling Of Murrum</t>
  </si>
  <si>
    <t>RCC foundation for cooling Tower</t>
  </si>
  <si>
    <t xml:space="preserve">Civil Pump Foundation </t>
  </si>
  <si>
    <t>Air Receiver Tank</t>
  </si>
  <si>
    <t>Civil Work for  V-8111</t>
  </si>
  <si>
    <t>Pipe rack With RCC Foundation</t>
  </si>
  <si>
    <t>Sr. no</t>
  </si>
  <si>
    <t>Structural work</t>
  </si>
  <si>
    <t>Painting of Structure</t>
  </si>
  <si>
    <t>SR. No</t>
  </si>
  <si>
    <t>Nos.</t>
  </si>
  <si>
    <t>Total  Amounts</t>
  </si>
  <si>
    <t>New RCC Building for Substation and DG Set</t>
  </si>
  <si>
    <t>New RCC Building for Canteen and Adm. Building</t>
  </si>
  <si>
    <t>Security Cabin</t>
  </si>
  <si>
    <t>Electrical  Supply and Substation</t>
  </si>
  <si>
    <t>Watch Tower</t>
  </si>
  <si>
    <t>Engineering Stores and office</t>
  </si>
  <si>
    <t>oil Storage tank - T-8106</t>
  </si>
  <si>
    <t>Civil Work for T-8106</t>
  </si>
  <si>
    <t>Description of Plant</t>
  </si>
  <si>
    <t>Ground floor + Two store Structural building with roof and RCc Foundation.</t>
  </si>
  <si>
    <t>Ground floor + Eight store Structural  building with roof and cooling tower foundation.</t>
  </si>
  <si>
    <t>Storage tank, pumps, Fencing and flooring area.</t>
  </si>
  <si>
    <t>Clean water cooling tower only Rcc foundation and cooling tower big size pump</t>
  </si>
  <si>
    <t>Elevated Two WB foundation.</t>
  </si>
  <si>
    <t>Description of items</t>
  </si>
  <si>
    <t>230mm thick rubble soling</t>
  </si>
  <si>
    <t>Rcc in M25</t>
  </si>
  <si>
    <t>F/F of Insert Plate, Curb Angle</t>
  </si>
  <si>
    <t>Backfilling of Excavated Soil</t>
  </si>
  <si>
    <t>p/F of Pockets</t>
  </si>
  <si>
    <t>Considered Tank form, loading unloading Trolley , shed, Pumps, related internal oil drainage, fattrap,MCc room, Rcc Floor for track staying of loading point, Air receiver, Oil storage tank and connected floor area.</t>
  </si>
  <si>
    <t>Neutralization tank, Sludge tank and Laboratory building etc.</t>
  </si>
  <si>
    <t xml:space="preserve">Plant foundation for RO Plant, Dm plant and Fire water pump house </t>
  </si>
  <si>
    <t>Two Tank, Softener plant and pump foundation.</t>
  </si>
  <si>
    <t>Ground +Two sored Structural building with HP &amp; MP boiler and pump foundation etc.</t>
  </si>
  <si>
    <t>Equipment foundation, Chimney and RCc and structural building with Roofing sheets, all around</t>
  </si>
  <si>
    <t>207 M x 3M width two tare and 30Mx2 rack of Single tare with civil foundation.</t>
  </si>
  <si>
    <t>Considered Substation and DG set Rcc Building,Canten and Adm building, Security cabin, Electrical Substation, Chemical storage  and Engineering stores and office.</t>
  </si>
  <si>
    <t>Weight bridge foundation</t>
  </si>
  <si>
    <t>Civil Work for  tank  loading Shed foundation &amp; unloading Shed</t>
  </si>
  <si>
    <t xml:space="preserve">Pedestals </t>
  </si>
  <si>
    <t>Height of pedestals</t>
  </si>
  <si>
    <t>Rack Raft</t>
  </si>
  <si>
    <t>RCC Pedestals</t>
  </si>
  <si>
    <t>Rack Pedestals</t>
  </si>
  <si>
    <t>Grouting of pedestals</t>
  </si>
  <si>
    <t>Roofing Sheets with Accessories</t>
  </si>
  <si>
    <t>Trolley ( 13.0x 2.5x1.0) x2 nos.</t>
  </si>
  <si>
    <t>Mis. Work for ,filling, dewatering etc.</t>
  </si>
  <si>
    <t>Shuttering for Pardi, raft Rack work</t>
  </si>
  <si>
    <t>wall thickness</t>
  </si>
  <si>
    <t>Below Depth from Ground level for Excavation</t>
  </si>
  <si>
    <t>Unit Wt. . Of Foundation Bolt</t>
  </si>
  <si>
    <t>Thick ness of Lean concrete</t>
  </si>
  <si>
    <t xml:space="preserve"> - Mobilization and Demobilization hydraulic Jacking pile Machine</t>
  </si>
  <si>
    <t>Rcc Pedestals in M30</t>
  </si>
  <si>
    <t>Pedestals</t>
  </si>
  <si>
    <t>Mis. Work for Dewatering, grouting etc.</t>
  </si>
  <si>
    <t>RCC Floor Work for Building Area.</t>
  </si>
  <si>
    <t>False Ceiling</t>
  </si>
  <si>
    <t>Misc. carpentry work like door &amp; window fitting Accessories, Cutout etc.</t>
  </si>
  <si>
    <t>RCC foundation for Tank- 1402A/B ,T - 1403, T- 1404 Foundation</t>
  </si>
  <si>
    <t>First floor of ETP Neutralization tank</t>
  </si>
  <si>
    <t>Second Floor Of Neutralization tank</t>
  </si>
  <si>
    <t>RCC Foundation for softener plant.</t>
  </si>
  <si>
    <t>Mis. Structural work for ladder etc.</t>
  </si>
  <si>
    <t>Side Portion with Window &amp; Door( ACP Sheets)</t>
  </si>
  <si>
    <t>Total Rcc</t>
  </si>
  <si>
    <t>3 M Width Pipe rack - 3 Tare</t>
  </si>
  <si>
    <t>2 M width pipe rack</t>
  </si>
  <si>
    <t>Grouting of Pedestals by GP2</t>
  </si>
  <si>
    <t>Pcc in M15</t>
  </si>
  <si>
    <t>Reinforcement steel</t>
  </si>
  <si>
    <t>Shuttering for Column Pedestal etc.</t>
  </si>
  <si>
    <t xml:space="preserve">Total </t>
  </si>
  <si>
    <t>Area</t>
  </si>
  <si>
    <t xml:space="preserve">Bitumen Road </t>
  </si>
  <si>
    <t>A.  Bitumen Road Work ( 6 M width)  From MIDC road near Gate 4 to New plot boundary</t>
  </si>
  <si>
    <t xml:space="preserve">Description </t>
  </si>
  <si>
    <t>Sub Base WBM of 150 mm thick of Grade 1 Aggregate 2 layer</t>
  </si>
  <si>
    <t>P/L of 100m thick Wet mix</t>
  </si>
  <si>
    <t>P/L of 100mm thick semigrouting</t>
  </si>
  <si>
    <t>P/L 50-65mm DBM ( dense Bitumen Macadam)</t>
  </si>
  <si>
    <t>P/L 25mm thk. Ac ( Asphalt Concrete )</t>
  </si>
  <si>
    <t>Bitumen Road</t>
  </si>
  <si>
    <t>Drainage System</t>
  </si>
  <si>
    <t>Rainforcement steel with materials.</t>
  </si>
  <si>
    <t>P/L of 150mm thk. Sand Filling</t>
  </si>
  <si>
    <t>As per Block plant area</t>
  </si>
  <si>
    <t>considered one side of road area.</t>
  </si>
  <si>
    <t>SUMMERY</t>
  </si>
  <si>
    <t>Descriptions</t>
  </si>
  <si>
    <t>Amount</t>
  </si>
  <si>
    <t>Tax @15%</t>
  </si>
  <si>
    <t>Amount with Tax</t>
  </si>
  <si>
    <t>Total Civil cost</t>
  </si>
  <si>
    <t xml:space="preserve"> Spitting Plant G+8 Bldg</t>
  </si>
  <si>
    <t>G+8 Splitting Plant Building</t>
  </si>
  <si>
    <t>Tank farm &amp; RW Tank</t>
  </si>
  <si>
    <t xml:space="preserve"> Tankform and Raw water storage Tank</t>
  </si>
  <si>
    <t>Future tank farm foundations</t>
  </si>
  <si>
    <t>Estimating and Costing for T -8101 to T8104 tank foundation</t>
  </si>
  <si>
    <t>Sweet water plant</t>
  </si>
  <si>
    <t>Sweet water Plant  G+2</t>
  </si>
  <si>
    <t>ETP</t>
  </si>
  <si>
    <t>ETP Neutralization tank</t>
  </si>
  <si>
    <t xml:space="preserve"> RO, DM &amp; Fire water Plant</t>
  </si>
  <si>
    <t>DM, RO &amp; Fire Water</t>
  </si>
  <si>
    <t>Costing for  Soft water tank</t>
  </si>
  <si>
    <t xml:space="preserve"> For 4 Nos. of Tank</t>
  </si>
  <si>
    <t xml:space="preserve"> For 2 Nos. of Tank</t>
  </si>
  <si>
    <t>Soft water Tank</t>
  </si>
  <si>
    <t xml:space="preserve"> Furnace oil storage Area.</t>
  </si>
  <si>
    <t>FO Storage</t>
  </si>
  <si>
    <t xml:space="preserve"> Boiler HP &amp; MP G+2</t>
  </si>
  <si>
    <t>MP/HP Boiler</t>
  </si>
  <si>
    <t>CPP</t>
  </si>
  <si>
    <t>Captive Power Plant</t>
  </si>
  <si>
    <t xml:space="preserve">Cooling Towers </t>
  </si>
  <si>
    <t>Pipe racks</t>
  </si>
  <si>
    <t>Office Buliding</t>
  </si>
  <si>
    <t>Weigh Bridges</t>
  </si>
  <si>
    <t>Roads</t>
  </si>
  <si>
    <t>Strom water Drainage</t>
  </si>
  <si>
    <t>Plant Office buildings</t>
  </si>
  <si>
    <t xml:space="preserve">Elevated Weight Bridge( with Ramp) </t>
  </si>
  <si>
    <t>RCC strom water drainage</t>
  </si>
  <si>
    <t>Civil costing PT VVF Indonesia Phase-I</t>
  </si>
  <si>
    <t xml:space="preserve"> Tank form and Raw water storage Tank</t>
  </si>
  <si>
    <t xml:space="preserve"> Spitting Plant Building G+8</t>
  </si>
  <si>
    <t xml:space="preserve"> Sweet Water plant</t>
  </si>
  <si>
    <t xml:space="preserve"> ETP Neutralization tank</t>
  </si>
  <si>
    <t xml:space="preserve">  Soft water tank</t>
  </si>
  <si>
    <t xml:space="preserve"> Boiler HP &amp; MP</t>
  </si>
  <si>
    <t>Cptive Power Plant</t>
  </si>
  <si>
    <t xml:space="preserve"> cooling Towers</t>
  </si>
  <si>
    <t xml:space="preserve"> Building for Storage &amp;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</si>
</sst>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FF0000"/>
      <name val="Arial"/>
      <family val="2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38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6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2" fontId="9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Fill="1" applyBorder="1"/>
    <xf numFmtId="2" fontId="4" fillId="0" borderId="1" xfId="0" applyNumberFormat="1" applyFont="1" applyFill="1" applyBorder="1" applyAlignment="1"/>
    <xf numFmtId="2" fontId="4" fillId="0" borderId="1" xfId="0" applyNumberFormat="1" applyFont="1" applyFill="1" applyBorder="1" applyAlignment="1">
      <alignment horizontal="left"/>
    </xf>
    <xf numFmtId="0" fontId="17" fillId="0" borderId="1" xfId="0" applyFont="1" applyBorder="1"/>
    <xf numFmtId="0" fontId="10" fillId="0" borderId="1" xfId="0" applyFont="1" applyBorder="1"/>
    <xf numFmtId="0" fontId="10" fillId="0" borderId="1" xfId="0" applyFont="1" applyBorder="1" applyAlignment="1"/>
    <xf numFmtId="2" fontId="13" fillId="0" borderId="1" xfId="0" applyNumberFormat="1" applyFont="1" applyBorder="1"/>
    <xf numFmtId="0" fontId="23" fillId="2" borderId="1" xfId="0" applyFont="1" applyFill="1" applyBorder="1"/>
    <xf numFmtId="0" fontId="0" fillId="2" borderId="1" xfId="0" applyFill="1" applyBorder="1"/>
    <xf numFmtId="0" fontId="6" fillId="0" borderId="1" xfId="2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Alignment="1"/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/>
    <xf numFmtId="0" fontId="14" fillId="0" borderId="1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6" fillId="0" borderId="0" xfId="0" applyNumberFormat="1" applyFont="1" applyFill="1" applyAlignment="1"/>
    <xf numFmtId="0" fontId="7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0" fontId="16" fillId="0" borderId="2" xfId="0" applyNumberFormat="1" applyFont="1" applyFill="1" applyBorder="1" applyAlignment="1"/>
    <xf numFmtId="0" fontId="16" fillId="0" borderId="3" xfId="0" applyNumberFormat="1" applyFont="1" applyFill="1" applyBorder="1" applyAlignment="1"/>
    <xf numFmtId="0" fontId="16" fillId="0" borderId="4" xfId="0" applyNumberFormat="1" applyFont="1" applyFill="1" applyBorder="1" applyAlignment="1"/>
    <xf numFmtId="0" fontId="7" fillId="0" borderId="1" xfId="1" quotePrefix="1" applyNumberFormat="1" applyFont="1" applyFill="1" applyBorder="1" applyAlignment="1">
      <alignment vertical="center"/>
    </xf>
    <xf numFmtId="0" fontId="6" fillId="0" borderId="4" xfId="0" applyNumberFormat="1" applyFont="1" applyFill="1" applyBorder="1" applyAlignment="1"/>
    <xf numFmtId="0" fontId="5" fillId="0" borderId="4" xfId="0" applyNumberFormat="1" applyFont="1" applyFill="1" applyBorder="1" applyAlignment="1"/>
    <xf numFmtId="0" fontId="6" fillId="0" borderId="1" xfId="0" quotePrefix="1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/>
    <xf numFmtId="0" fontId="8" fillId="0" borderId="1" xfId="0" applyNumberFormat="1" applyFont="1" applyFill="1" applyBorder="1"/>
    <xf numFmtId="0" fontId="6" fillId="0" borderId="1" xfId="1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/>
    <xf numFmtId="0" fontId="11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/>
    <xf numFmtId="0" fontId="0" fillId="0" borderId="1" xfId="0" applyNumberFormat="1" applyFont="1" applyBorder="1" applyAlignment="1">
      <alignment vertical="center"/>
    </xf>
    <xf numFmtId="0" fontId="11" fillId="0" borderId="2" xfId="0" applyNumberFormat="1" applyFont="1" applyBorder="1" applyAlignment="1"/>
    <xf numFmtId="0" fontId="0" fillId="0" borderId="1" xfId="0" applyNumberFormat="1" applyFont="1" applyBorder="1"/>
    <xf numFmtId="0" fontId="11" fillId="0" borderId="1" xfId="0" applyNumberFormat="1" applyFont="1" applyBorder="1" applyAlignment="1"/>
    <xf numFmtId="0" fontId="8" fillId="0" borderId="1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Alignment="1">
      <alignment vertical="center"/>
    </xf>
    <xf numFmtId="0" fontId="4" fillId="0" borderId="3" xfId="0" applyNumberFormat="1" applyFont="1" applyBorder="1" applyAlignment="1"/>
    <xf numFmtId="0" fontId="8" fillId="0" borderId="1" xfId="0" applyNumberFormat="1" applyFont="1" applyBorder="1"/>
    <xf numFmtId="0" fontId="9" fillId="0" borderId="1" xfId="0" applyNumberFormat="1" applyFont="1" applyBorder="1"/>
    <xf numFmtId="0" fontId="9" fillId="2" borderId="1" xfId="0" applyNumberFormat="1" applyFont="1" applyFill="1" applyBorder="1"/>
    <xf numFmtId="0" fontId="4" fillId="0" borderId="1" xfId="0" applyNumberFormat="1" applyFont="1" applyBorder="1" applyAlignment="1"/>
    <xf numFmtId="2" fontId="6" fillId="0" borderId="1" xfId="0" applyNumberFormat="1" applyFont="1" applyFill="1" applyBorder="1"/>
    <xf numFmtId="2" fontId="6" fillId="0" borderId="1" xfId="2" applyNumberFormat="1" applyFont="1" applyFill="1" applyBorder="1" applyAlignment="1" applyProtection="1">
      <alignment horizontal="right" vertical="center"/>
    </xf>
    <xf numFmtId="2" fontId="4" fillId="0" borderId="1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2" fontId="7" fillId="0" borderId="1" xfId="0" applyNumberFormat="1" applyFont="1" applyFill="1" applyBorder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0" fontId="20" fillId="0" borderId="1" xfId="0" applyNumberFormat="1" applyFont="1" applyFill="1" applyBorder="1" applyAlignment="1">
      <alignment horizontal="left"/>
    </xf>
    <xf numFmtId="0" fontId="19" fillId="0" borderId="1" xfId="0" applyNumberFormat="1" applyFont="1" applyFill="1" applyBorder="1" applyAlignment="1">
      <alignment horizontal="left"/>
    </xf>
    <xf numFmtId="0" fontId="19" fillId="0" borderId="1" xfId="1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0" fontId="21" fillId="0" borderId="1" xfId="0" applyNumberFormat="1" applyFont="1" applyFill="1" applyBorder="1" applyAlignment="1">
      <alignment horizontal="left"/>
    </xf>
    <xf numFmtId="0" fontId="21" fillId="0" borderId="3" xfId="0" applyNumberFormat="1" applyFont="1" applyBorder="1" applyAlignment="1">
      <alignment horizontal="left"/>
    </xf>
    <xf numFmtId="0" fontId="21" fillId="0" borderId="1" xfId="0" applyNumberFormat="1" applyFont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right"/>
    </xf>
    <xf numFmtId="0" fontId="17" fillId="0" borderId="1" xfId="0" applyFont="1" applyBorder="1" applyAlignment="1"/>
    <xf numFmtId="0" fontId="10" fillId="2" borderId="1" xfId="0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" fillId="0" borderId="1" xfId="0" applyFont="1" applyBorder="1" applyAlignment="1"/>
    <xf numFmtId="0" fontId="0" fillId="0" borderId="1" xfId="0" applyFont="1" applyFill="1" applyBorder="1" applyAlignment="1">
      <alignment horizontal="left"/>
    </xf>
    <xf numFmtId="0" fontId="17" fillId="0" borderId="1" xfId="0" applyFont="1" applyFill="1" applyBorder="1"/>
    <xf numFmtId="0" fontId="0" fillId="0" borderId="1" xfId="0" applyFill="1" applyBorder="1"/>
    <xf numFmtId="0" fontId="5" fillId="0" borderId="1" xfId="0" applyNumberFormat="1" applyFont="1" applyFill="1" applyBorder="1" applyAlignment="1"/>
    <xf numFmtId="2" fontId="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0" fontId="4" fillId="0" borderId="3" xfId="0" applyNumberFormat="1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4" fillId="0" borderId="2" xfId="0" applyNumberFormat="1" applyFont="1" applyFill="1" applyBorder="1" applyAlignment="1"/>
    <xf numFmtId="0" fontId="4" fillId="0" borderId="4" xfId="0" applyNumberFormat="1" applyFont="1" applyFill="1" applyBorder="1" applyAlignment="1"/>
    <xf numFmtId="2" fontId="8" fillId="0" borderId="1" xfId="0" applyNumberFormat="1" applyFont="1" applyFill="1" applyBorder="1"/>
    <xf numFmtId="0" fontId="9" fillId="0" borderId="0" xfId="0" applyNumberFormat="1" applyFont="1"/>
    <xf numFmtId="0" fontId="5" fillId="0" borderId="1" xfId="1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0" fillId="0" borderId="0" xfId="0" applyFill="1"/>
    <xf numFmtId="2" fontId="8" fillId="2" borderId="1" xfId="0" applyNumberFormat="1" applyFont="1" applyFill="1" applyBorder="1"/>
    <xf numFmtId="2" fontId="8" fillId="2" borderId="1" xfId="0" applyNumberFormat="1" applyFont="1" applyFill="1" applyBorder="1" applyAlignment="1">
      <alignment horizontal="right"/>
    </xf>
    <xf numFmtId="0" fontId="24" fillId="0" borderId="3" xfId="0" applyNumberFormat="1" applyFont="1" applyBorder="1" applyAlignment="1"/>
    <xf numFmtId="0" fontId="24" fillId="0" borderId="4" xfId="0" applyNumberFormat="1" applyFont="1" applyBorder="1" applyAlignment="1"/>
    <xf numFmtId="2" fontId="4" fillId="0" borderId="1" xfId="0" applyNumberFormat="1" applyFont="1" applyBorder="1" applyAlignment="1">
      <alignment horizontal="right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9" fillId="0" borderId="2" xfId="0" applyNumberFormat="1" applyFont="1" applyFill="1" applyBorder="1" applyAlignment="1"/>
    <xf numFmtId="0" fontId="9" fillId="0" borderId="4" xfId="0" applyNumberFormat="1" applyFont="1" applyFill="1" applyBorder="1" applyAlignment="1"/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2" fontId="12" fillId="0" borderId="1" xfId="0" applyNumberFormat="1" applyFont="1" applyFill="1" applyBorder="1"/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/>
    <xf numFmtId="0" fontId="24" fillId="0" borderId="3" xfId="0" applyNumberFormat="1" applyFont="1" applyBorder="1" applyAlignment="1">
      <alignment horizontal="left"/>
    </xf>
    <xf numFmtId="0" fontId="24" fillId="0" borderId="4" xfId="0" applyNumberFormat="1" applyFont="1" applyBorder="1" applyAlignment="1">
      <alignment horizontal="left"/>
    </xf>
    <xf numFmtId="0" fontId="18" fillId="0" borderId="3" xfId="0" applyNumberFormat="1" applyFont="1" applyBorder="1" applyAlignment="1">
      <alignment horizontal="left"/>
    </xf>
    <xf numFmtId="0" fontId="25" fillId="0" borderId="1" xfId="0" applyNumberFormat="1" applyFont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Border="1"/>
    <xf numFmtId="0" fontId="14" fillId="0" borderId="1" xfId="0" applyNumberFormat="1" applyFont="1" applyFill="1" applyBorder="1" applyAlignment="1">
      <alignment horizontal="left"/>
    </xf>
    <xf numFmtId="0" fontId="14" fillId="0" borderId="1" xfId="1" applyNumberFormat="1" applyFont="1" applyFill="1" applyBorder="1" applyAlignment="1">
      <alignment vertical="center"/>
    </xf>
    <xf numFmtId="0" fontId="27" fillId="0" borderId="3" xfId="0" applyNumberFormat="1" applyFont="1" applyBorder="1" applyAlignment="1"/>
    <xf numFmtId="0" fontId="26" fillId="0" borderId="2" xfId="0" applyNumberFormat="1" applyFont="1" applyBorder="1" applyAlignment="1"/>
    <xf numFmtId="0" fontId="26" fillId="0" borderId="2" xfId="0" applyNumberFormat="1" applyFont="1" applyBorder="1" applyAlignment="1">
      <alignment horizontal="left"/>
    </xf>
    <xf numFmtId="0" fontId="16" fillId="0" borderId="0" xfId="0" applyNumberFormat="1" applyFont="1" applyFill="1" applyAlignment="1"/>
    <xf numFmtId="0" fontId="4" fillId="0" borderId="3" xfId="0" applyNumberFormat="1" applyFont="1" applyFill="1" applyBorder="1" applyAlignment="1"/>
    <xf numFmtId="0" fontId="14" fillId="0" borderId="1" xfId="0" applyNumberFormat="1" applyFont="1" applyFill="1" applyBorder="1" applyAlignment="1">
      <alignment wrapText="1"/>
    </xf>
    <xf numFmtId="0" fontId="25" fillId="0" borderId="2" xfId="0" applyNumberFormat="1" applyFont="1" applyBorder="1" applyAlignment="1"/>
    <xf numFmtId="0" fontId="8" fillId="0" borderId="1" xfId="0" applyFont="1" applyBorder="1"/>
    <xf numFmtId="2" fontId="8" fillId="0" borderId="1" xfId="0" applyNumberFormat="1" applyFont="1" applyBorder="1"/>
    <xf numFmtId="0" fontId="8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4" fillId="0" borderId="2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28" fillId="0" borderId="1" xfId="0" applyNumberFormat="1" applyFont="1" applyBorder="1" applyAlignment="1"/>
    <xf numFmtId="0" fontId="24" fillId="0" borderId="1" xfId="0" applyNumberFormat="1" applyFont="1" applyBorder="1" applyAlignment="1"/>
    <xf numFmtId="0" fontId="8" fillId="2" borderId="2" xfId="0" applyNumberFormat="1" applyFont="1" applyFill="1" applyBorder="1" applyAlignment="1"/>
    <xf numFmtId="0" fontId="8" fillId="2" borderId="3" xfId="0" applyNumberFormat="1" applyFont="1" applyFill="1" applyBorder="1" applyAlignment="1"/>
    <xf numFmtId="0" fontId="8" fillId="2" borderId="4" xfId="0" applyNumberFormat="1" applyFont="1" applyFill="1" applyBorder="1" applyAlignment="1"/>
    <xf numFmtId="2" fontId="9" fillId="2" borderId="1" xfId="0" applyNumberFormat="1" applyFont="1" applyFill="1" applyBorder="1"/>
    <xf numFmtId="0" fontId="4" fillId="0" borderId="1" xfId="1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/>
    <xf numFmtId="0" fontId="1" fillId="2" borderId="1" xfId="0" applyFont="1" applyFill="1" applyBorder="1"/>
    <xf numFmtId="0" fontId="1" fillId="2" borderId="1" xfId="0" applyNumberFormat="1" applyFont="1" applyFill="1" applyBorder="1" applyAlignment="1">
      <alignment horizontal="left"/>
    </xf>
    <xf numFmtId="0" fontId="5" fillId="0" borderId="2" xfId="0" applyNumberFormat="1" applyFont="1" applyFill="1" applyBorder="1" applyAlignment="1"/>
    <xf numFmtId="0" fontId="1" fillId="2" borderId="5" xfId="0" applyFont="1" applyFill="1" applyBorder="1"/>
    <xf numFmtId="2" fontId="1" fillId="2" borderId="5" xfId="0" applyNumberFormat="1" applyFont="1" applyFill="1" applyBorder="1"/>
    <xf numFmtId="0" fontId="14" fillId="0" borderId="1" xfId="0" applyFont="1" applyBorder="1"/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0" borderId="5" xfId="0" applyBorder="1"/>
    <xf numFmtId="0" fontId="30" fillId="0" borderId="1" xfId="0" applyFont="1" applyBorder="1" applyAlignment="1"/>
    <xf numFmtId="0" fontId="22" fillId="0" borderId="1" xfId="0" applyFont="1" applyBorder="1" applyAlignment="1"/>
    <xf numFmtId="0" fontId="16" fillId="0" borderId="1" xfId="0" applyNumberFormat="1" applyFont="1" applyFill="1" applyBorder="1" applyAlignment="1"/>
    <xf numFmtId="2" fontId="6" fillId="0" borderId="1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/>
    <xf numFmtId="2" fontId="9" fillId="0" borderId="1" xfId="0" applyNumberFormat="1" applyFont="1" applyBorder="1"/>
    <xf numFmtId="2" fontId="4" fillId="0" borderId="1" xfId="0" applyNumberFormat="1" applyFont="1" applyBorder="1" applyAlignment="1"/>
    <xf numFmtId="2" fontId="6" fillId="0" borderId="0" xfId="0" applyNumberFormat="1" applyFont="1" applyFill="1" applyBorder="1" applyAlignment="1"/>
    <xf numFmtId="2" fontId="6" fillId="0" borderId="0" xfId="0" applyNumberFormat="1" applyFont="1" applyFill="1" applyAlignment="1"/>
    <xf numFmtId="0" fontId="7" fillId="0" borderId="1" xfId="0" applyNumberFormat="1" applyFont="1" applyFill="1" applyBorder="1" applyAlignment="1"/>
    <xf numFmtId="2" fontId="7" fillId="0" borderId="1" xfId="0" applyNumberFormat="1" applyFont="1" applyFill="1" applyBorder="1" applyAlignment="1"/>
    <xf numFmtId="0" fontId="21" fillId="0" borderId="1" xfId="0" applyFont="1" applyBorder="1"/>
    <xf numFmtId="0" fontId="31" fillId="0" borderId="1" xfId="0" applyFont="1" applyBorder="1"/>
    <xf numFmtId="2" fontId="31" fillId="0" borderId="1" xfId="0" applyNumberFormat="1" applyFont="1" applyBorder="1"/>
    <xf numFmtId="2" fontId="21" fillId="0" borderId="1" xfId="0" applyNumberFormat="1" applyFont="1" applyBorder="1"/>
    <xf numFmtId="0" fontId="17" fillId="0" borderId="1" xfId="0" applyNumberFormat="1" applyFont="1" applyFill="1" applyBorder="1" applyAlignment="1">
      <alignment vertical="center"/>
    </xf>
    <xf numFmtId="0" fontId="14" fillId="0" borderId="1" xfId="0" applyNumberFormat="1" applyFont="1" applyFill="1" applyBorder="1"/>
    <xf numFmtId="2" fontId="14" fillId="0" borderId="1" xfId="0" applyNumberFormat="1" applyFont="1" applyFill="1" applyBorder="1"/>
    <xf numFmtId="0" fontId="17" fillId="0" borderId="1" xfId="0" applyNumberFormat="1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right"/>
    </xf>
    <xf numFmtId="2" fontId="14" fillId="0" borderId="1" xfId="0" applyNumberFormat="1" applyFont="1" applyFill="1" applyBorder="1" applyAlignment="1">
      <alignment horizontal="right"/>
    </xf>
    <xf numFmtId="0" fontId="17" fillId="0" borderId="0" xfId="0" applyFont="1" applyFill="1"/>
    <xf numFmtId="0" fontId="7" fillId="0" borderId="1" xfId="0" applyNumberFormat="1" applyFont="1" applyFill="1" applyBorder="1"/>
    <xf numFmtId="2" fontId="7" fillId="0" borderId="1" xfId="0" applyNumberFormat="1" applyFont="1" applyFill="1" applyBorder="1"/>
    <xf numFmtId="0" fontId="4" fillId="0" borderId="1" xfId="0" applyNumberFormat="1" applyFont="1" applyFill="1" applyBorder="1"/>
    <xf numFmtId="2" fontId="31" fillId="0" borderId="1" xfId="0" applyNumberFormat="1" applyFont="1" applyFill="1" applyBorder="1"/>
    <xf numFmtId="2" fontId="4" fillId="0" borderId="1" xfId="0" applyNumberFormat="1" applyFont="1" applyFill="1" applyBorder="1"/>
    <xf numFmtId="0" fontId="21" fillId="0" borderId="0" xfId="0" applyFont="1" applyFill="1"/>
    <xf numFmtId="0" fontId="32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wrapText="1"/>
    </xf>
    <xf numFmtId="1" fontId="32" fillId="0" borderId="1" xfId="0" applyNumberFormat="1" applyFont="1" applyBorder="1"/>
    <xf numFmtId="1" fontId="32" fillId="0" borderId="1" xfId="0" applyNumberFormat="1" applyFont="1" applyFill="1" applyBorder="1"/>
    <xf numFmtId="0" fontId="34" fillId="0" borderId="1" xfId="0" applyFont="1" applyBorder="1" applyAlignment="1">
      <alignment wrapText="1"/>
    </xf>
    <xf numFmtId="0" fontId="34" fillId="0" borderId="1" xfId="0" applyFont="1" applyBorder="1" applyAlignment="1">
      <alignment horizontal="right"/>
    </xf>
    <xf numFmtId="0" fontId="32" fillId="0" borderId="1" xfId="0" applyFont="1" applyBorder="1" applyAlignment="1">
      <alignment horizontal="right"/>
    </xf>
    <xf numFmtId="0" fontId="35" fillId="0" borderId="1" xfId="0" applyFont="1" applyBorder="1" applyAlignment="1">
      <alignment horizontal="right"/>
    </xf>
    <xf numFmtId="0" fontId="34" fillId="0" borderId="1" xfId="0" applyFont="1" applyBorder="1"/>
    <xf numFmtId="0" fontId="7" fillId="0" borderId="1" xfId="1" applyNumberFormat="1" applyFont="1" applyFill="1" applyBorder="1" applyAlignment="1">
      <alignment horizontal="left" vertical="center"/>
    </xf>
    <xf numFmtId="2" fontId="7" fillId="0" borderId="1" xfId="1" applyNumberFormat="1" applyFont="1" applyFill="1" applyBorder="1" applyAlignment="1">
      <alignment horizontal="center" vertical="center"/>
    </xf>
    <xf numFmtId="2" fontId="7" fillId="0" borderId="1" xfId="2" applyNumberFormat="1" applyFont="1" applyFill="1" applyBorder="1" applyAlignment="1" applyProtection="1">
      <alignment horizontal="right" vertical="center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 applyProtection="1">
      <alignment horizontal="right" vertical="center"/>
    </xf>
    <xf numFmtId="0" fontId="7" fillId="0" borderId="1" xfId="0" quotePrefix="1" applyNumberFormat="1" applyFont="1" applyFill="1" applyBorder="1" applyAlignment="1">
      <alignment vertical="center"/>
    </xf>
    <xf numFmtId="0" fontId="4" fillId="0" borderId="1" xfId="0" applyFont="1" applyBorder="1"/>
    <xf numFmtId="0" fontId="7" fillId="0" borderId="0" xfId="0" applyFont="1"/>
    <xf numFmtId="0" fontId="7" fillId="0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4" fillId="0" borderId="1" xfId="0" applyFont="1" applyFill="1" applyBorder="1" applyAlignment="1"/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/>
    <xf numFmtId="2" fontId="4" fillId="0" borderId="4" xfId="0" applyNumberFormat="1" applyFont="1" applyFill="1" applyBorder="1" applyAlignment="1"/>
    <xf numFmtId="0" fontId="9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/>
    <xf numFmtId="0" fontId="38" fillId="0" borderId="0" xfId="0" applyFont="1"/>
    <xf numFmtId="0" fontId="28" fillId="0" borderId="0" xfId="0" applyFont="1"/>
    <xf numFmtId="0" fontId="41" fillId="0" borderId="0" xfId="0" applyFont="1"/>
    <xf numFmtId="0" fontId="38" fillId="0" borderId="0" xfId="0" applyFont="1" applyAlignment="1">
      <alignment wrapText="1"/>
    </xf>
    <xf numFmtId="0" fontId="41" fillId="0" borderId="1" xfId="0" applyFont="1" applyBorder="1" applyAlignment="1">
      <alignment wrapText="1"/>
    </xf>
    <xf numFmtId="0" fontId="1" fillId="0" borderId="1" xfId="0" applyFont="1" applyFill="1" applyBorder="1"/>
    <xf numFmtId="0" fontId="13" fillId="0" borderId="1" xfId="0" applyNumberFormat="1" applyFont="1" applyBorder="1" applyAlignment="1">
      <alignment wrapText="1"/>
    </xf>
    <xf numFmtId="0" fontId="13" fillId="0" borderId="1" xfId="0" applyNumberFormat="1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44" fillId="0" borderId="1" xfId="0" applyFont="1" applyBorder="1"/>
    <xf numFmtId="0" fontId="44" fillId="0" borderId="1" xfId="0" applyNumberFormat="1" applyFont="1" applyBorder="1" applyAlignment="1"/>
    <xf numFmtId="0" fontId="44" fillId="0" borderId="1" xfId="0" applyNumberFormat="1" applyFont="1" applyFill="1" applyBorder="1" applyAlignment="1"/>
    <xf numFmtId="0" fontId="38" fillId="0" borderId="2" xfId="0" applyNumberFormat="1" applyFont="1" applyBorder="1" applyAlignment="1"/>
    <xf numFmtId="0" fontId="44" fillId="0" borderId="1" xfId="0" applyFont="1" applyBorder="1" applyAlignment="1"/>
    <xf numFmtId="0" fontId="28" fillId="0" borderId="1" xfId="0" applyFont="1" applyBorder="1"/>
    <xf numFmtId="2" fontId="44" fillId="0" borderId="1" xfId="0" applyNumberFormat="1" applyFont="1" applyBorder="1" applyAlignment="1"/>
    <xf numFmtId="2" fontId="44" fillId="0" borderId="1" xfId="0" applyNumberFormat="1" applyFont="1" applyFill="1" applyBorder="1" applyAlignment="1"/>
    <xf numFmtId="2" fontId="0" fillId="0" borderId="1" xfId="0" applyNumberFormat="1" applyBorder="1"/>
    <xf numFmtId="0" fontId="23" fillId="0" borderId="1" xfId="0" applyFont="1" applyBorder="1"/>
    <xf numFmtId="0" fontId="44" fillId="0" borderId="0" xfId="0" applyFont="1" applyBorder="1"/>
    <xf numFmtId="0" fontId="23" fillId="0" borderId="1" xfId="0" applyFont="1" applyFill="1" applyBorder="1"/>
    <xf numFmtId="0" fontId="0" fillId="0" borderId="1" xfId="0" applyBorder="1" applyAlignme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4" borderId="1" xfId="0" applyFont="1" applyFill="1" applyBorder="1"/>
    <xf numFmtId="2" fontId="12" fillId="7" borderId="1" xfId="0" applyNumberFormat="1" applyFont="1" applyFill="1" applyBorder="1"/>
    <xf numFmtId="2" fontId="0" fillId="7" borderId="1" xfId="0" applyNumberFormat="1" applyFont="1" applyFill="1" applyBorder="1"/>
    <xf numFmtId="0" fontId="0" fillId="7" borderId="1" xfId="0" applyNumberFormat="1" applyFont="1" applyFill="1" applyBorder="1" applyAlignment="1">
      <alignment vertical="center"/>
    </xf>
    <xf numFmtId="0" fontId="0" fillId="7" borderId="1" xfId="0" applyNumberFormat="1" applyFont="1" applyFill="1" applyBorder="1"/>
    <xf numFmtId="0" fontId="9" fillId="7" borderId="1" xfId="0" applyNumberFormat="1" applyFont="1" applyFill="1" applyBorder="1"/>
    <xf numFmtId="2" fontId="4" fillId="7" borderId="1" xfId="0" applyNumberFormat="1" applyFont="1" applyFill="1" applyBorder="1" applyAlignment="1">
      <alignment horizontal="right"/>
    </xf>
    <xf numFmtId="0" fontId="8" fillId="7" borderId="1" xfId="0" applyNumberFormat="1" applyFont="1" applyFill="1" applyBorder="1"/>
    <xf numFmtId="2" fontId="25" fillId="5" borderId="1" xfId="0" applyNumberFormat="1" applyFont="1" applyFill="1" applyBorder="1" applyAlignment="1">
      <alignment horizontal="right"/>
    </xf>
    <xf numFmtId="2" fontId="25" fillId="5" borderId="1" xfId="0" applyNumberFormat="1" applyFont="1" applyFill="1" applyBorder="1" applyAlignment="1"/>
    <xf numFmtId="0" fontId="4" fillId="7" borderId="1" xfId="0" applyNumberFormat="1" applyFont="1" applyFill="1" applyBorder="1" applyAlignment="1"/>
    <xf numFmtId="0" fontId="6" fillId="7" borderId="1" xfId="0" applyNumberFormat="1" applyFont="1" applyFill="1" applyBorder="1" applyAlignment="1">
      <alignment vertical="center"/>
    </xf>
    <xf numFmtId="2" fontId="4" fillId="7" borderId="1" xfId="0" applyNumberFormat="1" applyFont="1" applyFill="1" applyBorder="1" applyAlignment="1"/>
    <xf numFmtId="0" fontId="5" fillId="7" borderId="2" xfId="0" applyNumberFormat="1" applyFont="1" applyFill="1" applyBorder="1" applyAlignment="1"/>
    <xf numFmtId="0" fontId="5" fillId="7" borderId="3" xfId="0" applyNumberFormat="1" applyFont="1" applyFill="1" applyBorder="1" applyAlignment="1"/>
    <xf numFmtId="0" fontId="5" fillId="7" borderId="4" xfId="0" applyNumberFormat="1" applyFont="1" applyFill="1" applyBorder="1" applyAlignment="1"/>
    <xf numFmtId="2" fontId="8" fillId="7" borderId="0" xfId="0" applyNumberFormat="1" applyFont="1" applyFill="1"/>
    <xf numFmtId="0" fontId="0" fillId="7" borderId="1" xfId="0" applyFill="1" applyBorder="1"/>
    <xf numFmtId="2" fontId="8" fillId="7" borderId="1" xfId="0" applyNumberFormat="1" applyFont="1" applyFill="1" applyBorder="1" applyAlignment="1">
      <alignment horizontal="right"/>
    </xf>
    <xf numFmtId="2" fontId="1" fillId="7" borderId="1" xfId="0" applyNumberFormat="1" applyFont="1" applyFill="1" applyBorder="1"/>
    <xf numFmtId="2" fontId="12" fillId="7" borderId="2" xfId="0" applyNumberFormat="1" applyFont="1" applyFill="1" applyBorder="1" applyAlignment="1"/>
    <xf numFmtId="2" fontId="12" fillId="7" borderId="3" xfId="0" applyNumberFormat="1" applyFont="1" applyFill="1" applyBorder="1" applyAlignment="1"/>
    <xf numFmtId="2" fontId="12" fillId="7" borderId="4" xfId="0" applyNumberFormat="1" applyFont="1" applyFill="1" applyBorder="1" applyAlignment="1"/>
    <xf numFmtId="0" fontId="0" fillId="7" borderId="0" xfId="0" applyFill="1"/>
    <xf numFmtId="0" fontId="4" fillId="7" borderId="2" xfId="0" applyNumberFormat="1" applyFont="1" applyFill="1" applyBorder="1" applyAlignment="1"/>
    <xf numFmtId="0" fontId="4" fillId="7" borderId="3" xfId="0" applyNumberFormat="1" applyFont="1" applyFill="1" applyBorder="1" applyAlignment="1"/>
    <xf numFmtId="0" fontId="4" fillId="7" borderId="4" xfId="0" applyNumberFormat="1" applyFont="1" applyFill="1" applyBorder="1" applyAlignment="1"/>
    <xf numFmtId="2" fontId="8" fillId="7" borderId="1" xfId="0" applyNumberFormat="1" applyFont="1" applyFill="1" applyBorder="1"/>
    <xf numFmtId="0" fontId="19" fillId="7" borderId="1" xfId="1" applyNumberFormat="1" applyFont="1" applyFill="1" applyBorder="1" applyAlignment="1">
      <alignment horizontal="left" vertical="center"/>
    </xf>
    <xf numFmtId="0" fontId="6" fillId="7" borderId="1" xfId="2" applyNumberFormat="1" applyFont="1" applyFill="1" applyBorder="1" applyAlignment="1" applyProtection="1">
      <alignment horizontal="right" vertical="center"/>
    </xf>
    <xf numFmtId="2" fontId="7" fillId="7" borderId="1" xfId="0" applyNumberFormat="1" applyFont="1" applyFill="1" applyBorder="1" applyAlignment="1">
      <alignment horizontal="right"/>
    </xf>
    <xf numFmtId="0" fontId="5" fillId="7" borderId="1" xfId="0" applyNumberFormat="1" applyFont="1" applyFill="1" applyBorder="1" applyAlignment="1"/>
    <xf numFmtId="0" fontId="14" fillId="9" borderId="1" xfId="0" applyNumberFormat="1" applyFont="1" applyFill="1" applyBorder="1" applyAlignment="1"/>
    <xf numFmtId="0" fontId="17" fillId="9" borderId="1" xfId="0" applyFont="1" applyFill="1" applyBorder="1"/>
    <xf numFmtId="2" fontId="25" fillId="9" borderId="1" xfId="0" applyNumberFormat="1" applyFont="1" applyFill="1" applyBorder="1"/>
    <xf numFmtId="2" fontId="14" fillId="8" borderId="1" xfId="0" applyNumberFormat="1" applyFont="1" applyFill="1" applyBorder="1" applyAlignment="1">
      <alignment horizontal="right"/>
    </xf>
    <xf numFmtId="0" fontId="14" fillId="8" borderId="1" xfId="0" applyNumberFormat="1" applyFont="1" applyFill="1" applyBorder="1" applyAlignment="1"/>
    <xf numFmtId="0" fontId="14" fillId="11" borderId="1" xfId="0" applyNumberFormat="1" applyFont="1" applyFill="1" applyBorder="1" applyAlignment="1">
      <alignment horizontal="right"/>
    </xf>
    <xf numFmtId="2" fontId="14" fillId="11" borderId="1" xfId="0" applyNumberFormat="1" applyFont="1" applyFill="1" applyBorder="1" applyAlignment="1">
      <alignment horizontal="right"/>
    </xf>
    <xf numFmtId="2" fontId="14" fillId="11" borderId="1" xfId="0" applyNumberFormat="1" applyFont="1" applyFill="1" applyBorder="1" applyAlignment="1"/>
    <xf numFmtId="0" fontId="14" fillId="13" borderId="1" xfId="0" applyNumberFormat="1" applyFont="1" applyFill="1" applyBorder="1" applyAlignment="1"/>
    <xf numFmtId="0" fontId="24" fillId="14" borderId="2" xfId="0" applyNumberFormat="1" applyFont="1" applyFill="1" applyBorder="1" applyAlignment="1"/>
    <xf numFmtId="0" fontId="24" fillId="14" borderId="3" xfId="0" applyNumberFormat="1" applyFont="1" applyFill="1" applyBorder="1" applyAlignment="1"/>
    <xf numFmtId="0" fontId="14" fillId="11" borderId="1" xfId="0" applyNumberFormat="1" applyFont="1" applyFill="1" applyBorder="1" applyAlignment="1"/>
    <xf numFmtId="0" fontId="14" fillId="3" borderId="1" xfId="0" applyNumberFormat="1" applyFont="1" applyFill="1" applyBorder="1" applyAlignment="1"/>
    <xf numFmtId="2" fontId="5" fillId="3" borderId="1" xfId="0" applyNumberFormat="1" applyFont="1" applyFill="1" applyBorder="1" applyAlignment="1">
      <alignment horizontal="right"/>
    </xf>
    <xf numFmtId="0" fontId="10" fillId="7" borderId="1" xfId="0" applyNumberFormat="1" applyFont="1" applyFill="1" applyBorder="1" applyAlignment="1">
      <alignment vertical="center"/>
    </xf>
    <xf numFmtId="0" fontId="10" fillId="7" borderId="1" xfId="0" applyNumberFormat="1" applyFont="1" applyFill="1" applyBorder="1"/>
    <xf numFmtId="2" fontId="16" fillId="7" borderId="1" xfId="0" applyNumberFormat="1" applyFont="1" applyFill="1" applyBorder="1"/>
    <xf numFmtId="0" fontId="16" fillId="7" borderId="1" xfId="0" applyNumberFormat="1" applyFont="1" applyFill="1" applyBorder="1"/>
    <xf numFmtId="2" fontId="14" fillId="7" borderId="1" xfId="0" applyNumberFormat="1" applyFont="1" applyFill="1" applyBorder="1" applyAlignment="1">
      <alignment horizontal="right"/>
    </xf>
    <xf numFmtId="0" fontId="14" fillId="7" borderId="1" xfId="0" applyNumberFormat="1" applyFont="1" applyFill="1" applyBorder="1"/>
    <xf numFmtId="2" fontId="14" fillId="16" borderId="1" xfId="0" applyNumberFormat="1" applyFont="1" applyFill="1" applyBorder="1" applyAlignment="1">
      <alignment horizontal="right"/>
    </xf>
    <xf numFmtId="0" fontId="14" fillId="16" borderId="1" xfId="0" applyNumberFormat="1" applyFont="1" applyFill="1" applyBorder="1" applyAlignment="1"/>
    <xf numFmtId="2" fontId="14" fillId="12" borderId="1" xfId="0" applyNumberFormat="1" applyFont="1" applyFill="1" applyBorder="1" applyAlignment="1">
      <alignment horizontal="right"/>
    </xf>
    <xf numFmtId="2" fontId="34" fillId="13" borderId="1" xfId="0" applyNumberFormat="1" applyFont="1" applyFill="1" applyBorder="1"/>
    <xf numFmtId="0" fontId="4" fillId="3" borderId="1" xfId="0" applyFont="1" applyFill="1" applyBorder="1" applyAlignment="1"/>
    <xf numFmtId="2" fontId="4" fillId="3" borderId="1" xfId="0" applyNumberFormat="1" applyFont="1" applyFill="1" applyBorder="1"/>
    <xf numFmtId="0" fontId="7" fillId="3" borderId="1" xfId="0" applyFont="1" applyFill="1" applyBorder="1"/>
    <xf numFmtId="0" fontId="28" fillId="3" borderId="1" xfId="0" applyFont="1" applyFill="1" applyBorder="1" applyAlignment="1"/>
    <xf numFmtId="2" fontId="28" fillId="3" borderId="1" xfId="0" applyNumberFormat="1" applyFont="1" applyFill="1" applyBorder="1"/>
    <xf numFmtId="0" fontId="0" fillId="17" borderId="1" xfId="0" applyFill="1" applyBorder="1"/>
    <xf numFmtId="0" fontId="23" fillId="17" borderId="1" xfId="0" applyFont="1" applyFill="1" applyBorder="1"/>
    <xf numFmtId="2" fontId="23" fillId="11" borderId="1" xfId="0" applyNumberFormat="1" applyFont="1" applyFill="1" applyBorder="1"/>
    <xf numFmtId="2" fontId="0" fillId="0" borderId="0" xfId="0" applyNumberFormat="1"/>
    <xf numFmtId="2" fontId="9" fillId="4" borderId="1" xfId="0" applyNumberFormat="1" applyFont="1" applyFill="1" applyBorder="1"/>
    <xf numFmtId="0" fontId="38" fillId="11" borderId="1" xfId="0" applyFont="1" applyFill="1" applyBorder="1"/>
    <xf numFmtId="2" fontId="28" fillId="11" borderId="1" xfId="0" applyNumberFormat="1" applyFont="1" applyFill="1" applyBorder="1"/>
    <xf numFmtId="0" fontId="39" fillId="7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42" fillId="10" borderId="6" xfId="0" applyFont="1" applyFill="1" applyBorder="1" applyAlignment="1">
      <alignment horizontal="center"/>
    </xf>
    <xf numFmtId="0" fontId="15" fillId="6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right"/>
    </xf>
    <xf numFmtId="0" fontId="25" fillId="5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36" fillId="9" borderId="2" xfId="0" applyNumberFormat="1" applyFont="1" applyFill="1" applyBorder="1" applyAlignment="1">
      <alignment horizontal="center"/>
    </xf>
    <xf numFmtId="0" fontId="36" fillId="9" borderId="3" xfId="0" applyNumberFormat="1" applyFont="1" applyFill="1" applyBorder="1" applyAlignment="1">
      <alignment horizontal="center"/>
    </xf>
    <xf numFmtId="0" fontId="36" fillId="9" borderId="4" xfId="0" applyNumberFormat="1" applyFont="1" applyFill="1" applyBorder="1" applyAlignment="1">
      <alignment horizontal="center"/>
    </xf>
    <xf numFmtId="0" fontId="8" fillId="7" borderId="1" xfId="0" applyNumberFormat="1" applyFont="1" applyFill="1" applyBorder="1" applyAlignment="1">
      <alignment horizontal="center"/>
    </xf>
    <xf numFmtId="0" fontId="5" fillId="7" borderId="2" xfId="0" applyNumberFormat="1" applyFont="1" applyFill="1" applyBorder="1" applyAlignment="1">
      <alignment horizontal="center"/>
    </xf>
    <xf numFmtId="0" fontId="5" fillId="7" borderId="3" xfId="0" applyNumberFormat="1" applyFont="1" applyFill="1" applyBorder="1" applyAlignment="1">
      <alignment horizontal="center"/>
    </xf>
    <xf numFmtId="0" fontId="14" fillId="8" borderId="1" xfId="0" applyNumberFormat="1" applyFont="1" applyFill="1" applyBorder="1" applyAlignment="1"/>
    <xf numFmtId="0" fontId="15" fillId="8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5" fillId="11" borderId="1" xfId="0" applyNumberFormat="1" applyFont="1" applyFill="1" applyBorder="1" applyAlignment="1">
      <alignment horizontal="center"/>
    </xf>
    <xf numFmtId="0" fontId="15" fillId="13" borderId="1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14" fillId="13" borderId="2" xfId="0" applyNumberFormat="1" applyFont="1" applyFill="1" applyBorder="1" applyAlignment="1">
      <alignment horizontal="center"/>
    </xf>
    <xf numFmtId="0" fontId="14" fillId="13" borderId="3" xfId="0" applyNumberFormat="1" applyFont="1" applyFill="1" applyBorder="1" applyAlignment="1">
      <alignment horizontal="center"/>
    </xf>
    <xf numFmtId="0" fontId="14" fillId="13" borderId="4" xfId="0" applyNumberFormat="1" applyFont="1" applyFill="1" applyBorder="1" applyAlignment="1">
      <alignment horizontal="center"/>
    </xf>
    <xf numFmtId="0" fontId="14" fillId="11" borderId="2" xfId="0" applyNumberFormat="1" applyFont="1" applyFill="1" applyBorder="1" applyAlignment="1">
      <alignment horizontal="center"/>
    </xf>
    <xf numFmtId="0" fontId="14" fillId="11" borderId="3" xfId="0" applyNumberFormat="1" applyFont="1" applyFill="1" applyBorder="1" applyAlignment="1">
      <alignment horizontal="center"/>
    </xf>
    <xf numFmtId="0" fontId="14" fillId="11" borderId="4" xfId="0" applyNumberFormat="1" applyFont="1" applyFill="1" applyBorder="1" applyAlignment="1">
      <alignment horizontal="center"/>
    </xf>
    <xf numFmtId="0" fontId="14" fillId="3" borderId="2" xfId="0" applyNumberFormat="1" applyFont="1" applyFill="1" applyBorder="1" applyAlignment="1">
      <alignment horizontal="center"/>
    </xf>
    <xf numFmtId="0" fontId="14" fillId="3" borderId="3" xfId="0" applyNumberFormat="1" applyFont="1" applyFill="1" applyBorder="1" applyAlignment="1">
      <alignment horizontal="center"/>
    </xf>
    <xf numFmtId="0" fontId="14" fillId="3" borderId="4" xfId="0" applyNumberFormat="1" applyFont="1" applyFill="1" applyBorder="1" applyAlignment="1">
      <alignment horizontal="center"/>
    </xf>
    <xf numFmtId="0" fontId="24" fillId="3" borderId="2" xfId="0" applyNumberFormat="1" applyFont="1" applyFill="1" applyBorder="1" applyAlignment="1">
      <alignment horizontal="center"/>
    </xf>
    <xf numFmtId="0" fontId="24" fillId="3" borderId="3" xfId="0" applyNumberFormat="1" applyFont="1" applyFill="1" applyBorder="1" applyAlignment="1">
      <alignment horizontal="center"/>
    </xf>
    <xf numFmtId="0" fontId="24" fillId="3" borderId="4" xfId="0" applyNumberFormat="1" applyFont="1" applyFill="1" applyBorder="1" applyAlignment="1">
      <alignment horizontal="center"/>
    </xf>
    <xf numFmtId="0" fontId="14" fillId="7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/>
    <xf numFmtId="0" fontId="15" fillId="3" borderId="1" xfId="0" applyNumberFormat="1" applyFont="1" applyFill="1" applyBorder="1" applyAlignment="1">
      <alignment horizontal="center"/>
    </xf>
    <xf numFmtId="0" fontId="14" fillId="16" borderId="1" xfId="0" applyNumberFormat="1" applyFont="1" applyFill="1" applyBorder="1" applyAlignment="1"/>
    <xf numFmtId="0" fontId="15" fillId="16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12" borderId="1" xfId="0" applyNumberFormat="1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22" fillId="12" borderId="4" xfId="0" applyFont="1" applyFill="1" applyBorder="1" applyAlignment="1">
      <alignment horizontal="center"/>
    </xf>
    <xf numFmtId="0" fontId="34" fillId="13" borderId="2" xfId="0" applyFont="1" applyFill="1" applyBorder="1" applyAlignment="1">
      <alignment horizontal="center"/>
    </xf>
    <xf numFmtId="0" fontId="34" fillId="13" borderId="3" xfId="0" applyFont="1" applyFill="1" applyBorder="1" applyAlignment="1">
      <alignment horizontal="center"/>
    </xf>
    <xf numFmtId="0" fontId="34" fillId="13" borderId="4" xfId="0" applyFont="1" applyFill="1" applyBorder="1" applyAlignment="1">
      <alignment horizontal="center"/>
    </xf>
    <xf numFmtId="0" fontId="40" fillId="13" borderId="2" xfId="0" applyFont="1" applyFill="1" applyBorder="1" applyAlignment="1">
      <alignment horizontal="center"/>
    </xf>
    <xf numFmtId="0" fontId="40" fillId="13" borderId="3" xfId="0" applyFont="1" applyFill="1" applyBorder="1" applyAlignment="1">
      <alignment horizontal="center"/>
    </xf>
    <xf numFmtId="0" fontId="40" fillId="13" borderId="4" xfId="0" applyFont="1" applyFill="1" applyBorder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45" fillId="17" borderId="1" xfId="0" applyFont="1" applyFill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23" fillId="17" borderId="1" xfId="0" applyFont="1" applyFill="1" applyBorder="1" applyAlignment="1">
      <alignment horizontal="center"/>
    </xf>
    <xf numFmtId="0" fontId="22" fillId="15" borderId="6" xfId="0" applyFont="1" applyFill="1" applyBorder="1" applyAlignment="1">
      <alignment horizontal="left"/>
    </xf>
    <xf numFmtId="0" fontId="23" fillId="11" borderId="1" xfId="0" applyFont="1" applyFill="1" applyBorder="1" applyAlignment="1">
      <alignment horizontal="center"/>
    </xf>
  </cellXfs>
  <cellStyles count="3">
    <cellStyle name="Comma 5" xfId="2"/>
    <cellStyle name="Normal" xfId="0" builtinId="0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3"/>
  <sheetViews>
    <sheetView tabSelected="1" workbookViewId="0">
      <selection activeCell="L12" sqref="L12"/>
    </sheetView>
  </sheetViews>
  <sheetFormatPr defaultRowHeight="15" x14ac:dyDescent="0.25"/>
  <cols>
    <col min="2" max="2" width="6.5703125" customWidth="1"/>
    <col min="3" max="3" width="23.5703125" customWidth="1"/>
    <col min="4" max="4" width="16.140625" customWidth="1"/>
    <col min="5" max="5" width="15.28515625" customWidth="1"/>
    <col min="6" max="6" width="18.140625" bestFit="1" customWidth="1"/>
  </cols>
  <sheetData>
    <row r="5" spans="2:6" ht="15.75" x14ac:dyDescent="0.25">
      <c r="B5" s="327" t="s">
        <v>360</v>
      </c>
      <c r="C5" s="327"/>
      <c r="D5" s="327"/>
      <c r="E5" s="327"/>
      <c r="F5" s="327"/>
    </row>
    <row r="6" spans="2:6" ht="31.5" x14ac:dyDescent="0.25">
      <c r="B6" s="149" t="s">
        <v>6</v>
      </c>
      <c r="C6" s="256" t="s">
        <v>361</v>
      </c>
      <c r="D6" s="149" t="s">
        <v>362</v>
      </c>
      <c r="E6" s="149" t="s">
        <v>363</v>
      </c>
      <c r="F6" s="149" t="s">
        <v>364</v>
      </c>
    </row>
    <row r="7" spans="2:6" ht="31.5" x14ac:dyDescent="0.25">
      <c r="B7" s="152">
        <v>1</v>
      </c>
      <c r="C7" s="257" t="s">
        <v>367</v>
      </c>
      <c r="D7" s="183">
        <f>'Spitting Plant'!K215</f>
        <v>88637364.012458682</v>
      </c>
      <c r="E7" s="152">
        <f>F7-D7</f>
        <v>13295604.601868793</v>
      </c>
      <c r="F7" s="152">
        <f>D7*1.15</f>
        <v>101932968.61432748</v>
      </c>
    </row>
    <row r="8" spans="2:6" ht="15.75" x14ac:dyDescent="0.25">
      <c r="B8" s="152">
        <v>2</v>
      </c>
      <c r="C8" s="257" t="s">
        <v>368</v>
      </c>
      <c r="D8" s="183">
        <f>'Tankform &amp; RW tank'!K285</f>
        <v>38989469.568457462</v>
      </c>
      <c r="E8" s="152">
        <f t="shared" ref="E8:E21" si="0">F8-D8</f>
        <v>5848420.4352686182</v>
      </c>
      <c r="F8" s="152">
        <f t="shared" ref="F8:F21" si="1">D8*1.15</f>
        <v>44837890.00372608</v>
      </c>
    </row>
    <row r="9" spans="2:6" ht="15.75" x14ac:dyDescent="0.25">
      <c r="B9" s="152">
        <v>3</v>
      </c>
      <c r="C9" s="257" t="s">
        <v>372</v>
      </c>
      <c r="D9" s="183">
        <f>'Sweet Water Plant'!K150</f>
        <v>36371003.787863664</v>
      </c>
      <c r="E9" s="152">
        <f t="shared" si="0"/>
        <v>5455650.5681795478</v>
      </c>
      <c r="F9" s="152">
        <f t="shared" si="1"/>
        <v>41826654.356043212</v>
      </c>
    </row>
    <row r="10" spans="2:6" ht="15.75" x14ac:dyDescent="0.25">
      <c r="B10" s="152">
        <v>4</v>
      </c>
      <c r="C10" s="257" t="s">
        <v>374</v>
      </c>
      <c r="D10" s="183">
        <f>ETP!K30</f>
        <v>32130690.876672</v>
      </c>
      <c r="E10" s="152">
        <f t="shared" si="0"/>
        <v>4819603.6315007955</v>
      </c>
      <c r="F10" s="152">
        <f t="shared" si="1"/>
        <v>36950294.508172795</v>
      </c>
    </row>
    <row r="11" spans="2:6" ht="15.75" x14ac:dyDescent="0.25">
      <c r="B11" s="152">
        <v>5</v>
      </c>
      <c r="C11" s="257" t="s">
        <v>377</v>
      </c>
      <c r="D11" s="183">
        <f>'DM,RO &amp;Fire water'!K69</f>
        <v>3328482.398823</v>
      </c>
      <c r="E11" s="152">
        <f t="shared" si="0"/>
        <v>499272.35982344951</v>
      </c>
      <c r="F11" s="152">
        <f t="shared" si="1"/>
        <v>3827754.7586464495</v>
      </c>
    </row>
    <row r="12" spans="2:6" ht="15.75" x14ac:dyDescent="0.25">
      <c r="B12" s="152">
        <v>6</v>
      </c>
      <c r="C12" s="257" t="s">
        <v>381</v>
      </c>
      <c r="D12" s="183">
        <f>'Soft water '!K118</f>
        <v>1653144.6425167716</v>
      </c>
      <c r="E12" s="152">
        <f t="shared" si="0"/>
        <v>247971.69637751556</v>
      </c>
      <c r="F12" s="152">
        <f t="shared" si="1"/>
        <v>1901116.3388942871</v>
      </c>
    </row>
    <row r="13" spans="2:6" ht="15.75" x14ac:dyDescent="0.25">
      <c r="B13" s="152">
        <v>7</v>
      </c>
      <c r="C13" s="257" t="s">
        <v>383</v>
      </c>
      <c r="D13" s="183">
        <f>'FO Storage '!K133</f>
        <v>4747870.5058213957</v>
      </c>
      <c r="E13" s="152">
        <f t="shared" si="0"/>
        <v>712180.57587320916</v>
      </c>
      <c r="F13" s="152">
        <f t="shared" si="1"/>
        <v>5460051.0816946048</v>
      </c>
    </row>
    <row r="14" spans="2:6" ht="15.75" x14ac:dyDescent="0.25">
      <c r="B14" s="152">
        <v>8</v>
      </c>
      <c r="C14" s="257" t="s">
        <v>385</v>
      </c>
      <c r="D14" s="183">
        <f>'MP HP Boiler'!J235</f>
        <v>15379232.167947281</v>
      </c>
      <c r="E14" s="152">
        <f t="shared" si="0"/>
        <v>2306884.8251920901</v>
      </c>
      <c r="F14" s="152">
        <f t="shared" si="1"/>
        <v>17686116.993139371</v>
      </c>
    </row>
    <row r="15" spans="2:6" ht="15.75" x14ac:dyDescent="0.25">
      <c r="B15" s="152">
        <v>9</v>
      </c>
      <c r="C15" s="257" t="s">
        <v>386</v>
      </c>
      <c r="D15" s="183">
        <f>CPP!K164</f>
        <v>80399431.814496711</v>
      </c>
      <c r="E15" s="152">
        <f t="shared" si="0"/>
        <v>12059914.772174492</v>
      </c>
      <c r="F15" s="152">
        <f t="shared" si="1"/>
        <v>92459346.586671203</v>
      </c>
    </row>
    <row r="16" spans="2:6" ht="15.75" x14ac:dyDescent="0.25">
      <c r="B16" s="152">
        <v>10</v>
      </c>
      <c r="C16" s="257" t="s">
        <v>388</v>
      </c>
      <c r="D16" s="183">
        <f>'Cooling Towers'!J41</f>
        <v>3050942.8232000005</v>
      </c>
      <c r="E16" s="152">
        <f t="shared" si="0"/>
        <v>457641.42347999988</v>
      </c>
      <c r="F16" s="152">
        <f t="shared" si="1"/>
        <v>3508584.2466800003</v>
      </c>
    </row>
    <row r="17" spans="2:6" ht="15.75" x14ac:dyDescent="0.25">
      <c r="B17" s="152">
        <v>11</v>
      </c>
      <c r="C17" s="257" t="s">
        <v>389</v>
      </c>
      <c r="D17" s="183">
        <f>Piperack!J17</f>
        <v>14615144.534999998</v>
      </c>
      <c r="E17" s="152">
        <f t="shared" si="0"/>
        <v>2192271.6802499983</v>
      </c>
      <c r="F17" s="152">
        <f t="shared" si="1"/>
        <v>16807416.215249997</v>
      </c>
    </row>
    <row r="18" spans="2:6" ht="15.75" x14ac:dyDescent="0.25">
      <c r="B18" s="152">
        <v>12</v>
      </c>
      <c r="C18" s="257" t="s">
        <v>390</v>
      </c>
      <c r="D18" s="183">
        <f>'Office Buildings'!J16</f>
        <v>35999187.75</v>
      </c>
      <c r="E18" s="152">
        <f t="shared" si="0"/>
        <v>5399878.162499994</v>
      </c>
      <c r="F18" s="152">
        <f t="shared" si="1"/>
        <v>41399065.912499994</v>
      </c>
    </row>
    <row r="19" spans="2:6" ht="15.75" x14ac:dyDescent="0.25">
      <c r="B19" s="152">
        <v>13</v>
      </c>
      <c r="C19" s="257" t="s">
        <v>391</v>
      </c>
      <c r="D19" s="183">
        <f>WB!K18</f>
        <v>2596516.1949999998</v>
      </c>
      <c r="E19" s="152">
        <f t="shared" si="0"/>
        <v>389477.42924999958</v>
      </c>
      <c r="F19" s="152">
        <f t="shared" si="1"/>
        <v>2985993.6242499994</v>
      </c>
    </row>
    <row r="20" spans="2:6" ht="15.75" x14ac:dyDescent="0.25">
      <c r="B20" s="152">
        <v>14</v>
      </c>
      <c r="C20" s="257" t="s">
        <v>392</v>
      </c>
      <c r="D20" s="183">
        <f>Road!J23</f>
        <v>22483686.822000001</v>
      </c>
      <c r="E20" s="152">
        <f t="shared" si="0"/>
        <v>3372553.0232999995</v>
      </c>
      <c r="F20" s="152">
        <f t="shared" si="1"/>
        <v>25856239.8453</v>
      </c>
    </row>
    <row r="21" spans="2:6" ht="15.75" x14ac:dyDescent="0.25">
      <c r="B21" s="152">
        <v>15</v>
      </c>
      <c r="C21" s="257" t="s">
        <v>393</v>
      </c>
      <c r="D21" s="183">
        <f>drainage!I11</f>
        <v>10723722.836959999</v>
      </c>
      <c r="E21" s="152">
        <f t="shared" si="0"/>
        <v>1608558.4255439993</v>
      </c>
      <c r="F21" s="152">
        <f t="shared" si="1"/>
        <v>12332281.262503998</v>
      </c>
    </row>
    <row r="22" spans="2:6" ht="15.75" x14ac:dyDescent="0.25">
      <c r="B22" s="152"/>
      <c r="C22" s="257" t="s">
        <v>365</v>
      </c>
      <c r="D22" s="323">
        <f>SUM(D7:D21)</f>
        <v>391105890.73721701</v>
      </c>
      <c r="E22" s="258">
        <f>SUM(E7:E21)</f>
        <v>58665883.610582501</v>
      </c>
      <c r="F22" s="258">
        <f>SUM(F7:F21)</f>
        <v>449771774.34779954</v>
      </c>
    </row>
    <row r="23" spans="2:6" x14ac:dyDescent="0.25">
      <c r="D23" s="322"/>
    </row>
  </sheetData>
  <mergeCells count="1">
    <mergeCell ref="B5: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opLeftCell="A223" workbookViewId="0">
      <selection activeCell="L160" sqref="L160"/>
    </sheetView>
  </sheetViews>
  <sheetFormatPr defaultRowHeight="15.75" x14ac:dyDescent="0.25"/>
  <cols>
    <col min="1" max="1" width="6.42578125" style="60" bestFit="1" customWidth="1"/>
    <col min="2" max="2" width="66.7109375" style="28" customWidth="1"/>
    <col min="3" max="3" width="6.140625" style="186" bestFit="1" customWidth="1"/>
    <col min="4" max="4" width="7.7109375" style="28" bestFit="1" customWidth="1"/>
    <col min="5" max="5" width="7.85546875" style="28" bestFit="1" customWidth="1"/>
    <col min="6" max="6" width="7.42578125" style="28" bestFit="1" customWidth="1"/>
    <col min="7" max="7" width="10.140625" style="28" bestFit="1" customWidth="1"/>
    <col min="8" max="8" width="5.140625" style="77" bestFit="1" customWidth="1"/>
    <col min="9" max="9" width="11.28515625" style="107" bestFit="1" customWidth="1"/>
    <col min="10" max="10" width="13.140625" style="108" bestFit="1" customWidth="1"/>
    <col min="11" max="11" width="9.28515625" style="22" bestFit="1" customWidth="1"/>
    <col min="12" max="12" width="10.28515625" style="28" bestFit="1" customWidth="1"/>
    <col min="13" max="13" width="7.7109375" style="28" bestFit="1" customWidth="1"/>
    <col min="14" max="14" width="5.140625" style="28" bestFit="1" customWidth="1"/>
    <col min="15" max="15" width="6.140625" style="28" bestFit="1" customWidth="1"/>
    <col min="16" max="256" width="9.140625" style="28"/>
    <col min="257" max="257" width="6" style="28" bestFit="1" customWidth="1"/>
    <col min="258" max="258" width="30.140625" style="28" bestFit="1" customWidth="1"/>
    <col min="259" max="259" width="8.28515625" style="28" bestFit="1" customWidth="1"/>
    <col min="260" max="260" width="7" style="28" bestFit="1" customWidth="1"/>
    <col min="261" max="261" width="7.28515625" style="28" bestFit="1" customWidth="1"/>
    <col min="262" max="262" width="7.5703125" style="28" bestFit="1" customWidth="1"/>
    <col min="263" max="263" width="8.28515625" style="28" bestFit="1" customWidth="1"/>
    <col min="264" max="264" width="5.140625" style="28" bestFit="1" customWidth="1"/>
    <col min="265" max="265" width="7.7109375" style="28" bestFit="1" customWidth="1"/>
    <col min="266" max="266" width="9" style="28" bestFit="1" customWidth="1"/>
    <col min="267" max="267" width="14" style="28" bestFit="1" customWidth="1"/>
    <col min="268" max="512" width="9.140625" style="28"/>
    <col min="513" max="513" width="6" style="28" bestFit="1" customWidth="1"/>
    <col min="514" max="514" width="30.140625" style="28" bestFit="1" customWidth="1"/>
    <col min="515" max="515" width="8.28515625" style="28" bestFit="1" customWidth="1"/>
    <col min="516" max="516" width="7" style="28" bestFit="1" customWidth="1"/>
    <col min="517" max="517" width="7.28515625" style="28" bestFit="1" customWidth="1"/>
    <col min="518" max="518" width="7.5703125" style="28" bestFit="1" customWidth="1"/>
    <col min="519" max="519" width="8.28515625" style="28" bestFit="1" customWidth="1"/>
    <col min="520" max="520" width="5.140625" style="28" bestFit="1" customWidth="1"/>
    <col min="521" max="521" width="7.7109375" style="28" bestFit="1" customWidth="1"/>
    <col min="522" max="522" width="9" style="28" bestFit="1" customWidth="1"/>
    <col min="523" max="523" width="14" style="28" bestFit="1" customWidth="1"/>
    <col min="524" max="768" width="9.140625" style="28"/>
    <col min="769" max="769" width="6" style="28" bestFit="1" customWidth="1"/>
    <col min="770" max="770" width="30.140625" style="28" bestFit="1" customWidth="1"/>
    <col min="771" max="771" width="8.28515625" style="28" bestFit="1" customWidth="1"/>
    <col min="772" max="772" width="7" style="28" bestFit="1" customWidth="1"/>
    <col min="773" max="773" width="7.28515625" style="28" bestFit="1" customWidth="1"/>
    <col min="774" max="774" width="7.5703125" style="28" bestFit="1" customWidth="1"/>
    <col min="775" max="775" width="8.28515625" style="28" bestFit="1" customWidth="1"/>
    <col min="776" max="776" width="5.140625" style="28" bestFit="1" customWidth="1"/>
    <col min="777" max="777" width="7.7109375" style="28" bestFit="1" customWidth="1"/>
    <col min="778" max="778" width="9" style="28" bestFit="1" customWidth="1"/>
    <col min="779" max="779" width="14" style="28" bestFit="1" customWidth="1"/>
    <col min="780" max="1024" width="9.140625" style="28"/>
    <col min="1025" max="1025" width="6" style="28" bestFit="1" customWidth="1"/>
    <col min="1026" max="1026" width="30.140625" style="28" bestFit="1" customWidth="1"/>
    <col min="1027" max="1027" width="8.28515625" style="28" bestFit="1" customWidth="1"/>
    <col min="1028" max="1028" width="7" style="28" bestFit="1" customWidth="1"/>
    <col min="1029" max="1029" width="7.28515625" style="28" bestFit="1" customWidth="1"/>
    <col min="1030" max="1030" width="7.5703125" style="28" bestFit="1" customWidth="1"/>
    <col min="1031" max="1031" width="8.28515625" style="28" bestFit="1" customWidth="1"/>
    <col min="1032" max="1032" width="5.140625" style="28" bestFit="1" customWidth="1"/>
    <col min="1033" max="1033" width="7.7109375" style="28" bestFit="1" customWidth="1"/>
    <col min="1034" max="1034" width="9" style="28" bestFit="1" customWidth="1"/>
    <col min="1035" max="1035" width="14" style="28" bestFit="1" customWidth="1"/>
    <col min="1036" max="1280" width="9.140625" style="28"/>
    <col min="1281" max="1281" width="6" style="28" bestFit="1" customWidth="1"/>
    <col min="1282" max="1282" width="30.140625" style="28" bestFit="1" customWidth="1"/>
    <col min="1283" max="1283" width="8.28515625" style="28" bestFit="1" customWidth="1"/>
    <col min="1284" max="1284" width="7" style="28" bestFit="1" customWidth="1"/>
    <col min="1285" max="1285" width="7.28515625" style="28" bestFit="1" customWidth="1"/>
    <col min="1286" max="1286" width="7.5703125" style="28" bestFit="1" customWidth="1"/>
    <col min="1287" max="1287" width="8.28515625" style="28" bestFit="1" customWidth="1"/>
    <col min="1288" max="1288" width="5.140625" style="28" bestFit="1" customWidth="1"/>
    <col min="1289" max="1289" width="7.7109375" style="28" bestFit="1" customWidth="1"/>
    <col min="1290" max="1290" width="9" style="28" bestFit="1" customWidth="1"/>
    <col min="1291" max="1291" width="14" style="28" bestFit="1" customWidth="1"/>
    <col min="1292" max="1536" width="9.140625" style="28"/>
    <col min="1537" max="1537" width="6" style="28" bestFit="1" customWidth="1"/>
    <col min="1538" max="1538" width="30.140625" style="28" bestFit="1" customWidth="1"/>
    <col min="1539" max="1539" width="8.28515625" style="28" bestFit="1" customWidth="1"/>
    <col min="1540" max="1540" width="7" style="28" bestFit="1" customWidth="1"/>
    <col min="1541" max="1541" width="7.28515625" style="28" bestFit="1" customWidth="1"/>
    <col min="1542" max="1542" width="7.5703125" style="28" bestFit="1" customWidth="1"/>
    <col min="1543" max="1543" width="8.28515625" style="28" bestFit="1" customWidth="1"/>
    <col min="1544" max="1544" width="5.140625" style="28" bestFit="1" customWidth="1"/>
    <col min="1545" max="1545" width="7.7109375" style="28" bestFit="1" customWidth="1"/>
    <col min="1546" max="1546" width="9" style="28" bestFit="1" customWidth="1"/>
    <col min="1547" max="1547" width="14" style="28" bestFit="1" customWidth="1"/>
    <col min="1548" max="1792" width="9.140625" style="28"/>
    <col min="1793" max="1793" width="6" style="28" bestFit="1" customWidth="1"/>
    <col min="1794" max="1794" width="30.140625" style="28" bestFit="1" customWidth="1"/>
    <col min="1795" max="1795" width="8.28515625" style="28" bestFit="1" customWidth="1"/>
    <col min="1796" max="1796" width="7" style="28" bestFit="1" customWidth="1"/>
    <col min="1797" max="1797" width="7.28515625" style="28" bestFit="1" customWidth="1"/>
    <col min="1798" max="1798" width="7.5703125" style="28" bestFit="1" customWidth="1"/>
    <col min="1799" max="1799" width="8.28515625" style="28" bestFit="1" customWidth="1"/>
    <col min="1800" max="1800" width="5.140625" style="28" bestFit="1" customWidth="1"/>
    <col min="1801" max="1801" width="7.7109375" style="28" bestFit="1" customWidth="1"/>
    <col min="1802" max="1802" width="9" style="28" bestFit="1" customWidth="1"/>
    <col min="1803" max="1803" width="14" style="28" bestFit="1" customWidth="1"/>
    <col min="1804" max="2048" width="9.140625" style="28"/>
    <col min="2049" max="2049" width="6" style="28" bestFit="1" customWidth="1"/>
    <col min="2050" max="2050" width="30.140625" style="28" bestFit="1" customWidth="1"/>
    <col min="2051" max="2051" width="8.28515625" style="28" bestFit="1" customWidth="1"/>
    <col min="2052" max="2052" width="7" style="28" bestFit="1" customWidth="1"/>
    <col min="2053" max="2053" width="7.28515625" style="28" bestFit="1" customWidth="1"/>
    <col min="2054" max="2054" width="7.5703125" style="28" bestFit="1" customWidth="1"/>
    <col min="2055" max="2055" width="8.28515625" style="28" bestFit="1" customWidth="1"/>
    <col min="2056" max="2056" width="5.140625" style="28" bestFit="1" customWidth="1"/>
    <col min="2057" max="2057" width="7.7109375" style="28" bestFit="1" customWidth="1"/>
    <col min="2058" max="2058" width="9" style="28" bestFit="1" customWidth="1"/>
    <col min="2059" max="2059" width="14" style="28" bestFit="1" customWidth="1"/>
    <col min="2060" max="2304" width="9.140625" style="28"/>
    <col min="2305" max="2305" width="6" style="28" bestFit="1" customWidth="1"/>
    <col min="2306" max="2306" width="30.140625" style="28" bestFit="1" customWidth="1"/>
    <col min="2307" max="2307" width="8.28515625" style="28" bestFit="1" customWidth="1"/>
    <col min="2308" max="2308" width="7" style="28" bestFit="1" customWidth="1"/>
    <col min="2309" max="2309" width="7.28515625" style="28" bestFit="1" customWidth="1"/>
    <col min="2310" max="2310" width="7.5703125" style="28" bestFit="1" customWidth="1"/>
    <col min="2311" max="2311" width="8.28515625" style="28" bestFit="1" customWidth="1"/>
    <col min="2312" max="2312" width="5.140625" style="28" bestFit="1" customWidth="1"/>
    <col min="2313" max="2313" width="7.7109375" style="28" bestFit="1" customWidth="1"/>
    <col min="2314" max="2314" width="9" style="28" bestFit="1" customWidth="1"/>
    <col min="2315" max="2315" width="14" style="28" bestFit="1" customWidth="1"/>
    <col min="2316" max="2560" width="9.140625" style="28"/>
    <col min="2561" max="2561" width="6" style="28" bestFit="1" customWidth="1"/>
    <col min="2562" max="2562" width="30.140625" style="28" bestFit="1" customWidth="1"/>
    <col min="2563" max="2563" width="8.28515625" style="28" bestFit="1" customWidth="1"/>
    <col min="2564" max="2564" width="7" style="28" bestFit="1" customWidth="1"/>
    <col min="2565" max="2565" width="7.28515625" style="28" bestFit="1" customWidth="1"/>
    <col min="2566" max="2566" width="7.5703125" style="28" bestFit="1" customWidth="1"/>
    <col min="2567" max="2567" width="8.28515625" style="28" bestFit="1" customWidth="1"/>
    <col min="2568" max="2568" width="5.140625" style="28" bestFit="1" customWidth="1"/>
    <col min="2569" max="2569" width="7.7109375" style="28" bestFit="1" customWidth="1"/>
    <col min="2570" max="2570" width="9" style="28" bestFit="1" customWidth="1"/>
    <col min="2571" max="2571" width="14" style="28" bestFit="1" customWidth="1"/>
    <col min="2572" max="2816" width="9.140625" style="28"/>
    <col min="2817" max="2817" width="6" style="28" bestFit="1" customWidth="1"/>
    <col min="2818" max="2818" width="30.140625" style="28" bestFit="1" customWidth="1"/>
    <col min="2819" max="2819" width="8.28515625" style="28" bestFit="1" customWidth="1"/>
    <col min="2820" max="2820" width="7" style="28" bestFit="1" customWidth="1"/>
    <col min="2821" max="2821" width="7.28515625" style="28" bestFit="1" customWidth="1"/>
    <col min="2822" max="2822" width="7.5703125" style="28" bestFit="1" customWidth="1"/>
    <col min="2823" max="2823" width="8.28515625" style="28" bestFit="1" customWidth="1"/>
    <col min="2824" max="2824" width="5.140625" style="28" bestFit="1" customWidth="1"/>
    <col min="2825" max="2825" width="7.7109375" style="28" bestFit="1" customWidth="1"/>
    <col min="2826" max="2826" width="9" style="28" bestFit="1" customWidth="1"/>
    <col min="2827" max="2827" width="14" style="28" bestFit="1" customWidth="1"/>
    <col min="2828" max="3072" width="9.140625" style="28"/>
    <col min="3073" max="3073" width="6" style="28" bestFit="1" customWidth="1"/>
    <col min="3074" max="3074" width="30.140625" style="28" bestFit="1" customWidth="1"/>
    <col min="3075" max="3075" width="8.28515625" style="28" bestFit="1" customWidth="1"/>
    <col min="3076" max="3076" width="7" style="28" bestFit="1" customWidth="1"/>
    <col min="3077" max="3077" width="7.28515625" style="28" bestFit="1" customWidth="1"/>
    <col min="3078" max="3078" width="7.5703125" style="28" bestFit="1" customWidth="1"/>
    <col min="3079" max="3079" width="8.28515625" style="28" bestFit="1" customWidth="1"/>
    <col min="3080" max="3080" width="5.140625" style="28" bestFit="1" customWidth="1"/>
    <col min="3081" max="3081" width="7.7109375" style="28" bestFit="1" customWidth="1"/>
    <col min="3082" max="3082" width="9" style="28" bestFit="1" customWidth="1"/>
    <col min="3083" max="3083" width="14" style="28" bestFit="1" customWidth="1"/>
    <col min="3084" max="3328" width="9.140625" style="28"/>
    <col min="3329" max="3329" width="6" style="28" bestFit="1" customWidth="1"/>
    <col min="3330" max="3330" width="30.140625" style="28" bestFit="1" customWidth="1"/>
    <col min="3331" max="3331" width="8.28515625" style="28" bestFit="1" customWidth="1"/>
    <col min="3332" max="3332" width="7" style="28" bestFit="1" customWidth="1"/>
    <col min="3333" max="3333" width="7.28515625" style="28" bestFit="1" customWidth="1"/>
    <col min="3334" max="3334" width="7.5703125" style="28" bestFit="1" customWidth="1"/>
    <col min="3335" max="3335" width="8.28515625" style="28" bestFit="1" customWidth="1"/>
    <col min="3336" max="3336" width="5.140625" style="28" bestFit="1" customWidth="1"/>
    <col min="3337" max="3337" width="7.7109375" style="28" bestFit="1" customWidth="1"/>
    <col min="3338" max="3338" width="9" style="28" bestFit="1" customWidth="1"/>
    <col min="3339" max="3339" width="14" style="28" bestFit="1" customWidth="1"/>
    <col min="3340" max="3584" width="9.140625" style="28"/>
    <col min="3585" max="3585" width="6" style="28" bestFit="1" customWidth="1"/>
    <col min="3586" max="3586" width="30.140625" style="28" bestFit="1" customWidth="1"/>
    <col min="3587" max="3587" width="8.28515625" style="28" bestFit="1" customWidth="1"/>
    <col min="3588" max="3588" width="7" style="28" bestFit="1" customWidth="1"/>
    <col min="3589" max="3589" width="7.28515625" style="28" bestFit="1" customWidth="1"/>
    <col min="3590" max="3590" width="7.5703125" style="28" bestFit="1" customWidth="1"/>
    <col min="3591" max="3591" width="8.28515625" style="28" bestFit="1" customWidth="1"/>
    <col min="3592" max="3592" width="5.140625" style="28" bestFit="1" customWidth="1"/>
    <col min="3593" max="3593" width="7.7109375" style="28" bestFit="1" customWidth="1"/>
    <col min="3594" max="3594" width="9" style="28" bestFit="1" customWidth="1"/>
    <col min="3595" max="3595" width="14" style="28" bestFit="1" customWidth="1"/>
    <col min="3596" max="3840" width="9.140625" style="28"/>
    <col min="3841" max="3841" width="6" style="28" bestFit="1" customWidth="1"/>
    <col min="3842" max="3842" width="30.140625" style="28" bestFit="1" customWidth="1"/>
    <col min="3843" max="3843" width="8.28515625" style="28" bestFit="1" customWidth="1"/>
    <col min="3844" max="3844" width="7" style="28" bestFit="1" customWidth="1"/>
    <col min="3845" max="3845" width="7.28515625" style="28" bestFit="1" customWidth="1"/>
    <col min="3846" max="3846" width="7.5703125" style="28" bestFit="1" customWidth="1"/>
    <col min="3847" max="3847" width="8.28515625" style="28" bestFit="1" customWidth="1"/>
    <col min="3848" max="3848" width="5.140625" style="28" bestFit="1" customWidth="1"/>
    <col min="3849" max="3849" width="7.7109375" style="28" bestFit="1" customWidth="1"/>
    <col min="3850" max="3850" width="9" style="28" bestFit="1" customWidth="1"/>
    <col min="3851" max="3851" width="14" style="28" bestFit="1" customWidth="1"/>
    <col min="3852" max="4096" width="9.140625" style="28"/>
    <col min="4097" max="4097" width="6" style="28" bestFit="1" customWidth="1"/>
    <col min="4098" max="4098" width="30.140625" style="28" bestFit="1" customWidth="1"/>
    <col min="4099" max="4099" width="8.28515625" style="28" bestFit="1" customWidth="1"/>
    <col min="4100" max="4100" width="7" style="28" bestFit="1" customWidth="1"/>
    <col min="4101" max="4101" width="7.28515625" style="28" bestFit="1" customWidth="1"/>
    <col min="4102" max="4102" width="7.5703125" style="28" bestFit="1" customWidth="1"/>
    <col min="4103" max="4103" width="8.28515625" style="28" bestFit="1" customWidth="1"/>
    <col min="4104" max="4104" width="5.140625" style="28" bestFit="1" customWidth="1"/>
    <col min="4105" max="4105" width="7.7109375" style="28" bestFit="1" customWidth="1"/>
    <col min="4106" max="4106" width="9" style="28" bestFit="1" customWidth="1"/>
    <col min="4107" max="4107" width="14" style="28" bestFit="1" customWidth="1"/>
    <col min="4108" max="4352" width="9.140625" style="28"/>
    <col min="4353" max="4353" width="6" style="28" bestFit="1" customWidth="1"/>
    <col min="4354" max="4354" width="30.140625" style="28" bestFit="1" customWidth="1"/>
    <col min="4355" max="4355" width="8.28515625" style="28" bestFit="1" customWidth="1"/>
    <col min="4356" max="4356" width="7" style="28" bestFit="1" customWidth="1"/>
    <col min="4357" max="4357" width="7.28515625" style="28" bestFit="1" customWidth="1"/>
    <col min="4358" max="4358" width="7.5703125" style="28" bestFit="1" customWidth="1"/>
    <col min="4359" max="4359" width="8.28515625" style="28" bestFit="1" customWidth="1"/>
    <col min="4360" max="4360" width="5.140625" style="28" bestFit="1" customWidth="1"/>
    <col min="4361" max="4361" width="7.7109375" style="28" bestFit="1" customWidth="1"/>
    <col min="4362" max="4362" width="9" style="28" bestFit="1" customWidth="1"/>
    <col min="4363" max="4363" width="14" style="28" bestFit="1" customWidth="1"/>
    <col min="4364" max="4608" width="9.140625" style="28"/>
    <col min="4609" max="4609" width="6" style="28" bestFit="1" customWidth="1"/>
    <col min="4610" max="4610" width="30.140625" style="28" bestFit="1" customWidth="1"/>
    <col min="4611" max="4611" width="8.28515625" style="28" bestFit="1" customWidth="1"/>
    <col min="4612" max="4612" width="7" style="28" bestFit="1" customWidth="1"/>
    <col min="4613" max="4613" width="7.28515625" style="28" bestFit="1" customWidth="1"/>
    <col min="4614" max="4614" width="7.5703125" style="28" bestFit="1" customWidth="1"/>
    <col min="4615" max="4615" width="8.28515625" style="28" bestFit="1" customWidth="1"/>
    <col min="4616" max="4616" width="5.140625" style="28" bestFit="1" customWidth="1"/>
    <col min="4617" max="4617" width="7.7109375" style="28" bestFit="1" customWidth="1"/>
    <col min="4618" max="4618" width="9" style="28" bestFit="1" customWidth="1"/>
    <col min="4619" max="4619" width="14" style="28" bestFit="1" customWidth="1"/>
    <col min="4620" max="4864" width="9.140625" style="28"/>
    <col min="4865" max="4865" width="6" style="28" bestFit="1" customWidth="1"/>
    <col min="4866" max="4866" width="30.140625" style="28" bestFit="1" customWidth="1"/>
    <col min="4867" max="4867" width="8.28515625" style="28" bestFit="1" customWidth="1"/>
    <col min="4868" max="4868" width="7" style="28" bestFit="1" customWidth="1"/>
    <col min="4869" max="4869" width="7.28515625" style="28" bestFit="1" customWidth="1"/>
    <col min="4870" max="4870" width="7.5703125" style="28" bestFit="1" customWidth="1"/>
    <col min="4871" max="4871" width="8.28515625" style="28" bestFit="1" customWidth="1"/>
    <col min="4872" max="4872" width="5.140625" style="28" bestFit="1" customWidth="1"/>
    <col min="4873" max="4873" width="7.7109375" style="28" bestFit="1" customWidth="1"/>
    <col min="4874" max="4874" width="9" style="28" bestFit="1" customWidth="1"/>
    <col min="4875" max="4875" width="14" style="28" bestFit="1" customWidth="1"/>
    <col min="4876" max="5120" width="9.140625" style="28"/>
    <col min="5121" max="5121" width="6" style="28" bestFit="1" customWidth="1"/>
    <col min="5122" max="5122" width="30.140625" style="28" bestFit="1" customWidth="1"/>
    <col min="5123" max="5123" width="8.28515625" style="28" bestFit="1" customWidth="1"/>
    <col min="5124" max="5124" width="7" style="28" bestFit="1" customWidth="1"/>
    <col min="5125" max="5125" width="7.28515625" style="28" bestFit="1" customWidth="1"/>
    <col min="5126" max="5126" width="7.5703125" style="28" bestFit="1" customWidth="1"/>
    <col min="5127" max="5127" width="8.28515625" style="28" bestFit="1" customWidth="1"/>
    <col min="5128" max="5128" width="5.140625" style="28" bestFit="1" customWidth="1"/>
    <col min="5129" max="5129" width="7.7109375" style="28" bestFit="1" customWidth="1"/>
    <col min="5130" max="5130" width="9" style="28" bestFit="1" customWidth="1"/>
    <col min="5131" max="5131" width="14" style="28" bestFit="1" customWidth="1"/>
    <col min="5132" max="5376" width="9.140625" style="28"/>
    <col min="5377" max="5377" width="6" style="28" bestFit="1" customWidth="1"/>
    <col min="5378" max="5378" width="30.140625" style="28" bestFit="1" customWidth="1"/>
    <col min="5379" max="5379" width="8.28515625" style="28" bestFit="1" customWidth="1"/>
    <col min="5380" max="5380" width="7" style="28" bestFit="1" customWidth="1"/>
    <col min="5381" max="5381" width="7.28515625" style="28" bestFit="1" customWidth="1"/>
    <col min="5382" max="5382" width="7.5703125" style="28" bestFit="1" customWidth="1"/>
    <col min="5383" max="5383" width="8.28515625" style="28" bestFit="1" customWidth="1"/>
    <col min="5384" max="5384" width="5.140625" style="28" bestFit="1" customWidth="1"/>
    <col min="5385" max="5385" width="7.7109375" style="28" bestFit="1" customWidth="1"/>
    <col min="5386" max="5386" width="9" style="28" bestFit="1" customWidth="1"/>
    <col min="5387" max="5387" width="14" style="28" bestFit="1" customWidth="1"/>
    <col min="5388" max="5632" width="9.140625" style="28"/>
    <col min="5633" max="5633" width="6" style="28" bestFit="1" customWidth="1"/>
    <col min="5634" max="5634" width="30.140625" style="28" bestFit="1" customWidth="1"/>
    <col min="5635" max="5635" width="8.28515625" style="28" bestFit="1" customWidth="1"/>
    <col min="5636" max="5636" width="7" style="28" bestFit="1" customWidth="1"/>
    <col min="5637" max="5637" width="7.28515625" style="28" bestFit="1" customWidth="1"/>
    <col min="5638" max="5638" width="7.5703125" style="28" bestFit="1" customWidth="1"/>
    <col min="5639" max="5639" width="8.28515625" style="28" bestFit="1" customWidth="1"/>
    <col min="5640" max="5640" width="5.140625" style="28" bestFit="1" customWidth="1"/>
    <col min="5641" max="5641" width="7.7109375" style="28" bestFit="1" customWidth="1"/>
    <col min="5642" max="5642" width="9" style="28" bestFit="1" customWidth="1"/>
    <col min="5643" max="5643" width="14" style="28" bestFit="1" customWidth="1"/>
    <col min="5644" max="5888" width="9.140625" style="28"/>
    <col min="5889" max="5889" width="6" style="28" bestFit="1" customWidth="1"/>
    <col min="5890" max="5890" width="30.140625" style="28" bestFit="1" customWidth="1"/>
    <col min="5891" max="5891" width="8.28515625" style="28" bestFit="1" customWidth="1"/>
    <col min="5892" max="5892" width="7" style="28" bestFit="1" customWidth="1"/>
    <col min="5893" max="5893" width="7.28515625" style="28" bestFit="1" customWidth="1"/>
    <col min="5894" max="5894" width="7.5703125" style="28" bestFit="1" customWidth="1"/>
    <col min="5895" max="5895" width="8.28515625" style="28" bestFit="1" customWidth="1"/>
    <col min="5896" max="5896" width="5.140625" style="28" bestFit="1" customWidth="1"/>
    <col min="5897" max="5897" width="7.7109375" style="28" bestFit="1" customWidth="1"/>
    <col min="5898" max="5898" width="9" style="28" bestFit="1" customWidth="1"/>
    <col min="5899" max="5899" width="14" style="28" bestFit="1" customWidth="1"/>
    <col min="5900" max="6144" width="9.140625" style="28"/>
    <col min="6145" max="6145" width="6" style="28" bestFit="1" customWidth="1"/>
    <col min="6146" max="6146" width="30.140625" style="28" bestFit="1" customWidth="1"/>
    <col min="6147" max="6147" width="8.28515625" style="28" bestFit="1" customWidth="1"/>
    <col min="6148" max="6148" width="7" style="28" bestFit="1" customWidth="1"/>
    <col min="6149" max="6149" width="7.28515625" style="28" bestFit="1" customWidth="1"/>
    <col min="6150" max="6150" width="7.5703125" style="28" bestFit="1" customWidth="1"/>
    <col min="6151" max="6151" width="8.28515625" style="28" bestFit="1" customWidth="1"/>
    <col min="6152" max="6152" width="5.140625" style="28" bestFit="1" customWidth="1"/>
    <col min="6153" max="6153" width="7.7109375" style="28" bestFit="1" customWidth="1"/>
    <col min="6154" max="6154" width="9" style="28" bestFit="1" customWidth="1"/>
    <col min="6155" max="6155" width="14" style="28" bestFit="1" customWidth="1"/>
    <col min="6156" max="6400" width="9.140625" style="28"/>
    <col min="6401" max="6401" width="6" style="28" bestFit="1" customWidth="1"/>
    <col min="6402" max="6402" width="30.140625" style="28" bestFit="1" customWidth="1"/>
    <col min="6403" max="6403" width="8.28515625" style="28" bestFit="1" customWidth="1"/>
    <col min="6404" max="6404" width="7" style="28" bestFit="1" customWidth="1"/>
    <col min="6405" max="6405" width="7.28515625" style="28" bestFit="1" customWidth="1"/>
    <col min="6406" max="6406" width="7.5703125" style="28" bestFit="1" customWidth="1"/>
    <col min="6407" max="6407" width="8.28515625" style="28" bestFit="1" customWidth="1"/>
    <col min="6408" max="6408" width="5.140625" style="28" bestFit="1" customWidth="1"/>
    <col min="6409" max="6409" width="7.7109375" style="28" bestFit="1" customWidth="1"/>
    <col min="6410" max="6410" width="9" style="28" bestFit="1" customWidth="1"/>
    <col min="6411" max="6411" width="14" style="28" bestFit="1" customWidth="1"/>
    <col min="6412" max="6656" width="9.140625" style="28"/>
    <col min="6657" max="6657" width="6" style="28" bestFit="1" customWidth="1"/>
    <col min="6658" max="6658" width="30.140625" style="28" bestFit="1" customWidth="1"/>
    <col min="6659" max="6659" width="8.28515625" style="28" bestFit="1" customWidth="1"/>
    <col min="6660" max="6660" width="7" style="28" bestFit="1" customWidth="1"/>
    <col min="6661" max="6661" width="7.28515625" style="28" bestFit="1" customWidth="1"/>
    <col min="6662" max="6662" width="7.5703125" style="28" bestFit="1" customWidth="1"/>
    <col min="6663" max="6663" width="8.28515625" style="28" bestFit="1" customWidth="1"/>
    <col min="6664" max="6664" width="5.140625" style="28" bestFit="1" customWidth="1"/>
    <col min="6665" max="6665" width="7.7109375" style="28" bestFit="1" customWidth="1"/>
    <col min="6666" max="6666" width="9" style="28" bestFit="1" customWidth="1"/>
    <col min="6667" max="6667" width="14" style="28" bestFit="1" customWidth="1"/>
    <col min="6668" max="6912" width="9.140625" style="28"/>
    <col min="6913" max="6913" width="6" style="28" bestFit="1" customWidth="1"/>
    <col min="6914" max="6914" width="30.140625" style="28" bestFit="1" customWidth="1"/>
    <col min="6915" max="6915" width="8.28515625" style="28" bestFit="1" customWidth="1"/>
    <col min="6916" max="6916" width="7" style="28" bestFit="1" customWidth="1"/>
    <col min="6917" max="6917" width="7.28515625" style="28" bestFit="1" customWidth="1"/>
    <col min="6918" max="6918" width="7.5703125" style="28" bestFit="1" customWidth="1"/>
    <col min="6919" max="6919" width="8.28515625" style="28" bestFit="1" customWidth="1"/>
    <col min="6920" max="6920" width="5.140625" style="28" bestFit="1" customWidth="1"/>
    <col min="6921" max="6921" width="7.7109375" style="28" bestFit="1" customWidth="1"/>
    <col min="6922" max="6922" width="9" style="28" bestFit="1" customWidth="1"/>
    <col min="6923" max="6923" width="14" style="28" bestFit="1" customWidth="1"/>
    <col min="6924" max="7168" width="9.140625" style="28"/>
    <col min="7169" max="7169" width="6" style="28" bestFit="1" customWidth="1"/>
    <col min="7170" max="7170" width="30.140625" style="28" bestFit="1" customWidth="1"/>
    <col min="7171" max="7171" width="8.28515625" style="28" bestFit="1" customWidth="1"/>
    <col min="7172" max="7172" width="7" style="28" bestFit="1" customWidth="1"/>
    <col min="7173" max="7173" width="7.28515625" style="28" bestFit="1" customWidth="1"/>
    <col min="7174" max="7174" width="7.5703125" style="28" bestFit="1" customWidth="1"/>
    <col min="7175" max="7175" width="8.28515625" style="28" bestFit="1" customWidth="1"/>
    <col min="7176" max="7176" width="5.140625" style="28" bestFit="1" customWidth="1"/>
    <col min="7177" max="7177" width="7.7109375" style="28" bestFit="1" customWidth="1"/>
    <col min="7178" max="7178" width="9" style="28" bestFit="1" customWidth="1"/>
    <col min="7179" max="7179" width="14" style="28" bestFit="1" customWidth="1"/>
    <col min="7180" max="7424" width="9.140625" style="28"/>
    <col min="7425" max="7425" width="6" style="28" bestFit="1" customWidth="1"/>
    <col min="7426" max="7426" width="30.140625" style="28" bestFit="1" customWidth="1"/>
    <col min="7427" max="7427" width="8.28515625" style="28" bestFit="1" customWidth="1"/>
    <col min="7428" max="7428" width="7" style="28" bestFit="1" customWidth="1"/>
    <col min="7429" max="7429" width="7.28515625" style="28" bestFit="1" customWidth="1"/>
    <col min="7430" max="7430" width="7.5703125" style="28" bestFit="1" customWidth="1"/>
    <col min="7431" max="7431" width="8.28515625" style="28" bestFit="1" customWidth="1"/>
    <col min="7432" max="7432" width="5.140625" style="28" bestFit="1" customWidth="1"/>
    <col min="7433" max="7433" width="7.7109375" style="28" bestFit="1" customWidth="1"/>
    <col min="7434" max="7434" width="9" style="28" bestFit="1" customWidth="1"/>
    <col min="7435" max="7435" width="14" style="28" bestFit="1" customWidth="1"/>
    <col min="7436" max="7680" width="9.140625" style="28"/>
    <col min="7681" max="7681" width="6" style="28" bestFit="1" customWidth="1"/>
    <col min="7682" max="7682" width="30.140625" style="28" bestFit="1" customWidth="1"/>
    <col min="7683" max="7683" width="8.28515625" style="28" bestFit="1" customWidth="1"/>
    <col min="7684" max="7684" width="7" style="28" bestFit="1" customWidth="1"/>
    <col min="7685" max="7685" width="7.28515625" style="28" bestFit="1" customWidth="1"/>
    <col min="7686" max="7686" width="7.5703125" style="28" bestFit="1" customWidth="1"/>
    <col min="7687" max="7687" width="8.28515625" style="28" bestFit="1" customWidth="1"/>
    <col min="7688" max="7688" width="5.140625" style="28" bestFit="1" customWidth="1"/>
    <col min="7689" max="7689" width="7.7109375" style="28" bestFit="1" customWidth="1"/>
    <col min="7690" max="7690" width="9" style="28" bestFit="1" customWidth="1"/>
    <col min="7691" max="7691" width="14" style="28" bestFit="1" customWidth="1"/>
    <col min="7692" max="7936" width="9.140625" style="28"/>
    <col min="7937" max="7937" width="6" style="28" bestFit="1" customWidth="1"/>
    <col min="7938" max="7938" width="30.140625" style="28" bestFit="1" customWidth="1"/>
    <col min="7939" max="7939" width="8.28515625" style="28" bestFit="1" customWidth="1"/>
    <col min="7940" max="7940" width="7" style="28" bestFit="1" customWidth="1"/>
    <col min="7941" max="7941" width="7.28515625" style="28" bestFit="1" customWidth="1"/>
    <col min="7942" max="7942" width="7.5703125" style="28" bestFit="1" customWidth="1"/>
    <col min="7943" max="7943" width="8.28515625" style="28" bestFit="1" customWidth="1"/>
    <col min="7944" max="7944" width="5.140625" style="28" bestFit="1" customWidth="1"/>
    <col min="7945" max="7945" width="7.7109375" style="28" bestFit="1" customWidth="1"/>
    <col min="7946" max="7946" width="9" style="28" bestFit="1" customWidth="1"/>
    <col min="7947" max="7947" width="14" style="28" bestFit="1" customWidth="1"/>
    <col min="7948" max="8192" width="9.140625" style="28"/>
    <col min="8193" max="8193" width="6" style="28" bestFit="1" customWidth="1"/>
    <col min="8194" max="8194" width="30.140625" style="28" bestFit="1" customWidth="1"/>
    <col min="8195" max="8195" width="8.28515625" style="28" bestFit="1" customWidth="1"/>
    <col min="8196" max="8196" width="7" style="28" bestFit="1" customWidth="1"/>
    <col min="8197" max="8197" width="7.28515625" style="28" bestFit="1" customWidth="1"/>
    <col min="8198" max="8198" width="7.5703125" style="28" bestFit="1" customWidth="1"/>
    <col min="8199" max="8199" width="8.28515625" style="28" bestFit="1" customWidth="1"/>
    <col min="8200" max="8200" width="5.140625" style="28" bestFit="1" customWidth="1"/>
    <col min="8201" max="8201" width="7.7109375" style="28" bestFit="1" customWidth="1"/>
    <col min="8202" max="8202" width="9" style="28" bestFit="1" customWidth="1"/>
    <col min="8203" max="8203" width="14" style="28" bestFit="1" customWidth="1"/>
    <col min="8204" max="8448" width="9.140625" style="28"/>
    <col min="8449" max="8449" width="6" style="28" bestFit="1" customWidth="1"/>
    <col min="8450" max="8450" width="30.140625" style="28" bestFit="1" customWidth="1"/>
    <col min="8451" max="8451" width="8.28515625" style="28" bestFit="1" customWidth="1"/>
    <col min="8452" max="8452" width="7" style="28" bestFit="1" customWidth="1"/>
    <col min="8453" max="8453" width="7.28515625" style="28" bestFit="1" customWidth="1"/>
    <col min="8454" max="8454" width="7.5703125" style="28" bestFit="1" customWidth="1"/>
    <col min="8455" max="8455" width="8.28515625" style="28" bestFit="1" customWidth="1"/>
    <col min="8456" max="8456" width="5.140625" style="28" bestFit="1" customWidth="1"/>
    <col min="8457" max="8457" width="7.7109375" style="28" bestFit="1" customWidth="1"/>
    <col min="8458" max="8458" width="9" style="28" bestFit="1" customWidth="1"/>
    <col min="8459" max="8459" width="14" style="28" bestFit="1" customWidth="1"/>
    <col min="8460" max="8704" width="9.140625" style="28"/>
    <col min="8705" max="8705" width="6" style="28" bestFit="1" customWidth="1"/>
    <col min="8706" max="8706" width="30.140625" style="28" bestFit="1" customWidth="1"/>
    <col min="8707" max="8707" width="8.28515625" style="28" bestFit="1" customWidth="1"/>
    <col min="8708" max="8708" width="7" style="28" bestFit="1" customWidth="1"/>
    <col min="8709" max="8709" width="7.28515625" style="28" bestFit="1" customWidth="1"/>
    <col min="8710" max="8710" width="7.5703125" style="28" bestFit="1" customWidth="1"/>
    <col min="8711" max="8711" width="8.28515625" style="28" bestFit="1" customWidth="1"/>
    <col min="8712" max="8712" width="5.140625" style="28" bestFit="1" customWidth="1"/>
    <col min="8713" max="8713" width="7.7109375" style="28" bestFit="1" customWidth="1"/>
    <col min="8714" max="8714" width="9" style="28" bestFit="1" customWidth="1"/>
    <col min="8715" max="8715" width="14" style="28" bestFit="1" customWidth="1"/>
    <col min="8716" max="8960" width="9.140625" style="28"/>
    <col min="8961" max="8961" width="6" style="28" bestFit="1" customWidth="1"/>
    <col min="8962" max="8962" width="30.140625" style="28" bestFit="1" customWidth="1"/>
    <col min="8963" max="8963" width="8.28515625" style="28" bestFit="1" customWidth="1"/>
    <col min="8964" max="8964" width="7" style="28" bestFit="1" customWidth="1"/>
    <col min="8965" max="8965" width="7.28515625" style="28" bestFit="1" customWidth="1"/>
    <col min="8966" max="8966" width="7.5703125" style="28" bestFit="1" customWidth="1"/>
    <col min="8967" max="8967" width="8.28515625" style="28" bestFit="1" customWidth="1"/>
    <col min="8968" max="8968" width="5.140625" style="28" bestFit="1" customWidth="1"/>
    <col min="8969" max="8969" width="7.7109375" style="28" bestFit="1" customWidth="1"/>
    <col min="8970" max="8970" width="9" style="28" bestFit="1" customWidth="1"/>
    <col min="8971" max="8971" width="14" style="28" bestFit="1" customWidth="1"/>
    <col min="8972" max="9216" width="9.140625" style="28"/>
    <col min="9217" max="9217" width="6" style="28" bestFit="1" customWidth="1"/>
    <col min="9218" max="9218" width="30.140625" style="28" bestFit="1" customWidth="1"/>
    <col min="9219" max="9219" width="8.28515625" style="28" bestFit="1" customWidth="1"/>
    <col min="9220" max="9220" width="7" style="28" bestFit="1" customWidth="1"/>
    <col min="9221" max="9221" width="7.28515625" style="28" bestFit="1" customWidth="1"/>
    <col min="9222" max="9222" width="7.5703125" style="28" bestFit="1" customWidth="1"/>
    <col min="9223" max="9223" width="8.28515625" style="28" bestFit="1" customWidth="1"/>
    <col min="9224" max="9224" width="5.140625" style="28" bestFit="1" customWidth="1"/>
    <col min="9225" max="9225" width="7.7109375" style="28" bestFit="1" customWidth="1"/>
    <col min="9226" max="9226" width="9" style="28" bestFit="1" customWidth="1"/>
    <col min="9227" max="9227" width="14" style="28" bestFit="1" customWidth="1"/>
    <col min="9228" max="9472" width="9.140625" style="28"/>
    <col min="9473" max="9473" width="6" style="28" bestFit="1" customWidth="1"/>
    <col min="9474" max="9474" width="30.140625" style="28" bestFit="1" customWidth="1"/>
    <col min="9475" max="9475" width="8.28515625" style="28" bestFit="1" customWidth="1"/>
    <col min="9476" max="9476" width="7" style="28" bestFit="1" customWidth="1"/>
    <col min="9477" max="9477" width="7.28515625" style="28" bestFit="1" customWidth="1"/>
    <col min="9478" max="9478" width="7.5703125" style="28" bestFit="1" customWidth="1"/>
    <col min="9479" max="9479" width="8.28515625" style="28" bestFit="1" customWidth="1"/>
    <col min="9480" max="9480" width="5.140625" style="28" bestFit="1" customWidth="1"/>
    <col min="9481" max="9481" width="7.7109375" style="28" bestFit="1" customWidth="1"/>
    <col min="9482" max="9482" width="9" style="28" bestFit="1" customWidth="1"/>
    <col min="9483" max="9483" width="14" style="28" bestFit="1" customWidth="1"/>
    <col min="9484" max="9728" width="9.140625" style="28"/>
    <col min="9729" max="9729" width="6" style="28" bestFit="1" customWidth="1"/>
    <col min="9730" max="9730" width="30.140625" style="28" bestFit="1" customWidth="1"/>
    <col min="9731" max="9731" width="8.28515625" style="28" bestFit="1" customWidth="1"/>
    <col min="9732" max="9732" width="7" style="28" bestFit="1" customWidth="1"/>
    <col min="9733" max="9733" width="7.28515625" style="28" bestFit="1" customWidth="1"/>
    <col min="9734" max="9734" width="7.5703125" style="28" bestFit="1" customWidth="1"/>
    <col min="9735" max="9735" width="8.28515625" style="28" bestFit="1" customWidth="1"/>
    <col min="9736" max="9736" width="5.140625" style="28" bestFit="1" customWidth="1"/>
    <col min="9737" max="9737" width="7.7109375" style="28" bestFit="1" customWidth="1"/>
    <col min="9738" max="9738" width="9" style="28" bestFit="1" customWidth="1"/>
    <col min="9739" max="9739" width="14" style="28" bestFit="1" customWidth="1"/>
    <col min="9740" max="9984" width="9.140625" style="28"/>
    <col min="9985" max="9985" width="6" style="28" bestFit="1" customWidth="1"/>
    <col min="9986" max="9986" width="30.140625" style="28" bestFit="1" customWidth="1"/>
    <col min="9987" max="9987" width="8.28515625" style="28" bestFit="1" customWidth="1"/>
    <col min="9988" max="9988" width="7" style="28" bestFit="1" customWidth="1"/>
    <col min="9989" max="9989" width="7.28515625" style="28" bestFit="1" customWidth="1"/>
    <col min="9990" max="9990" width="7.5703125" style="28" bestFit="1" customWidth="1"/>
    <col min="9991" max="9991" width="8.28515625" style="28" bestFit="1" customWidth="1"/>
    <col min="9992" max="9992" width="5.140625" style="28" bestFit="1" customWidth="1"/>
    <col min="9993" max="9993" width="7.7109375" style="28" bestFit="1" customWidth="1"/>
    <col min="9994" max="9994" width="9" style="28" bestFit="1" customWidth="1"/>
    <col min="9995" max="9995" width="14" style="28" bestFit="1" customWidth="1"/>
    <col min="9996" max="10240" width="9.140625" style="28"/>
    <col min="10241" max="10241" width="6" style="28" bestFit="1" customWidth="1"/>
    <col min="10242" max="10242" width="30.140625" style="28" bestFit="1" customWidth="1"/>
    <col min="10243" max="10243" width="8.28515625" style="28" bestFit="1" customWidth="1"/>
    <col min="10244" max="10244" width="7" style="28" bestFit="1" customWidth="1"/>
    <col min="10245" max="10245" width="7.28515625" style="28" bestFit="1" customWidth="1"/>
    <col min="10246" max="10246" width="7.5703125" style="28" bestFit="1" customWidth="1"/>
    <col min="10247" max="10247" width="8.28515625" style="28" bestFit="1" customWidth="1"/>
    <col min="10248" max="10248" width="5.140625" style="28" bestFit="1" customWidth="1"/>
    <col min="10249" max="10249" width="7.7109375" style="28" bestFit="1" customWidth="1"/>
    <col min="10250" max="10250" width="9" style="28" bestFit="1" customWidth="1"/>
    <col min="10251" max="10251" width="14" style="28" bestFit="1" customWidth="1"/>
    <col min="10252" max="10496" width="9.140625" style="28"/>
    <col min="10497" max="10497" width="6" style="28" bestFit="1" customWidth="1"/>
    <col min="10498" max="10498" width="30.140625" style="28" bestFit="1" customWidth="1"/>
    <col min="10499" max="10499" width="8.28515625" style="28" bestFit="1" customWidth="1"/>
    <col min="10500" max="10500" width="7" style="28" bestFit="1" customWidth="1"/>
    <col min="10501" max="10501" width="7.28515625" style="28" bestFit="1" customWidth="1"/>
    <col min="10502" max="10502" width="7.5703125" style="28" bestFit="1" customWidth="1"/>
    <col min="10503" max="10503" width="8.28515625" style="28" bestFit="1" customWidth="1"/>
    <col min="10504" max="10504" width="5.140625" style="28" bestFit="1" customWidth="1"/>
    <col min="10505" max="10505" width="7.7109375" style="28" bestFit="1" customWidth="1"/>
    <col min="10506" max="10506" width="9" style="28" bestFit="1" customWidth="1"/>
    <col min="10507" max="10507" width="14" style="28" bestFit="1" customWidth="1"/>
    <col min="10508" max="10752" width="9.140625" style="28"/>
    <col min="10753" max="10753" width="6" style="28" bestFit="1" customWidth="1"/>
    <col min="10754" max="10754" width="30.140625" style="28" bestFit="1" customWidth="1"/>
    <col min="10755" max="10755" width="8.28515625" style="28" bestFit="1" customWidth="1"/>
    <col min="10756" max="10756" width="7" style="28" bestFit="1" customWidth="1"/>
    <col min="10757" max="10757" width="7.28515625" style="28" bestFit="1" customWidth="1"/>
    <col min="10758" max="10758" width="7.5703125" style="28" bestFit="1" customWidth="1"/>
    <col min="10759" max="10759" width="8.28515625" style="28" bestFit="1" customWidth="1"/>
    <col min="10760" max="10760" width="5.140625" style="28" bestFit="1" customWidth="1"/>
    <col min="10761" max="10761" width="7.7109375" style="28" bestFit="1" customWidth="1"/>
    <col min="10762" max="10762" width="9" style="28" bestFit="1" customWidth="1"/>
    <col min="10763" max="10763" width="14" style="28" bestFit="1" customWidth="1"/>
    <col min="10764" max="11008" width="9.140625" style="28"/>
    <col min="11009" max="11009" width="6" style="28" bestFit="1" customWidth="1"/>
    <col min="11010" max="11010" width="30.140625" style="28" bestFit="1" customWidth="1"/>
    <col min="11011" max="11011" width="8.28515625" style="28" bestFit="1" customWidth="1"/>
    <col min="11012" max="11012" width="7" style="28" bestFit="1" customWidth="1"/>
    <col min="11013" max="11013" width="7.28515625" style="28" bestFit="1" customWidth="1"/>
    <col min="11014" max="11014" width="7.5703125" style="28" bestFit="1" customWidth="1"/>
    <col min="11015" max="11015" width="8.28515625" style="28" bestFit="1" customWidth="1"/>
    <col min="11016" max="11016" width="5.140625" style="28" bestFit="1" customWidth="1"/>
    <col min="11017" max="11017" width="7.7109375" style="28" bestFit="1" customWidth="1"/>
    <col min="11018" max="11018" width="9" style="28" bestFit="1" customWidth="1"/>
    <col min="11019" max="11019" width="14" style="28" bestFit="1" customWidth="1"/>
    <col min="11020" max="11264" width="9.140625" style="28"/>
    <col min="11265" max="11265" width="6" style="28" bestFit="1" customWidth="1"/>
    <col min="11266" max="11266" width="30.140625" style="28" bestFit="1" customWidth="1"/>
    <col min="11267" max="11267" width="8.28515625" style="28" bestFit="1" customWidth="1"/>
    <col min="11268" max="11268" width="7" style="28" bestFit="1" customWidth="1"/>
    <col min="11269" max="11269" width="7.28515625" style="28" bestFit="1" customWidth="1"/>
    <col min="11270" max="11270" width="7.5703125" style="28" bestFit="1" customWidth="1"/>
    <col min="11271" max="11271" width="8.28515625" style="28" bestFit="1" customWidth="1"/>
    <col min="11272" max="11272" width="5.140625" style="28" bestFit="1" customWidth="1"/>
    <col min="11273" max="11273" width="7.7109375" style="28" bestFit="1" customWidth="1"/>
    <col min="11274" max="11274" width="9" style="28" bestFit="1" customWidth="1"/>
    <col min="11275" max="11275" width="14" style="28" bestFit="1" customWidth="1"/>
    <col min="11276" max="11520" width="9.140625" style="28"/>
    <col min="11521" max="11521" width="6" style="28" bestFit="1" customWidth="1"/>
    <col min="11522" max="11522" width="30.140625" style="28" bestFit="1" customWidth="1"/>
    <col min="11523" max="11523" width="8.28515625" style="28" bestFit="1" customWidth="1"/>
    <col min="11524" max="11524" width="7" style="28" bestFit="1" customWidth="1"/>
    <col min="11525" max="11525" width="7.28515625" style="28" bestFit="1" customWidth="1"/>
    <col min="11526" max="11526" width="7.5703125" style="28" bestFit="1" customWidth="1"/>
    <col min="11527" max="11527" width="8.28515625" style="28" bestFit="1" customWidth="1"/>
    <col min="11528" max="11528" width="5.140625" style="28" bestFit="1" customWidth="1"/>
    <col min="11529" max="11529" width="7.7109375" style="28" bestFit="1" customWidth="1"/>
    <col min="11530" max="11530" width="9" style="28" bestFit="1" customWidth="1"/>
    <col min="11531" max="11531" width="14" style="28" bestFit="1" customWidth="1"/>
    <col min="11532" max="11776" width="9.140625" style="28"/>
    <col min="11777" max="11777" width="6" style="28" bestFit="1" customWidth="1"/>
    <col min="11778" max="11778" width="30.140625" style="28" bestFit="1" customWidth="1"/>
    <col min="11779" max="11779" width="8.28515625" style="28" bestFit="1" customWidth="1"/>
    <col min="11780" max="11780" width="7" style="28" bestFit="1" customWidth="1"/>
    <col min="11781" max="11781" width="7.28515625" style="28" bestFit="1" customWidth="1"/>
    <col min="11782" max="11782" width="7.5703125" style="28" bestFit="1" customWidth="1"/>
    <col min="11783" max="11783" width="8.28515625" style="28" bestFit="1" customWidth="1"/>
    <col min="11784" max="11784" width="5.140625" style="28" bestFit="1" customWidth="1"/>
    <col min="11785" max="11785" width="7.7109375" style="28" bestFit="1" customWidth="1"/>
    <col min="11786" max="11786" width="9" style="28" bestFit="1" customWidth="1"/>
    <col min="11787" max="11787" width="14" style="28" bestFit="1" customWidth="1"/>
    <col min="11788" max="12032" width="9.140625" style="28"/>
    <col min="12033" max="12033" width="6" style="28" bestFit="1" customWidth="1"/>
    <col min="12034" max="12034" width="30.140625" style="28" bestFit="1" customWidth="1"/>
    <col min="12035" max="12035" width="8.28515625" style="28" bestFit="1" customWidth="1"/>
    <col min="12036" max="12036" width="7" style="28" bestFit="1" customWidth="1"/>
    <col min="12037" max="12037" width="7.28515625" style="28" bestFit="1" customWidth="1"/>
    <col min="12038" max="12038" width="7.5703125" style="28" bestFit="1" customWidth="1"/>
    <col min="12039" max="12039" width="8.28515625" style="28" bestFit="1" customWidth="1"/>
    <col min="12040" max="12040" width="5.140625" style="28" bestFit="1" customWidth="1"/>
    <col min="12041" max="12041" width="7.7109375" style="28" bestFit="1" customWidth="1"/>
    <col min="12042" max="12042" width="9" style="28" bestFit="1" customWidth="1"/>
    <col min="12043" max="12043" width="14" style="28" bestFit="1" customWidth="1"/>
    <col min="12044" max="12288" width="9.140625" style="28"/>
    <col min="12289" max="12289" width="6" style="28" bestFit="1" customWidth="1"/>
    <col min="12290" max="12290" width="30.140625" style="28" bestFit="1" customWidth="1"/>
    <col min="12291" max="12291" width="8.28515625" style="28" bestFit="1" customWidth="1"/>
    <col min="12292" max="12292" width="7" style="28" bestFit="1" customWidth="1"/>
    <col min="12293" max="12293" width="7.28515625" style="28" bestFit="1" customWidth="1"/>
    <col min="12294" max="12294" width="7.5703125" style="28" bestFit="1" customWidth="1"/>
    <col min="12295" max="12295" width="8.28515625" style="28" bestFit="1" customWidth="1"/>
    <col min="12296" max="12296" width="5.140625" style="28" bestFit="1" customWidth="1"/>
    <col min="12297" max="12297" width="7.7109375" style="28" bestFit="1" customWidth="1"/>
    <col min="12298" max="12298" width="9" style="28" bestFit="1" customWidth="1"/>
    <col min="12299" max="12299" width="14" style="28" bestFit="1" customWidth="1"/>
    <col min="12300" max="12544" width="9.140625" style="28"/>
    <col min="12545" max="12545" width="6" style="28" bestFit="1" customWidth="1"/>
    <col min="12546" max="12546" width="30.140625" style="28" bestFit="1" customWidth="1"/>
    <col min="12547" max="12547" width="8.28515625" style="28" bestFit="1" customWidth="1"/>
    <col min="12548" max="12548" width="7" style="28" bestFit="1" customWidth="1"/>
    <col min="12549" max="12549" width="7.28515625" style="28" bestFit="1" customWidth="1"/>
    <col min="12550" max="12550" width="7.5703125" style="28" bestFit="1" customWidth="1"/>
    <col min="12551" max="12551" width="8.28515625" style="28" bestFit="1" customWidth="1"/>
    <col min="12552" max="12552" width="5.140625" style="28" bestFit="1" customWidth="1"/>
    <col min="12553" max="12553" width="7.7109375" style="28" bestFit="1" customWidth="1"/>
    <col min="12554" max="12554" width="9" style="28" bestFit="1" customWidth="1"/>
    <col min="12555" max="12555" width="14" style="28" bestFit="1" customWidth="1"/>
    <col min="12556" max="12800" width="9.140625" style="28"/>
    <col min="12801" max="12801" width="6" style="28" bestFit="1" customWidth="1"/>
    <col min="12802" max="12802" width="30.140625" style="28" bestFit="1" customWidth="1"/>
    <col min="12803" max="12803" width="8.28515625" style="28" bestFit="1" customWidth="1"/>
    <col min="12804" max="12804" width="7" style="28" bestFit="1" customWidth="1"/>
    <col min="12805" max="12805" width="7.28515625" style="28" bestFit="1" customWidth="1"/>
    <col min="12806" max="12806" width="7.5703125" style="28" bestFit="1" customWidth="1"/>
    <col min="12807" max="12807" width="8.28515625" style="28" bestFit="1" customWidth="1"/>
    <col min="12808" max="12808" width="5.140625" style="28" bestFit="1" customWidth="1"/>
    <col min="12809" max="12809" width="7.7109375" style="28" bestFit="1" customWidth="1"/>
    <col min="12810" max="12810" width="9" style="28" bestFit="1" customWidth="1"/>
    <col min="12811" max="12811" width="14" style="28" bestFit="1" customWidth="1"/>
    <col min="12812" max="13056" width="9.140625" style="28"/>
    <col min="13057" max="13057" width="6" style="28" bestFit="1" customWidth="1"/>
    <col min="13058" max="13058" width="30.140625" style="28" bestFit="1" customWidth="1"/>
    <col min="13059" max="13059" width="8.28515625" style="28" bestFit="1" customWidth="1"/>
    <col min="13060" max="13060" width="7" style="28" bestFit="1" customWidth="1"/>
    <col min="13061" max="13061" width="7.28515625" style="28" bestFit="1" customWidth="1"/>
    <col min="13062" max="13062" width="7.5703125" style="28" bestFit="1" customWidth="1"/>
    <col min="13063" max="13063" width="8.28515625" style="28" bestFit="1" customWidth="1"/>
    <col min="13064" max="13064" width="5.140625" style="28" bestFit="1" customWidth="1"/>
    <col min="13065" max="13065" width="7.7109375" style="28" bestFit="1" customWidth="1"/>
    <col min="13066" max="13066" width="9" style="28" bestFit="1" customWidth="1"/>
    <col min="13067" max="13067" width="14" style="28" bestFit="1" customWidth="1"/>
    <col min="13068" max="13312" width="9.140625" style="28"/>
    <col min="13313" max="13313" width="6" style="28" bestFit="1" customWidth="1"/>
    <col min="13314" max="13314" width="30.140625" style="28" bestFit="1" customWidth="1"/>
    <col min="13315" max="13315" width="8.28515625" style="28" bestFit="1" customWidth="1"/>
    <col min="13316" max="13316" width="7" style="28" bestFit="1" customWidth="1"/>
    <col min="13317" max="13317" width="7.28515625" style="28" bestFit="1" customWidth="1"/>
    <col min="13318" max="13318" width="7.5703125" style="28" bestFit="1" customWidth="1"/>
    <col min="13319" max="13319" width="8.28515625" style="28" bestFit="1" customWidth="1"/>
    <col min="13320" max="13320" width="5.140625" style="28" bestFit="1" customWidth="1"/>
    <col min="13321" max="13321" width="7.7109375" style="28" bestFit="1" customWidth="1"/>
    <col min="13322" max="13322" width="9" style="28" bestFit="1" customWidth="1"/>
    <col min="13323" max="13323" width="14" style="28" bestFit="1" customWidth="1"/>
    <col min="13324" max="13568" width="9.140625" style="28"/>
    <col min="13569" max="13569" width="6" style="28" bestFit="1" customWidth="1"/>
    <col min="13570" max="13570" width="30.140625" style="28" bestFit="1" customWidth="1"/>
    <col min="13571" max="13571" width="8.28515625" style="28" bestFit="1" customWidth="1"/>
    <col min="13572" max="13572" width="7" style="28" bestFit="1" customWidth="1"/>
    <col min="13573" max="13573" width="7.28515625" style="28" bestFit="1" customWidth="1"/>
    <col min="13574" max="13574" width="7.5703125" style="28" bestFit="1" customWidth="1"/>
    <col min="13575" max="13575" width="8.28515625" style="28" bestFit="1" customWidth="1"/>
    <col min="13576" max="13576" width="5.140625" style="28" bestFit="1" customWidth="1"/>
    <col min="13577" max="13577" width="7.7109375" style="28" bestFit="1" customWidth="1"/>
    <col min="13578" max="13578" width="9" style="28" bestFit="1" customWidth="1"/>
    <col min="13579" max="13579" width="14" style="28" bestFit="1" customWidth="1"/>
    <col min="13580" max="13824" width="9.140625" style="28"/>
    <col min="13825" max="13825" width="6" style="28" bestFit="1" customWidth="1"/>
    <col min="13826" max="13826" width="30.140625" style="28" bestFit="1" customWidth="1"/>
    <col min="13827" max="13827" width="8.28515625" style="28" bestFit="1" customWidth="1"/>
    <col min="13828" max="13828" width="7" style="28" bestFit="1" customWidth="1"/>
    <col min="13829" max="13829" width="7.28515625" style="28" bestFit="1" customWidth="1"/>
    <col min="13830" max="13830" width="7.5703125" style="28" bestFit="1" customWidth="1"/>
    <col min="13831" max="13831" width="8.28515625" style="28" bestFit="1" customWidth="1"/>
    <col min="13832" max="13832" width="5.140625" style="28" bestFit="1" customWidth="1"/>
    <col min="13833" max="13833" width="7.7109375" style="28" bestFit="1" customWidth="1"/>
    <col min="13834" max="13834" width="9" style="28" bestFit="1" customWidth="1"/>
    <col min="13835" max="13835" width="14" style="28" bestFit="1" customWidth="1"/>
    <col min="13836" max="14080" width="9.140625" style="28"/>
    <col min="14081" max="14081" width="6" style="28" bestFit="1" customWidth="1"/>
    <col min="14082" max="14082" width="30.140625" style="28" bestFit="1" customWidth="1"/>
    <col min="14083" max="14083" width="8.28515625" style="28" bestFit="1" customWidth="1"/>
    <col min="14084" max="14084" width="7" style="28" bestFit="1" customWidth="1"/>
    <col min="14085" max="14085" width="7.28515625" style="28" bestFit="1" customWidth="1"/>
    <col min="14086" max="14086" width="7.5703125" style="28" bestFit="1" customWidth="1"/>
    <col min="14087" max="14087" width="8.28515625" style="28" bestFit="1" customWidth="1"/>
    <col min="14088" max="14088" width="5.140625" style="28" bestFit="1" customWidth="1"/>
    <col min="14089" max="14089" width="7.7109375" style="28" bestFit="1" customWidth="1"/>
    <col min="14090" max="14090" width="9" style="28" bestFit="1" customWidth="1"/>
    <col min="14091" max="14091" width="14" style="28" bestFit="1" customWidth="1"/>
    <col min="14092" max="14336" width="9.140625" style="28"/>
    <col min="14337" max="14337" width="6" style="28" bestFit="1" customWidth="1"/>
    <col min="14338" max="14338" width="30.140625" style="28" bestFit="1" customWidth="1"/>
    <col min="14339" max="14339" width="8.28515625" style="28" bestFit="1" customWidth="1"/>
    <col min="14340" max="14340" width="7" style="28" bestFit="1" customWidth="1"/>
    <col min="14341" max="14341" width="7.28515625" style="28" bestFit="1" customWidth="1"/>
    <col min="14342" max="14342" width="7.5703125" style="28" bestFit="1" customWidth="1"/>
    <col min="14343" max="14343" width="8.28515625" style="28" bestFit="1" customWidth="1"/>
    <col min="14344" max="14344" width="5.140625" style="28" bestFit="1" customWidth="1"/>
    <col min="14345" max="14345" width="7.7109375" style="28" bestFit="1" customWidth="1"/>
    <col min="14346" max="14346" width="9" style="28" bestFit="1" customWidth="1"/>
    <col min="14347" max="14347" width="14" style="28" bestFit="1" customWidth="1"/>
    <col min="14348" max="14592" width="9.140625" style="28"/>
    <col min="14593" max="14593" width="6" style="28" bestFit="1" customWidth="1"/>
    <col min="14594" max="14594" width="30.140625" style="28" bestFit="1" customWidth="1"/>
    <col min="14595" max="14595" width="8.28515625" style="28" bestFit="1" customWidth="1"/>
    <col min="14596" max="14596" width="7" style="28" bestFit="1" customWidth="1"/>
    <col min="14597" max="14597" width="7.28515625" style="28" bestFit="1" customWidth="1"/>
    <col min="14598" max="14598" width="7.5703125" style="28" bestFit="1" customWidth="1"/>
    <col min="14599" max="14599" width="8.28515625" style="28" bestFit="1" customWidth="1"/>
    <col min="14600" max="14600" width="5.140625" style="28" bestFit="1" customWidth="1"/>
    <col min="14601" max="14601" width="7.7109375" style="28" bestFit="1" customWidth="1"/>
    <col min="14602" max="14602" width="9" style="28" bestFit="1" customWidth="1"/>
    <col min="14603" max="14603" width="14" style="28" bestFit="1" customWidth="1"/>
    <col min="14604" max="14848" width="9.140625" style="28"/>
    <col min="14849" max="14849" width="6" style="28" bestFit="1" customWidth="1"/>
    <col min="14850" max="14850" width="30.140625" style="28" bestFit="1" customWidth="1"/>
    <col min="14851" max="14851" width="8.28515625" style="28" bestFit="1" customWidth="1"/>
    <col min="14852" max="14852" width="7" style="28" bestFit="1" customWidth="1"/>
    <col min="14853" max="14853" width="7.28515625" style="28" bestFit="1" customWidth="1"/>
    <col min="14854" max="14854" width="7.5703125" style="28" bestFit="1" customWidth="1"/>
    <col min="14855" max="14855" width="8.28515625" style="28" bestFit="1" customWidth="1"/>
    <col min="14856" max="14856" width="5.140625" style="28" bestFit="1" customWidth="1"/>
    <col min="14857" max="14857" width="7.7109375" style="28" bestFit="1" customWidth="1"/>
    <col min="14858" max="14858" width="9" style="28" bestFit="1" customWidth="1"/>
    <col min="14859" max="14859" width="14" style="28" bestFit="1" customWidth="1"/>
    <col min="14860" max="15104" width="9.140625" style="28"/>
    <col min="15105" max="15105" width="6" style="28" bestFit="1" customWidth="1"/>
    <col min="15106" max="15106" width="30.140625" style="28" bestFit="1" customWidth="1"/>
    <col min="15107" max="15107" width="8.28515625" style="28" bestFit="1" customWidth="1"/>
    <col min="15108" max="15108" width="7" style="28" bestFit="1" customWidth="1"/>
    <col min="15109" max="15109" width="7.28515625" style="28" bestFit="1" customWidth="1"/>
    <col min="15110" max="15110" width="7.5703125" style="28" bestFit="1" customWidth="1"/>
    <col min="15111" max="15111" width="8.28515625" style="28" bestFit="1" customWidth="1"/>
    <col min="15112" max="15112" width="5.140625" style="28" bestFit="1" customWidth="1"/>
    <col min="15113" max="15113" width="7.7109375" style="28" bestFit="1" customWidth="1"/>
    <col min="15114" max="15114" width="9" style="28" bestFit="1" customWidth="1"/>
    <col min="15115" max="15115" width="14" style="28" bestFit="1" customWidth="1"/>
    <col min="15116" max="15360" width="9.140625" style="28"/>
    <col min="15361" max="15361" width="6" style="28" bestFit="1" customWidth="1"/>
    <col min="15362" max="15362" width="30.140625" style="28" bestFit="1" customWidth="1"/>
    <col min="15363" max="15363" width="8.28515625" style="28" bestFit="1" customWidth="1"/>
    <col min="15364" max="15364" width="7" style="28" bestFit="1" customWidth="1"/>
    <col min="15365" max="15365" width="7.28515625" style="28" bestFit="1" customWidth="1"/>
    <col min="15366" max="15366" width="7.5703125" style="28" bestFit="1" customWidth="1"/>
    <col min="15367" max="15367" width="8.28515625" style="28" bestFit="1" customWidth="1"/>
    <col min="15368" max="15368" width="5.140625" style="28" bestFit="1" customWidth="1"/>
    <col min="15369" max="15369" width="7.7109375" style="28" bestFit="1" customWidth="1"/>
    <col min="15370" max="15370" width="9" style="28" bestFit="1" customWidth="1"/>
    <col min="15371" max="15371" width="14" style="28" bestFit="1" customWidth="1"/>
    <col min="15372" max="15616" width="9.140625" style="28"/>
    <col min="15617" max="15617" width="6" style="28" bestFit="1" customWidth="1"/>
    <col min="15618" max="15618" width="30.140625" style="28" bestFit="1" customWidth="1"/>
    <col min="15619" max="15619" width="8.28515625" style="28" bestFit="1" customWidth="1"/>
    <col min="15620" max="15620" width="7" style="28" bestFit="1" customWidth="1"/>
    <col min="15621" max="15621" width="7.28515625" style="28" bestFit="1" customWidth="1"/>
    <col min="15622" max="15622" width="7.5703125" style="28" bestFit="1" customWidth="1"/>
    <col min="15623" max="15623" width="8.28515625" style="28" bestFit="1" customWidth="1"/>
    <col min="15624" max="15624" width="5.140625" style="28" bestFit="1" customWidth="1"/>
    <col min="15625" max="15625" width="7.7109375" style="28" bestFit="1" customWidth="1"/>
    <col min="15626" max="15626" width="9" style="28" bestFit="1" customWidth="1"/>
    <col min="15627" max="15627" width="14" style="28" bestFit="1" customWidth="1"/>
    <col min="15628" max="15872" width="9.140625" style="28"/>
    <col min="15873" max="15873" width="6" style="28" bestFit="1" customWidth="1"/>
    <col min="15874" max="15874" width="30.140625" style="28" bestFit="1" customWidth="1"/>
    <col min="15875" max="15875" width="8.28515625" style="28" bestFit="1" customWidth="1"/>
    <col min="15876" max="15876" width="7" style="28" bestFit="1" customWidth="1"/>
    <col min="15877" max="15877" width="7.28515625" style="28" bestFit="1" customWidth="1"/>
    <col min="15878" max="15878" width="7.5703125" style="28" bestFit="1" customWidth="1"/>
    <col min="15879" max="15879" width="8.28515625" style="28" bestFit="1" customWidth="1"/>
    <col min="15880" max="15880" width="5.140625" style="28" bestFit="1" customWidth="1"/>
    <col min="15881" max="15881" width="7.7109375" style="28" bestFit="1" customWidth="1"/>
    <col min="15882" max="15882" width="9" style="28" bestFit="1" customWidth="1"/>
    <col min="15883" max="15883" width="14" style="28" bestFit="1" customWidth="1"/>
    <col min="15884" max="16128" width="9.140625" style="28"/>
    <col min="16129" max="16129" width="6" style="28" bestFit="1" customWidth="1"/>
    <col min="16130" max="16130" width="30.140625" style="28" bestFit="1" customWidth="1"/>
    <col min="16131" max="16131" width="8.28515625" style="28" bestFit="1" customWidth="1"/>
    <col min="16132" max="16132" width="7" style="28" bestFit="1" customWidth="1"/>
    <col min="16133" max="16133" width="7.28515625" style="28" bestFit="1" customWidth="1"/>
    <col min="16134" max="16134" width="7.5703125" style="28" bestFit="1" customWidth="1"/>
    <col min="16135" max="16135" width="8.28515625" style="28" bestFit="1" customWidth="1"/>
    <col min="16136" max="16136" width="5.140625" style="28" bestFit="1" customWidth="1"/>
    <col min="16137" max="16137" width="7.7109375" style="28" bestFit="1" customWidth="1"/>
    <col min="16138" max="16138" width="9" style="28" bestFit="1" customWidth="1"/>
    <col min="16139" max="16139" width="14" style="28" bestFit="1" customWidth="1"/>
    <col min="16140" max="16384" width="9.140625" style="28"/>
  </cols>
  <sheetData>
    <row r="1" spans="1:16" s="22" customFormat="1" ht="36" customHeight="1" x14ac:dyDescent="0.25">
      <c r="A1" s="364" t="s">
        <v>384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6" s="22" customFormat="1" ht="15" x14ac:dyDescent="0.25">
      <c r="A2" s="23" t="s">
        <v>6</v>
      </c>
      <c r="B2" s="158" t="s">
        <v>0</v>
      </c>
      <c r="C2" s="7" t="s">
        <v>9</v>
      </c>
      <c r="D2" s="158" t="s">
        <v>113</v>
      </c>
      <c r="E2" s="158" t="s">
        <v>110</v>
      </c>
      <c r="F2" s="158" t="s">
        <v>111</v>
      </c>
      <c r="G2" s="158" t="s">
        <v>112</v>
      </c>
      <c r="H2" s="72" t="s">
        <v>1</v>
      </c>
      <c r="I2" s="157" t="s">
        <v>3</v>
      </c>
      <c r="J2" s="93" t="s">
        <v>10</v>
      </c>
      <c r="K2" s="158" t="s">
        <v>107</v>
      </c>
    </row>
    <row r="3" spans="1:16" s="22" customFormat="1" ht="15" x14ac:dyDescent="0.25">
      <c r="A3" s="23" t="s">
        <v>11</v>
      </c>
      <c r="B3" s="158" t="s">
        <v>92</v>
      </c>
      <c r="C3" s="7"/>
      <c r="D3" s="158"/>
      <c r="E3" s="158"/>
      <c r="F3" s="158"/>
      <c r="G3" s="158"/>
      <c r="H3" s="73"/>
      <c r="I3" s="157"/>
      <c r="J3" s="93"/>
      <c r="K3" s="158"/>
    </row>
    <row r="4" spans="1:16" ht="15" x14ac:dyDescent="0.25">
      <c r="A4" s="25">
        <v>1</v>
      </c>
      <c r="B4" s="26" t="s">
        <v>93</v>
      </c>
      <c r="C4" s="6"/>
      <c r="D4" s="27"/>
      <c r="E4" s="27"/>
      <c r="F4" s="27"/>
      <c r="G4" s="27"/>
      <c r="H4" s="73"/>
      <c r="I4" s="94"/>
      <c r="J4" s="95"/>
      <c r="K4" s="158"/>
    </row>
    <row r="5" spans="1:16" ht="15" x14ac:dyDescent="0.25">
      <c r="A5" s="23"/>
      <c r="B5" s="158" t="s">
        <v>27</v>
      </c>
      <c r="C5" s="6"/>
      <c r="D5" s="27"/>
      <c r="E5" s="27"/>
      <c r="F5" s="27"/>
      <c r="G5" s="27"/>
      <c r="H5" s="73"/>
      <c r="I5" s="94"/>
      <c r="J5" s="95"/>
      <c r="K5" s="158"/>
    </row>
    <row r="6" spans="1:16" ht="15" x14ac:dyDescent="0.25">
      <c r="A6" s="23"/>
      <c r="B6" s="29" t="s">
        <v>28</v>
      </c>
      <c r="C6" s="181"/>
      <c r="D6" s="21"/>
      <c r="E6" s="21"/>
      <c r="F6" s="27"/>
      <c r="G6" s="27"/>
      <c r="H6" s="73"/>
      <c r="I6" s="94"/>
      <c r="J6" s="95"/>
      <c r="K6" s="158"/>
      <c r="L6" s="27"/>
      <c r="M6" s="31" t="s">
        <v>109</v>
      </c>
      <c r="N6" s="32"/>
      <c r="O6" s="32"/>
      <c r="P6" s="33"/>
    </row>
    <row r="7" spans="1:16" ht="15" x14ac:dyDescent="0.25">
      <c r="A7" s="23"/>
      <c r="B7" s="34" t="s">
        <v>29</v>
      </c>
      <c r="C7" s="6">
        <v>1</v>
      </c>
      <c r="D7" s="27"/>
      <c r="E7" s="27"/>
      <c r="F7" s="27"/>
      <c r="G7" s="27">
        <f>C7</f>
        <v>1</v>
      </c>
      <c r="H7" s="74" t="s">
        <v>4</v>
      </c>
      <c r="I7" s="21">
        <v>152851.71</v>
      </c>
      <c r="J7" s="67">
        <f>G7*I7</f>
        <v>152851.71</v>
      </c>
      <c r="K7" s="158"/>
      <c r="L7" s="27"/>
      <c r="M7" s="35" t="s">
        <v>68</v>
      </c>
      <c r="N7" s="27">
        <v>302</v>
      </c>
      <c r="O7" s="27">
        <v>301</v>
      </c>
      <c r="P7" s="27" t="s">
        <v>37</v>
      </c>
    </row>
    <row r="8" spans="1:16" ht="15" x14ac:dyDescent="0.25">
      <c r="A8" s="23"/>
      <c r="B8" s="34" t="s">
        <v>30</v>
      </c>
      <c r="C8" s="6">
        <f>P8</f>
        <v>25</v>
      </c>
      <c r="D8" s="27">
        <v>18</v>
      </c>
      <c r="E8" s="27"/>
      <c r="F8" s="27"/>
      <c r="G8" s="27">
        <f>C8*D8</f>
        <v>450</v>
      </c>
      <c r="H8" s="74" t="s">
        <v>39</v>
      </c>
      <c r="I8" s="21">
        <v>1513.23</v>
      </c>
      <c r="J8" s="67">
        <f t="shared" ref="J8:J10" si="0">G8*I8</f>
        <v>680953.5</v>
      </c>
      <c r="K8" s="158"/>
      <c r="L8" s="158" t="s">
        <v>46</v>
      </c>
      <c r="M8" s="36">
        <v>25</v>
      </c>
      <c r="N8" s="158">
        <v>20</v>
      </c>
      <c r="O8" s="158">
        <v>15</v>
      </c>
      <c r="P8" s="158">
        <f>M8</f>
        <v>25</v>
      </c>
    </row>
    <row r="9" spans="1:16" ht="15" x14ac:dyDescent="0.25">
      <c r="A9" s="23"/>
      <c r="B9" s="34" t="s">
        <v>31</v>
      </c>
      <c r="C9" s="6">
        <f>C8</f>
        <v>25</v>
      </c>
      <c r="D9" s="27"/>
      <c r="E9" s="27"/>
      <c r="F9" s="27"/>
      <c r="G9" s="27">
        <f>C9</f>
        <v>25</v>
      </c>
      <c r="H9" s="74" t="s">
        <v>94</v>
      </c>
      <c r="I9" s="21">
        <v>397.41</v>
      </c>
      <c r="J9" s="67">
        <f t="shared" si="0"/>
        <v>9935.25</v>
      </c>
      <c r="K9" s="158"/>
      <c r="L9" s="158"/>
      <c r="M9" s="36"/>
      <c r="N9" s="158"/>
      <c r="O9" s="158"/>
      <c r="P9" s="158"/>
    </row>
    <row r="10" spans="1:16" ht="15" x14ac:dyDescent="0.25">
      <c r="A10" s="23"/>
      <c r="B10" s="37" t="s">
        <v>32</v>
      </c>
      <c r="C10" s="6">
        <f>C9</f>
        <v>25</v>
      </c>
      <c r="D10" s="27"/>
      <c r="E10" s="27"/>
      <c r="F10" s="27"/>
      <c r="G10" s="27">
        <f>C10</f>
        <v>25</v>
      </c>
      <c r="H10" s="74" t="s">
        <v>94</v>
      </c>
      <c r="I10" s="21">
        <v>458.56</v>
      </c>
      <c r="J10" s="67">
        <f t="shared" si="0"/>
        <v>11464</v>
      </c>
      <c r="K10" s="158"/>
      <c r="L10" s="158"/>
      <c r="M10" s="36" t="s">
        <v>7</v>
      </c>
      <c r="N10" s="158" t="s">
        <v>8</v>
      </c>
      <c r="O10" s="158" t="s">
        <v>15</v>
      </c>
      <c r="P10" s="158" t="s">
        <v>38</v>
      </c>
    </row>
    <row r="11" spans="1:16" ht="15" x14ac:dyDescent="0.25">
      <c r="A11" s="38"/>
      <c r="B11" s="158" t="s">
        <v>108</v>
      </c>
      <c r="C11" s="6">
        <f>P11</f>
        <v>26</v>
      </c>
      <c r="D11" s="27">
        <f>M11+0.6</f>
        <v>1.4</v>
      </c>
      <c r="E11" s="27">
        <f>N11+0.6</f>
        <v>1.4</v>
      </c>
      <c r="F11" s="27">
        <f>O11+0.05+0.05+0.7+0.23</f>
        <v>1.3299999999999998</v>
      </c>
      <c r="G11" s="27">
        <f t="shared" ref="G11:G23" si="1">F11*E11*D11*C11</f>
        <v>67.77679999999998</v>
      </c>
      <c r="H11" s="73"/>
      <c r="I11" s="94"/>
      <c r="J11" s="95"/>
      <c r="K11" s="158"/>
      <c r="L11" s="158" t="s">
        <v>33</v>
      </c>
      <c r="M11" s="36">
        <v>0.8</v>
      </c>
      <c r="N11" s="158">
        <v>0.8</v>
      </c>
      <c r="O11" s="158">
        <v>0.3</v>
      </c>
      <c r="P11" s="158">
        <v>26</v>
      </c>
    </row>
    <row r="12" spans="1:16" ht="15" x14ac:dyDescent="0.25">
      <c r="A12" s="38"/>
      <c r="B12" s="27" t="s">
        <v>42</v>
      </c>
      <c r="C12" s="6">
        <v>1</v>
      </c>
      <c r="D12" s="27">
        <v>72</v>
      </c>
      <c r="E12" s="27">
        <v>1</v>
      </c>
      <c r="F12" s="27">
        <f>0.23+0.2+0.05</f>
        <v>0.48000000000000004</v>
      </c>
      <c r="G12" s="27">
        <f t="shared" si="1"/>
        <v>34.56</v>
      </c>
      <c r="H12" s="73"/>
      <c r="I12" s="94"/>
      <c r="J12" s="95"/>
      <c r="K12" s="158"/>
      <c r="L12" s="158"/>
      <c r="M12" s="36"/>
      <c r="N12" s="158"/>
      <c r="O12" s="158"/>
      <c r="P12" s="158"/>
    </row>
    <row r="13" spans="1:16" ht="15" x14ac:dyDescent="0.25">
      <c r="A13" s="38"/>
      <c r="B13" s="27"/>
      <c r="C13" s="6"/>
      <c r="D13" s="27"/>
      <c r="E13" s="27"/>
      <c r="F13" s="158" t="s">
        <v>37</v>
      </c>
      <c r="G13" s="158">
        <f>SUM(G11:G12)</f>
        <v>102.33679999999998</v>
      </c>
      <c r="H13" s="73" t="s">
        <v>51</v>
      </c>
      <c r="I13" s="94">
        <v>315.89</v>
      </c>
      <c r="J13" s="95">
        <f>G13*I13</f>
        <v>32327.171751999995</v>
      </c>
      <c r="K13" s="158"/>
      <c r="L13" s="158"/>
      <c r="M13" s="36"/>
      <c r="N13" s="158"/>
      <c r="O13" s="158"/>
      <c r="P13" s="158"/>
    </row>
    <row r="14" spans="1:16" x14ac:dyDescent="0.25">
      <c r="A14" s="38"/>
      <c r="B14" s="27" t="s">
        <v>13</v>
      </c>
      <c r="C14" s="6">
        <f>P11</f>
        <v>26</v>
      </c>
      <c r="D14" s="27">
        <f>M11+0.3</f>
        <v>1.1000000000000001</v>
      </c>
      <c r="E14" s="27">
        <f>N11+0.3</f>
        <v>1.1000000000000001</v>
      </c>
      <c r="F14" s="27">
        <v>0.23</v>
      </c>
      <c r="G14" s="27">
        <f t="shared" si="1"/>
        <v>7.2358000000000029</v>
      </c>
      <c r="H14" s="73"/>
      <c r="I14" s="94"/>
      <c r="J14" s="95"/>
      <c r="K14" s="158"/>
      <c r="L14" s="158"/>
      <c r="M14" s="36"/>
      <c r="N14" s="158"/>
      <c r="O14" s="158"/>
      <c r="P14" s="158"/>
    </row>
    <row r="15" spans="1:16" x14ac:dyDescent="0.25">
      <c r="A15" s="38"/>
      <c r="B15" s="27" t="s">
        <v>42</v>
      </c>
      <c r="C15" s="6">
        <f>C27</f>
        <v>1</v>
      </c>
      <c r="D15" s="27">
        <f>D27</f>
        <v>72</v>
      </c>
      <c r="E15" s="27">
        <f>0.35+0.3</f>
        <v>0.64999999999999991</v>
      </c>
      <c r="F15" s="27">
        <v>0.23</v>
      </c>
      <c r="G15" s="27">
        <f t="shared" si="1"/>
        <v>10.763999999999999</v>
      </c>
      <c r="H15" s="73"/>
      <c r="I15" s="94"/>
      <c r="J15" s="95"/>
      <c r="K15" s="158"/>
      <c r="L15" s="158"/>
      <c r="M15" s="36"/>
      <c r="N15" s="158"/>
      <c r="O15" s="158"/>
      <c r="P15" s="158"/>
    </row>
    <row r="16" spans="1:16" x14ac:dyDescent="0.25">
      <c r="A16" s="38"/>
      <c r="B16" s="27"/>
      <c r="C16" s="6"/>
      <c r="D16" s="27"/>
      <c r="E16" s="27"/>
      <c r="F16" s="158" t="s">
        <v>37</v>
      </c>
      <c r="G16" s="158">
        <f>SUM(G14:G15)</f>
        <v>17.9998</v>
      </c>
      <c r="H16" s="73" t="s">
        <v>51</v>
      </c>
      <c r="I16" s="94">
        <v>1500</v>
      </c>
      <c r="J16" s="95">
        <f t="shared" ref="J16:J20" si="2">G16*I16</f>
        <v>26999.7</v>
      </c>
      <c r="K16" s="158"/>
      <c r="L16" s="158"/>
      <c r="M16" s="36"/>
      <c r="N16" s="158"/>
      <c r="O16" s="158"/>
      <c r="P16" s="158"/>
    </row>
    <row r="17" spans="1:16" x14ac:dyDescent="0.25">
      <c r="A17" s="38"/>
      <c r="B17" s="27" t="s">
        <v>14</v>
      </c>
      <c r="C17" s="6">
        <f>P11</f>
        <v>26</v>
      </c>
      <c r="D17" s="27">
        <f>M11+0.2</f>
        <v>1</v>
      </c>
      <c r="E17" s="27">
        <f>N11+0.2</f>
        <v>1</v>
      </c>
      <c r="F17" s="27">
        <v>0.05</v>
      </c>
      <c r="G17" s="27">
        <f t="shared" si="1"/>
        <v>1.3</v>
      </c>
      <c r="H17" s="73"/>
      <c r="I17" s="94"/>
      <c r="J17" s="95"/>
      <c r="K17" s="158"/>
      <c r="L17" s="158"/>
      <c r="M17" s="36"/>
      <c r="N17" s="158"/>
      <c r="O17" s="158"/>
      <c r="P17" s="158"/>
    </row>
    <row r="18" spans="1:16" x14ac:dyDescent="0.25">
      <c r="A18" s="38"/>
      <c r="B18" s="27" t="s">
        <v>42</v>
      </c>
      <c r="C18" s="6">
        <f>C15</f>
        <v>1</v>
      </c>
      <c r="D18" s="27">
        <f>D15</f>
        <v>72</v>
      </c>
      <c r="E18" s="27">
        <f>0.35+0.2</f>
        <v>0.55000000000000004</v>
      </c>
      <c r="F18" s="27">
        <v>0.05</v>
      </c>
      <c r="G18" s="27">
        <f t="shared" si="1"/>
        <v>1.9800000000000002</v>
      </c>
      <c r="H18" s="73"/>
      <c r="I18" s="94"/>
      <c r="J18" s="95"/>
      <c r="K18" s="158"/>
      <c r="L18" s="158"/>
      <c r="M18" s="36"/>
      <c r="N18" s="158"/>
      <c r="O18" s="158"/>
      <c r="P18" s="158"/>
    </row>
    <row r="19" spans="1:16" x14ac:dyDescent="0.25">
      <c r="A19" s="38"/>
      <c r="B19" s="27"/>
      <c r="C19" s="6"/>
      <c r="D19" s="27"/>
      <c r="E19" s="27"/>
      <c r="F19" s="158" t="s">
        <v>37</v>
      </c>
      <c r="G19" s="158">
        <f>SUM(G17:G18)</f>
        <v>3.2800000000000002</v>
      </c>
      <c r="H19" s="73" t="s">
        <v>51</v>
      </c>
      <c r="I19" s="94">
        <v>3535.97</v>
      </c>
      <c r="J19" s="95">
        <f t="shared" si="2"/>
        <v>11597.981600000001</v>
      </c>
      <c r="K19" s="158"/>
      <c r="L19" s="158"/>
      <c r="M19" s="36"/>
      <c r="N19" s="158"/>
      <c r="O19" s="158"/>
      <c r="P19" s="158"/>
    </row>
    <row r="20" spans="1:16" x14ac:dyDescent="0.25">
      <c r="A20" s="38"/>
      <c r="B20" s="27" t="s">
        <v>34</v>
      </c>
      <c r="C20" s="6">
        <f>P11</f>
        <v>26</v>
      </c>
      <c r="D20" s="27">
        <f>M11+0.2</f>
        <v>1</v>
      </c>
      <c r="E20" s="27">
        <f>N11+0.2</f>
        <v>1</v>
      </c>
      <c r="F20" s="27">
        <v>0.05</v>
      </c>
      <c r="G20" s="158">
        <f t="shared" si="1"/>
        <v>1.3</v>
      </c>
      <c r="H20" s="73" t="s">
        <v>51</v>
      </c>
      <c r="I20" s="94">
        <v>927.3</v>
      </c>
      <c r="J20" s="95">
        <f t="shared" si="2"/>
        <v>1205.49</v>
      </c>
      <c r="K20" s="158"/>
      <c r="L20" s="158"/>
      <c r="M20" s="36"/>
      <c r="N20" s="158"/>
      <c r="O20" s="158"/>
      <c r="P20" s="158"/>
    </row>
    <row r="21" spans="1:16" x14ac:dyDescent="0.25">
      <c r="A21" s="38"/>
      <c r="B21" s="27" t="s">
        <v>35</v>
      </c>
      <c r="C21" s="6">
        <f>P11</f>
        <v>26</v>
      </c>
      <c r="D21" s="27">
        <f>M11</f>
        <v>0.8</v>
      </c>
      <c r="E21" s="27">
        <f>N11</f>
        <v>0.8</v>
      </c>
      <c r="F21" s="27">
        <f>O11</f>
        <v>0.3</v>
      </c>
      <c r="G21" s="27">
        <f t="shared" si="1"/>
        <v>4.992</v>
      </c>
      <c r="H21" s="73"/>
      <c r="I21" s="94"/>
      <c r="J21" s="95"/>
      <c r="K21" s="158"/>
      <c r="L21" s="158"/>
      <c r="M21" s="36"/>
      <c r="N21" s="158"/>
      <c r="O21" s="158"/>
      <c r="P21" s="158"/>
    </row>
    <row r="22" spans="1:16" x14ac:dyDescent="0.25">
      <c r="A22" s="38"/>
      <c r="B22" s="27" t="s">
        <v>325</v>
      </c>
      <c r="C22" s="6">
        <f>P22</f>
        <v>26</v>
      </c>
      <c r="D22" s="27">
        <f>M22</f>
        <v>0.5</v>
      </c>
      <c r="E22" s="27">
        <f>N22</f>
        <v>0.5</v>
      </c>
      <c r="F22" s="27">
        <f>O22</f>
        <v>1.2</v>
      </c>
      <c r="G22" s="27">
        <f t="shared" si="1"/>
        <v>7.8</v>
      </c>
      <c r="H22" s="73"/>
      <c r="I22" s="94"/>
      <c r="J22" s="95"/>
      <c r="K22" s="158"/>
      <c r="L22" s="158" t="s">
        <v>326</v>
      </c>
      <c r="M22" s="36">
        <v>0.5</v>
      </c>
      <c r="N22" s="158">
        <v>0.5</v>
      </c>
      <c r="O22" s="158">
        <v>1.2</v>
      </c>
      <c r="P22" s="158">
        <v>26</v>
      </c>
    </row>
    <row r="23" spans="1:16" x14ac:dyDescent="0.25">
      <c r="A23" s="38"/>
      <c r="B23" s="27" t="s">
        <v>42</v>
      </c>
      <c r="C23" s="6">
        <v>6</v>
      </c>
      <c r="D23" s="27">
        <f>(27+24)-(12*0.75)</f>
        <v>42</v>
      </c>
      <c r="E23" s="27">
        <v>0.7</v>
      </c>
      <c r="F23" s="27">
        <f>N23</f>
        <v>0.35</v>
      </c>
      <c r="G23" s="27">
        <f t="shared" si="1"/>
        <v>61.739999999999995</v>
      </c>
      <c r="H23" s="73"/>
      <c r="I23" s="94"/>
      <c r="J23" s="95"/>
      <c r="K23" s="158"/>
      <c r="L23" s="158" t="s">
        <v>43</v>
      </c>
      <c r="M23" s="36">
        <v>0.7</v>
      </c>
      <c r="N23" s="158">
        <v>0.35</v>
      </c>
      <c r="O23" s="158"/>
      <c r="P23" s="158"/>
    </row>
    <row r="24" spans="1:16" x14ac:dyDescent="0.25">
      <c r="A24" s="38"/>
      <c r="B24" s="27" t="s">
        <v>337</v>
      </c>
      <c r="C24" s="6"/>
      <c r="D24" s="27"/>
      <c r="E24" s="27"/>
      <c r="F24" s="158" t="s">
        <v>37</v>
      </c>
      <c r="G24" s="158">
        <f>SUM(G21:G23)</f>
        <v>74.531999999999996</v>
      </c>
      <c r="H24" s="73" t="s">
        <v>51</v>
      </c>
      <c r="I24" s="94">
        <v>5329.43</v>
      </c>
      <c r="J24" s="95">
        <f>G24*I24</f>
        <v>397213.07676000003</v>
      </c>
      <c r="K24" s="158"/>
      <c r="L24" s="36"/>
      <c r="M24" s="158"/>
      <c r="N24" s="158"/>
      <c r="O24" s="158"/>
    </row>
    <row r="25" spans="1:16" x14ac:dyDescent="0.25">
      <c r="A25" s="38"/>
      <c r="B25" s="27" t="s">
        <v>17</v>
      </c>
      <c r="C25" s="6">
        <f>C21</f>
        <v>26</v>
      </c>
      <c r="D25" s="27">
        <f>D21+D21+E21+E21</f>
        <v>3.2</v>
      </c>
      <c r="E25" s="27"/>
      <c r="F25" s="27">
        <f>F21</f>
        <v>0.3</v>
      </c>
      <c r="G25" s="27">
        <f>C25*D25*F25</f>
        <v>24.96</v>
      </c>
      <c r="H25" s="73"/>
      <c r="I25" s="94"/>
      <c r="J25" s="95"/>
      <c r="K25" s="158"/>
      <c r="L25" s="36"/>
      <c r="M25" s="158"/>
      <c r="N25" s="158"/>
      <c r="O25" s="158"/>
    </row>
    <row r="26" spans="1:16" x14ac:dyDescent="0.25">
      <c r="A26" s="38"/>
      <c r="B26" s="27" t="s">
        <v>326</v>
      </c>
      <c r="C26" s="6">
        <f>C22</f>
        <v>26</v>
      </c>
      <c r="D26" s="27">
        <f>D22+E22+D22+E22</f>
        <v>2</v>
      </c>
      <c r="E26" s="27"/>
      <c r="F26" s="27">
        <v>1</v>
      </c>
      <c r="G26" s="27">
        <f t="shared" ref="G26:G27" si="3">C26*D26*F26</f>
        <v>52</v>
      </c>
      <c r="H26" s="73"/>
      <c r="I26" s="94"/>
      <c r="J26" s="95"/>
      <c r="K26" s="158"/>
      <c r="L26" s="36"/>
      <c r="M26" s="158"/>
      <c r="N26" s="158"/>
      <c r="O26" s="158"/>
    </row>
    <row r="27" spans="1:16" x14ac:dyDescent="0.25">
      <c r="A27" s="38"/>
      <c r="B27" s="27" t="s">
        <v>42</v>
      </c>
      <c r="C27" s="6">
        <v>1</v>
      </c>
      <c r="D27" s="27">
        <v>72</v>
      </c>
      <c r="E27" s="27"/>
      <c r="F27" s="27">
        <f>0.7+0.7</f>
        <v>1.4</v>
      </c>
      <c r="G27" s="27">
        <f t="shared" si="3"/>
        <v>100.8</v>
      </c>
      <c r="H27" s="73"/>
      <c r="I27" s="94"/>
      <c r="J27" s="95"/>
      <c r="K27" s="158"/>
      <c r="L27" s="36"/>
      <c r="M27" s="158"/>
      <c r="N27" s="158"/>
      <c r="O27" s="158"/>
    </row>
    <row r="28" spans="1:16" x14ac:dyDescent="0.25">
      <c r="A28" s="38"/>
      <c r="B28" s="27"/>
      <c r="C28" s="6"/>
      <c r="D28" s="27"/>
      <c r="E28" s="27"/>
      <c r="F28" s="158" t="s">
        <v>37</v>
      </c>
      <c r="G28" s="158">
        <f>SUM(G25:G27)</f>
        <v>177.76</v>
      </c>
      <c r="H28" s="73" t="s">
        <v>36</v>
      </c>
      <c r="I28" s="94">
        <v>718.4</v>
      </c>
      <c r="J28" s="95">
        <f>G28*I28</f>
        <v>127702.78399999999</v>
      </c>
      <c r="K28" s="158"/>
      <c r="L28" s="36"/>
      <c r="M28" s="158"/>
      <c r="N28" s="158"/>
      <c r="O28" s="158"/>
    </row>
    <row r="29" spans="1:16" x14ac:dyDescent="0.25">
      <c r="A29" s="38"/>
      <c r="B29" s="27" t="s">
        <v>18</v>
      </c>
      <c r="C29" s="6">
        <v>1</v>
      </c>
      <c r="D29" s="6">
        <f>G24</f>
        <v>74.531999999999996</v>
      </c>
      <c r="E29" s="27">
        <v>100</v>
      </c>
      <c r="F29" s="27"/>
      <c r="G29" s="27">
        <f>D29*E29</f>
        <v>7453.2</v>
      </c>
      <c r="H29" s="73" t="s">
        <v>56</v>
      </c>
      <c r="I29" s="94">
        <v>66.239999999999995</v>
      </c>
      <c r="J29" s="95">
        <f t="shared" ref="J29:J31" si="4">G29*I29</f>
        <v>493699.96799999994</v>
      </c>
      <c r="K29" s="158"/>
      <c r="L29" s="36"/>
      <c r="M29" s="158"/>
      <c r="N29" s="158"/>
      <c r="O29" s="158"/>
    </row>
    <row r="30" spans="1:16" x14ac:dyDescent="0.25">
      <c r="A30" s="38"/>
      <c r="B30" s="27" t="s">
        <v>19</v>
      </c>
      <c r="C30" s="6">
        <f>C25</f>
        <v>26</v>
      </c>
      <c r="D30" s="6">
        <v>8</v>
      </c>
      <c r="E30" s="27">
        <f>(36*36/162)+1.5</f>
        <v>9.5</v>
      </c>
      <c r="F30" s="27">
        <v>0.9</v>
      </c>
      <c r="G30" s="27">
        <f>C30*D30*E30*F30</f>
        <v>1778.4</v>
      </c>
      <c r="H30" s="73" t="s">
        <v>56</v>
      </c>
      <c r="I30" s="94">
        <v>125</v>
      </c>
      <c r="J30" s="95">
        <f t="shared" si="4"/>
        <v>222300</v>
      </c>
      <c r="K30" s="158"/>
      <c r="L30" s="36">
        <v>0.9</v>
      </c>
      <c r="M30" s="158">
        <v>9.5</v>
      </c>
      <c r="N30" s="158"/>
      <c r="O30" s="158">
        <f>36*8</f>
        <v>288</v>
      </c>
    </row>
    <row r="31" spans="1:16" x14ac:dyDescent="0.25">
      <c r="A31" s="38"/>
      <c r="B31" s="27" t="s">
        <v>41</v>
      </c>
      <c r="C31" s="6">
        <f>P22</f>
        <v>26</v>
      </c>
      <c r="D31" s="6">
        <f>M22</f>
        <v>0.5</v>
      </c>
      <c r="E31" s="27">
        <f>N22</f>
        <v>0.5</v>
      </c>
      <c r="F31" s="27">
        <v>0.05</v>
      </c>
      <c r="G31" s="6">
        <f>C31*D31*E31*F31</f>
        <v>0.32500000000000001</v>
      </c>
      <c r="H31" s="73" t="s">
        <v>51</v>
      </c>
      <c r="I31" s="94">
        <f>5502.66/0.05</f>
        <v>110053.2</v>
      </c>
      <c r="J31" s="95">
        <f t="shared" si="4"/>
        <v>35767.29</v>
      </c>
      <c r="K31" s="158"/>
    </row>
    <row r="32" spans="1:16" x14ac:dyDescent="0.25">
      <c r="A32" s="38"/>
      <c r="B32" s="27" t="s">
        <v>44</v>
      </c>
      <c r="C32" s="6">
        <v>1</v>
      </c>
      <c r="D32" s="6">
        <f>G11+G12</f>
        <v>102.33679999999998</v>
      </c>
      <c r="E32" s="27"/>
      <c r="F32" s="27"/>
      <c r="G32" s="6">
        <f>C32*D32</f>
        <v>102.33679999999998</v>
      </c>
      <c r="H32" s="73"/>
      <c r="I32" s="94"/>
      <c r="J32" s="95"/>
      <c r="K32" s="158"/>
    </row>
    <row r="33" spans="1:11" x14ac:dyDescent="0.25">
      <c r="A33" s="38"/>
      <c r="B33" s="27" t="s">
        <v>45</v>
      </c>
      <c r="C33" s="6">
        <v>-1</v>
      </c>
      <c r="D33" s="6">
        <f>G14+G15+G17+G18+G20+G21+G22+G23</f>
        <v>97.111799999999988</v>
      </c>
      <c r="E33" s="27"/>
      <c r="F33" s="27"/>
      <c r="G33" s="6">
        <f>C33*D33</f>
        <v>-97.111799999999988</v>
      </c>
      <c r="H33" s="73"/>
      <c r="I33" s="157"/>
      <c r="J33" s="93"/>
      <c r="K33" s="158"/>
    </row>
    <row r="34" spans="1:11" x14ac:dyDescent="0.25">
      <c r="A34" s="38"/>
      <c r="B34" s="27"/>
      <c r="C34" s="6"/>
      <c r="D34" s="27"/>
      <c r="E34" s="27"/>
      <c r="F34" s="158" t="s">
        <v>37</v>
      </c>
      <c r="G34" s="7">
        <f>SUM(G32:G33)</f>
        <v>5.2249999999999943</v>
      </c>
      <c r="H34" s="73" t="s">
        <v>51</v>
      </c>
      <c r="I34" s="94">
        <v>183.42</v>
      </c>
      <c r="J34" s="95">
        <f>G34*I34</f>
        <v>958.36949999999888</v>
      </c>
      <c r="K34" s="158"/>
    </row>
    <row r="35" spans="1:11" x14ac:dyDescent="0.25">
      <c r="A35" s="38"/>
      <c r="B35" s="26" t="s">
        <v>220</v>
      </c>
      <c r="C35" s="13"/>
      <c r="D35" s="13"/>
      <c r="E35" s="40"/>
      <c r="F35" s="40"/>
      <c r="G35" s="13"/>
      <c r="H35" s="78"/>
      <c r="I35" s="96"/>
      <c r="J35" s="68"/>
      <c r="K35" s="44"/>
    </row>
    <row r="36" spans="1:11" x14ac:dyDescent="0.25">
      <c r="A36" s="45" t="s">
        <v>95</v>
      </c>
      <c r="B36" s="29" t="s">
        <v>69</v>
      </c>
      <c r="C36" s="181"/>
      <c r="D36" s="67"/>
      <c r="E36" s="46"/>
      <c r="F36" s="46"/>
      <c r="G36" s="46"/>
      <c r="H36" s="78"/>
      <c r="I36" s="96"/>
      <c r="J36" s="68"/>
      <c r="K36" s="44"/>
    </row>
    <row r="37" spans="1:11" x14ac:dyDescent="0.25">
      <c r="A37" s="30"/>
      <c r="B37" s="34" t="s">
        <v>324</v>
      </c>
      <c r="C37" s="6">
        <v>0</v>
      </c>
      <c r="D37" s="6"/>
      <c r="E37" s="46"/>
      <c r="F37" s="46"/>
      <c r="G37" s="70">
        <f>C37</f>
        <v>0</v>
      </c>
      <c r="H37" s="74" t="s">
        <v>4</v>
      </c>
      <c r="I37" s="21">
        <v>305703.42</v>
      </c>
      <c r="J37" s="70">
        <f>G37*I37</f>
        <v>0</v>
      </c>
      <c r="K37" s="44"/>
    </row>
    <row r="38" spans="1:11" x14ac:dyDescent="0.25">
      <c r="A38" s="30"/>
      <c r="B38" s="34" t="s">
        <v>70</v>
      </c>
      <c r="C38" s="6">
        <v>0</v>
      </c>
      <c r="D38" s="6"/>
      <c r="E38" s="46"/>
      <c r="F38" s="46"/>
      <c r="G38" s="70">
        <f>C38</f>
        <v>0</v>
      </c>
      <c r="H38" s="74" t="s">
        <v>4</v>
      </c>
      <c r="I38" s="21">
        <v>229277.57</v>
      </c>
      <c r="J38" s="70">
        <f t="shared" ref="J38:J41" si="5">G38*I38</f>
        <v>0</v>
      </c>
      <c r="K38" s="44"/>
    </row>
    <row r="39" spans="1:11" x14ac:dyDescent="0.25">
      <c r="A39" s="30"/>
      <c r="B39" s="34" t="s">
        <v>71</v>
      </c>
      <c r="C39" s="6">
        <v>2</v>
      </c>
      <c r="D39" s="6">
        <v>18</v>
      </c>
      <c r="E39" s="46"/>
      <c r="F39" s="46"/>
      <c r="G39" s="70">
        <f>C39*D39</f>
        <v>36</v>
      </c>
      <c r="H39" s="74" t="s">
        <v>39</v>
      </c>
      <c r="I39" s="21">
        <v>2394.6799999999998</v>
      </c>
      <c r="J39" s="70">
        <f t="shared" si="5"/>
        <v>86208.48</v>
      </c>
      <c r="K39" s="44"/>
    </row>
    <row r="40" spans="1:11" x14ac:dyDescent="0.25">
      <c r="A40" s="30"/>
      <c r="B40" s="34" t="s">
        <v>31</v>
      </c>
      <c r="C40" s="6">
        <f>C39</f>
        <v>2</v>
      </c>
      <c r="D40" s="6"/>
      <c r="E40" s="46"/>
      <c r="F40" s="46"/>
      <c r="G40" s="70">
        <f>C40</f>
        <v>2</v>
      </c>
      <c r="H40" s="74" t="s">
        <v>67</v>
      </c>
      <c r="I40" s="21">
        <v>509.51</v>
      </c>
      <c r="J40" s="70">
        <f t="shared" si="5"/>
        <v>1019.02</v>
      </c>
      <c r="K40" s="44"/>
    </row>
    <row r="41" spans="1:11" x14ac:dyDescent="0.25">
      <c r="A41" s="30"/>
      <c r="B41" s="37" t="s">
        <v>32</v>
      </c>
      <c r="C41" s="6">
        <f>C39</f>
        <v>2</v>
      </c>
      <c r="D41" s="6"/>
      <c r="E41" s="46"/>
      <c r="F41" s="46"/>
      <c r="G41" s="70">
        <f>C41</f>
        <v>2</v>
      </c>
      <c r="H41" s="74" t="s">
        <v>67</v>
      </c>
      <c r="I41" s="21">
        <v>1273.76</v>
      </c>
      <c r="J41" s="70">
        <f t="shared" si="5"/>
        <v>2547.52</v>
      </c>
      <c r="K41" s="44"/>
    </row>
    <row r="42" spans="1:11" x14ac:dyDescent="0.25">
      <c r="A42" s="38" t="s">
        <v>96</v>
      </c>
      <c r="B42" s="46" t="s">
        <v>221</v>
      </c>
      <c r="C42" s="14"/>
      <c r="D42" s="14"/>
      <c r="E42" s="46"/>
      <c r="F42" s="46"/>
      <c r="G42" s="68"/>
      <c r="H42" s="78"/>
      <c r="I42" s="96"/>
      <c r="J42" s="68"/>
      <c r="K42" s="44"/>
    </row>
    <row r="43" spans="1:11" x14ac:dyDescent="0.25">
      <c r="A43" s="47">
        <v>1</v>
      </c>
      <c r="B43" s="48" t="s">
        <v>60</v>
      </c>
      <c r="C43" s="8"/>
      <c r="D43" s="8">
        <f>2.98+0.5+0.5</f>
        <v>3.98</v>
      </c>
      <c r="E43" s="48">
        <f>D43</f>
        <v>3.98</v>
      </c>
      <c r="F43" s="48">
        <f>0.7+0.05+0.23</f>
        <v>0.98</v>
      </c>
      <c r="G43" s="69">
        <f>D43*E43*F43</f>
        <v>15.523592000000001</v>
      </c>
      <c r="H43" s="75" t="s">
        <v>51</v>
      </c>
      <c r="I43" s="97">
        <v>315.89</v>
      </c>
      <c r="J43" s="69">
        <f>G43*I43</f>
        <v>4903.7474768800002</v>
      </c>
      <c r="K43" s="44"/>
    </row>
    <row r="44" spans="1:11" x14ac:dyDescent="0.25">
      <c r="A44" s="47">
        <v>2</v>
      </c>
      <c r="B44" s="48" t="s">
        <v>61</v>
      </c>
      <c r="C44" s="8"/>
      <c r="D44" s="8"/>
      <c r="E44" s="48"/>
      <c r="F44" s="48"/>
      <c r="G44" s="69">
        <f>G43</f>
        <v>15.523592000000001</v>
      </c>
      <c r="H44" s="75" t="s">
        <v>51</v>
      </c>
      <c r="I44" s="97">
        <v>100</v>
      </c>
      <c r="J44" s="69">
        <f t="shared" ref="J44:J48" si="6">G44*I44</f>
        <v>1552.3592000000001</v>
      </c>
      <c r="K44" s="44"/>
    </row>
    <row r="45" spans="1:11" x14ac:dyDescent="0.25">
      <c r="A45" s="47">
        <v>3</v>
      </c>
      <c r="B45" s="48" t="s">
        <v>62</v>
      </c>
      <c r="C45" s="8"/>
      <c r="D45" s="8">
        <v>3.14</v>
      </c>
      <c r="E45" s="48">
        <f>1.8*1.8</f>
        <v>3.24</v>
      </c>
      <c r="F45" s="48">
        <v>1</v>
      </c>
      <c r="G45" s="69">
        <f>D45*E45*F45</f>
        <v>10.1736</v>
      </c>
      <c r="H45" s="75" t="s">
        <v>51</v>
      </c>
      <c r="I45" s="97">
        <v>5329.43</v>
      </c>
      <c r="J45" s="69">
        <f t="shared" si="6"/>
        <v>54219.489048000003</v>
      </c>
      <c r="K45" s="44"/>
    </row>
    <row r="46" spans="1:11" x14ac:dyDescent="0.25">
      <c r="A46" s="47">
        <v>4</v>
      </c>
      <c r="B46" s="48" t="s">
        <v>72</v>
      </c>
      <c r="C46" s="8"/>
      <c r="D46" s="8">
        <v>3.14</v>
      </c>
      <c r="E46" s="48">
        <f>D43</f>
        <v>3.98</v>
      </c>
      <c r="F46" s="48">
        <v>0.1</v>
      </c>
      <c r="G46" s="69">
        <f>D46*E46*F46</f>
        <v>1.2497200000000002</v>
      </c>
      <c r="H46" s="75" t="s">
        <v>51</v>
      </c>
      <c r="I46" s="97">
        <f>I20</f>
        <v>927.3</v>
      </c>
      <c r="J46" s="69">
        <f t="shared" si="6"/>
        <v>1158.865356</v>
      </c>
      <c r="K46" s="44"/>
    </row>
    <row r="47" spans="1:11" x14ac:dyDescent="0.25">
      <c r="A47" s="47">
        <v>5</v>
      </c>
      <c r="B47" s="48" t="s">
        <v>63</v>
      </c>
      <c r="C47" s="8"/>
      <c r="D47" s="8"/>
      <c r="E47" s="48">
        <f>G45</f>
        <v>10.1736</v>
      </c>
      <c r="F47" s="48">
        <v>100</v>
      </c>
      <c r="G47" s="69">
        <f>E47*F47</f>
        <v>1017.36</v>
      </c>
      <c r="H47" s="75" t="s">
        <v>56</v>
      </c>
      <c r="I47" s="97">
        <v>66.42</v>
      </c>
      <c r="J47" s="70">
        <f t="shared" si="6"/>
        <v>67573.051200000002</v>
      </c>
      <c r="K47" s="44"/>
    </row>
    <row r="48" spans="1:11" x14ac:dyDescent="0.25">
      <c r="A48" s="47">
        <v>6</v>
      </c>
      <c r="B48" s="48" t="s">
        <v>64</v>
      </c>
      <c r="C48" s="8"/>
      <c r="D48" s="8">
        <v>1</v>
      </c>
      <c r="E48" s="48">
        <f>3.14*D43</f>
        <v>12.497200000000001</v>
      </c>
      <c r="F48" s="48">
        <v>1.5</v>
      </c>
      <c r="G48" s="69">
        <f>D48*E48*F48</f>
        <v>18.745800000000003</v>
      </c>
      <c r="H48" s="75" t="s">
        <v>36</v>
      </c>
      <c r="I48" s="97">
        <v>718.4</v>
      </c>
      <c r="J48" s="69">
        <f t="shared" si="6"/>
        <v>13466.982720000002</v>
      </c>
      <c r="K48" s="44"/>
    </row>
    <row r="49" spans="1:11" x14ac:dyDescent="0.25">
      <c r="A49" s="47">
        <v>7</v>
      </c>
      <c r="B49" s="48" t="s">
        <v>65</v>
      </c>
      <c r="C49" s="8"/>
      <c r="D49" s="8">
        <f>(3.14*2.6)/0.3</f>
        <v>27.213333333333338</v>
      </c>
      <c r="E49" s="48">
        <v>16</v>
      </c>
      <c r="F49" s="48"/>
      <c r="G49" s="69">
        <f>D49*E49</f>
        <v>435.41333333333341</v>
      </c>
      <c r="H49" s="75" t="s">
        <v>56</v>
      </c>
      <c r="I49" s="97">
        <v>125</v>
      </c>
      <c r="J49" s="69">
        <f>G49*I49</f>
        <v>54426.666666666679</v>
      </c>
      <c r="K49" s="44"/>
    </row>
    <row r="50" spans="1:11" x14ac:dyDescent="0.25">
      <c r="A50" s="47">
        <v>8</v>
      </c>
      <c r="B50" s="48" t="s">
        <v>73</v>
      </c>
      <c r="C50" s="8">
        <v>1</v>
      </c>
      <c r="D50" s="8">
        <f>D43</f>
        <v>3.98</v>
      </c>
      <c r="E50" s="48">
        <f>E43</f>
        <v>3.98</v>
      </c>
      <c r="F50" s="48">
        <v>0.05</v>
      </c>
      <c r="G50" s="69">
        <f>C50*D50*E50*F50</f>
        <v>0.79202000000000006</v>
      </c>
      <c r="H50" s="75" t="s">
        <v>12</v>
      </c>
      <c r="I50" s="97">
        <v>3535.97</v>
      </c>
      <c r="J50" s="69">
        <f>G50*I50</f>
        <v>2800.5589593999998</v>
      </c>
      <c r="K50" s="44"/>
    </row>
    <row r="51" spans="1:11" x14ac:dyDescent="0.25">
      <c r="A51" s="47"/>
      <c r="B51" s="48"/>
      <c r="C51" s="8"/>
      <c r="D51" s="8"/>
      <c r="E51" s="48"/>
      <c r="F51" s="48"/>
      <c r="G51" s="332" t="s">
        <v>66</v>
      </c>
      <c r="H51" s="332"/>
      <c r="I51" s="332"/>
      <c r="J51" s="68"/>
      <c r="K51" s="44"/>
    </row>
    <row r="52" spans="1:11" x14ac:dyDescent="0.25">
      <c r="A52" s="38" t="s">
        <v>96</v>
      </c>
      <c r="B52" s="46" t="s">
        <v>222</v>
      </c>
      <c r="C52" s="14"/>
      <c r="D52" s="14"/>
      <c r="E52" s="46"/>
      <c r="F52" s="46"/>
      <c r="G52" s="68"/>
      <c r="H52" s="78"/>
      <c r="I52" s="96"/>
      <c r="J52" s="68"/>
      <c r="K52" s="44"/>
    </row>
    <row r="53" spans="1:11" x14ac:dyDescent="0.25">
      <c r="A53" s="47"/>
      <c r="B53" s="42" t="s">
        <v>50</v>
      </c>
      <c r="C53" s="66">
        <v>1.6</v>
      </c>
      <c r="D53" s="66">
        <v>1.1000000000000001</v>
      </c>
      <c r="E53" s="43">
        <v>1.2</v>
      </c>
      <c r="F53" s="43">
        <v>3</v>
      </c>
      <c r="G53" s="66">
        <f>F53*E53*D53*C53</f>
        <v>6.3360000000000003</v>
      </c>
      <c r="H53" s="73" t="s">
        <v>51</v>
      </c>
      <c r="I53" s="94">
        <v>315.89</v>
      </c>
      <c r="J53" s="95">
        <f>I53*G53</f>
        <v>2001.4790399999999</v>
      </c>
      <c r="K53" s="44"/>
    </row>
    <row r="54" spans="1:11" x14ac:dyDescent="0.25">
      <c r="A54" s="47"/>
      <c r="B54" s="42" t="s">
        <v>13</v>
      </c>
      <c r="C54" s="66">
        <v>1.3</v>
      </c>
      <c r="D54" s="66">
        <f>D53</f>
        <v>1.1000000000000001</v>
      </c>
      <c r="E54" s="43">
        <v>0.23</v>
      </c>
      <c r="F54" s="43">
        <f>F53</f>
        <v>3</v>
      </c>
      <c r="G54" s="66">
        <f>F54*E54*D54*C54</f>
        <v>0.98670000000000024</v>
      </c>
      <c r="H54" s="73" t="s">
        <v>51</v>
      </c>
      <c r="I54" s="94">
        <v>950</v>
      </c>
      <c r="J54" s="95">
        <f>I54*G54</f>
        <v>937.36500000000024</v>
      </c>
      <c r="K54" s="44"/>
    </row>
    <row r="55" spans="1:11" x14ac:dyDescent="0.25">
      <c r="A55" s="47"/>
      <c r="B55" s="42" t="s">
        <v>53</v>
      </c>
      <c r="C55" s="66">
        <f>C54</f>
        <v>1.3</v>
      </c>
      <c r="D55" s="66">
        <f>D53</f>
        <v>1.1000000000000001</v>
      </c>
      <c r="E55" s="43">
        <v>0.1</v>
      </c>
      <c r="F55" s="43">
        <f>F53</f>
        <v>3</v>
      </c>
      <c r="G55" s="66">
        <f>F55*E55*D55*C55</f>
        <v>0.4290000000000001</v>
      </c>
      <c r="H55" s="73" t="s">
        <v>51</v>
      </c>
      <c r="I55" s="94">
        <v>3535.97</v>
      </c>
      <c r="J55" s="95">
        <f>I55*G55</f>
        <v>1516.9311300000002</v>
      </c>
      <c r="K55" s="44"/>
    </row>
    <row r="56" spans="1:11" x14ac:dyDescent="0.25">
      <c r="A56" s="47"/>
      <c r="B56" s="42" t="s">
        <v>54</v>
      </c>
      <c r="C56" s="66">
        <v>1.3</v>
      </c>
      <c r="D56" s="66">
        <v>0.6</v>
      </c>
      <c r="E56" s="43">
        <v>0.6</v>
      </c>
      <c r="F56" s="43">
        <f>F53</f>
        <v>3</v>
      </c>
      <c r="G56" s="66">
        <f>F56*E56*D56*C56</f>
        <v>1.4039999999999999</v>
      </c>
      <c r="H56" s="73" t="s">
        <v>51</v>
      </c>
      <c r="I56" s="94"/>
      <c r="J56" s="95"/>
      <c r="K56" s="44"/>
    </row>
    <row r="57" spans="1:11" x14ac:dyDescent="0.25">
      <c r="A57" s="47"/>
      <c r="B57" s="42"/>
      <c r="C57" s="66"/>
      <c r="D57" s="66"/>
      <c r="E57" s="43"/>
      <c r="F57" s="43"/>
      <c r="G57" s="66">
        <f>G56</f>
        <v>1.4039999999999999</v>
      </c>
      <c r="H57" s="73" t="s">
        <v>51</v>
      </c>
      <c r="I57" s="94">
        <v>5329.43</v>
      </c>
      <c r="J57" s="95">
        <f>I57*G57</f>
        <v>7482.5197200000002</v>
      </c>
      <c r="K57" s="44"/>
    </row>
    <row r="58" spans="1:11" x14ac:dyDescent="0.25">
      <c r="A58" s="47"/>
      <c r="B58" s="42" t="s">
        <v>55</v>
      </c>
      <c r="C58" s="66">
        <f>G57</f>
        <v>1.4039999999999999</v>
      </c>
      <c r="D58" s="66"/>
      <c r="E58" s="43"/>
      <c r="F58" s="43">
        <v>8</v>
      </c>
      <c r="G58" s="66">
        <f>F58*C58</f>
        <v>11.231999999999999</v>
      </c>
      <c r="H58" s="73" t="s">
        <v>36</v>
      </c>
      <c r="I58" s="94">
        <f>I47</f>
        <v>66.42</v>
      </c>
      <c r="J58" s="95">
        <f t="shared" ref="J58:J62" si="7">I58*G58</f>
        <v>746.02944000000002</v>
      </c>
      <c r="K58" s="44"/>
    </row>
    <row r="59" spans="1:11" x14ac:dyDescent="0.25">
      <c r="A59" s="47"/>
      <c r="B59" s="42" t="s">
        <v>5</v>
      </c>
      <c r="C59" s="66">
        <f>G57</f>
        <v>1.4039999999999999</v>
      </c>
      <c r="D59" s="66"/>
      <c r="E59" s="43"/>
      <c r="F59" s="43">
        <v>125</v>
      </c>
      <c r="G59" s="66">
        <f>F59*C59</f>
        <v>175.5</v>
      </c>
      <c r="H59" s="73" t="s">
        <v>56</v>
      </c>
      <c r="I59" s="94">
        <f>I48</f>
        <v>718.4</v>
      </c>
      <c r="J59" s="95">
        <f t="shared" si="7"/>
        <v>126079.2</v>
      </c>
      <c r="K59" s="44"/>
    </row>
    <row r="60" spans="1:11" x14ac:dyDescent="0.25">
      <c r="A60" s="47"/>
      <c r="B60" s="42" t="s">
        <v>44</v>
      </c>
      <c r="C60" s="66">
        <f>G53-G54-G55-G56</f>
        <v>3.5163000000000002</v>
      </c>
      <c r="D60" s="66"/>
      <c r="E60" s="43"/>
      <c r="F60" s="43">
        <v>1</v>
      </c>
      <c r="G60" s="66">
        <f>F60*C60</f>
        <v>3.5163000000000002</v>
      </c>
      <c r="H60" s="73" t="s">
        <v>51</v>
      </c>
      <c r="I60" s="94">
        <f>I49</f>
        <v>125</v>
      </c>
      <c r="J60" s="95">
        <f t="shared" si="7"/>
        <v>439.53750000000002</v>
      </c>
      <c r="K60" s="44"/>
    </row>
    <row r="61" spans="1:11" x14ac:dyDescent="0.25">
      <c r="A61" s="47"/>
      <c r="B61" s="42" t="s">
        <v>57</v>
      </c>
      <c r="C61" s="66">
        <v>4</v>
      </c>
      <c r="D61" s="66"/>
      <c r="E61" s="43"/>
      <c r="F61" s="43">
        <v>1</v>
      </c>
      <c r="G61" s="66">
        <f>F61*C61</f>
        <v>4</v>
      </c>
      <c r="H61" s="73" t="s">
        <v>9</v>
      </c>
      <c r="I61" s="94">
        <v>400</v>
      </c>
      <c r="J61" s="95">
        <f t="shared" si="7"/>
        <v>1600</v>
      </c>
      <c r="K61" s="44"/>
    </row>
    <row r="62" spans="1:11" x14ac:dyDescent="0.25">
      <c r="A62" s="47"/>
      <c r="B62" s="42" t="s">
        <v>58</v>
      </c>
      <c r="C62" s="66">
        <v>0.1</v>
      </c>
      <c r="D62" s="66">
        <v>0.1</v>
      </c>
      <c r="E62" s="43">
        <v>0.3</v>
      </c>
      <c r="F62" s="43">
        <f>G61</f>
        <v>4</v>
      </c>
      <c r="G62" s="66">
        <f>C62*D62*E62*F62</f>
        <v>1.2000000000000002E-2</v>
      </c>
      <c r="H62" s="73" t="s">
        <v>51</v>
      </c>
      <c r="I62" s="94">
        <v>110053</v>
      </c>
      <c r="J62" s="95">
        <f t="shared" si="7"/>
        <v>1320.6360000000002</v>
      </c>
      <c r="K62" s="44"/>
    </row>
    <row r="63" spans="1:11" x14ac:dyDescent="0.25">
      <c r="A63" s="47"/>
      <c r="B63" s="48"/>
      <c r="C63" s="8"/>
      <c r="D63" s="8"/>
      <c r="E63" s="48"/>
      <c r="F63" s="48"/>
      <c r="G63" s="159"/>
      <c r="H63" s="159"/>
      <c r="I63" s="159"/>
      <c r="J63" s="68"/>
      <c r="K63" s="44"/>
    </row>
    <row r="64" spans="1:11" x14ac:dyDescent="0.25">
      <c r="A64" s="38" t="s">
        <v>96</v>
      </c>
      <c r="B64" s="46" t="s">
        <v>223</v>
      </c>
      <c r="C64" s="14"/>
      <c r="D64" s="14"/>
      <c r="E64" s="46"/>
      <c r="F64" s="46"/>
      <c r="G64" s="68"/>
      <c r="H64" s="78"/>
      <c r="I64" s="96"/>
      <c r="J64" s="68"/>
      <c r="K64" s="44"/>
    </row>
    <row r="65" spans="1:11" x14ac:dyDescent="0.25">
      <c r="A65" s="47">
        <v>1</v>
      </c>
      <c r="B65" s="48" t="s">
        <v>60</v>
      </c>
      <c r="C65" s="8"/>
      <c r="D65" s="8">
        <f>1.98+0.5+0.5</f>
        <v>2.98</v>
      </c>
      <c r="E65" s="48">
        <f>D65</f>
        <v>2.98</v>
      </c>
      <c r="F65" s="48">
        <f>0.7+0.05+0.23</f>
        <v>0.98</v>
      </c>
      <c r="G65" s="69">
        <f>D65*E65*F65</f>
        <v>8.7027920000000005</v>
      </c>
      <c r="H65" s="75" t="s">
        <v>51</v>
      </c>
      <c r="I65" s="97">
        <v>315.89</v>
      </c>
      <c r="J65" s="69">
        <f>G65*I65</f>
        <v>2749.1249648799999</v>
      </c>
      <c r="K65" s="44"/>
    </row>
    <row r="66" spans="1:11" x14ac:dyDescent="0.25">
      <c r="A66" s="47">
        <v>2</v>
      </c>
      <c r="B66" s="48" t="s">
        <v>61</v>
      </c>
      <c r="C66" s="8"/>
      <c r="D66" s="8"/>
      <c r="E66" s="48"/>
      <c r="F66" s="48"/>
      <c r="G66" s="69">
        <f>G65</f>
        <v>8.7027920000000005</v>
      </c>
      <c r="H66" s="75" t="s">
        <v>51</v>
      </c>
      <c r="I66" s="97">
        <v>100</v>
      </c>
      <c r="J66" s="69">
        <f t="shared" ref="J66:J70" si="8">G66*I66</f>
        <v>870.27920000000006</v>
      </c>
      <c r="K66" s="44"/>
    </row>
    <row r="67" spans="1:11" x14ac:dyDescent="0.25">
      <c r="A67" s="47">
        <v>3</v>
      </c>
      <c r="B67" s="48" t="s">
        <v>62</v>
      </c>
      <c r="C67" s="8"/>
      <c r="D67" s="8">
        <v>3.14</v>
      </c>
      <c r="E67" s="48">
        <f>1.8*1.8</f>
        <v>3.24</v>
      </c>
      <c r="F67" s="48">
        <v>1</v>
      </c>
      <c r="G67" s="69">
        <f>D67*E67*F67</f>
        <v>10.1736</v>
      </c>
      <c r="H67" s="75" t="s">
        <v>51</v>
      </c>
      <c r="I67" s="97">
        <v>5329.43</v>
      </c>
      <c r="J67" s="69">
        <f t="shared" si="8"/>
        <v>54219.489048000003</v>
      </c>
      <c r="K67" s="44"/>
    </row>
    <row r="68" spans="1:11" x14ac:dyDescent="0.25">
      <c r="A68" s="47">
        <v>4</v>
      </c>
      <c r="B68" s="48" t="s">
        <v>72</v>
      </c>
      <c r="C68" s="8"/>
      <c r="D68" s="8">
        <v>3.14</v>
      </c>
      <c r="E68" s="48">
        <f>D65</f>
        <v>2.98</v>
      </c>
      <c r="F68" s="48">
        <v>0.1</v>
      </c>
      <c r="G68" s="69">
        <f>D68*E68*F68</f>
        <v>0.93572000000000011</v>
      </c>
      <c r="H68" s="75" t="s">
        <v>51</v>
      </c>
      <c r="I68" s="97">
        <v>927.3</v>
      </c>
      <c r="J68" s="69">
        <f t="shared" si="8"/>
        <v>867.69315600000004</v>
      </c>
      <c r="K68" s="44"/>
    </row>
    <row r="69" spans="1:11" x14ac:dyDescent="0.25">
      <c r="A69" s="47">
        <v>5</v>
      </c>
      <c r="B69" s="48" t="s">
        <v>63</v>
      </c>
      <c r="C69" s="8"/>
      <c r="D69" s="8"/>
      <c r="E69" s="48">
        <f>G67</f>
        <v>10.1736</v>
      </c>
      <c r="F69" s="48">
        <v>100</v>
      </c>
      <c r="G69" s="69">
        <f>E69*F69</f>
        <v>1017.36</v>
      </c>
      <c r="H69" s="75" t="s">
        <v>56</v>
      </c>
      <c r="I69" s="97">
        <v>66.42</v>
      </c>
      <c r="J69" s="70">
        <f t="shared" si="8"/>
        <v>67573.051200000002</v>
      </c>
      <c r="K69" s="44"/>
    </row>
    <row r="70" spans="1:11" x14ac:dyDescent="0.25">
      <c r="A70" s="47">
        <v>6</v>
      </c>
      <c r="B70" s="48" t="s">
        <v>64</v>
      </c>
      <c r="C70" s="8"/>
      <c r="D70" s="8">
        <v>1</v>
      </c>
      <c r="E70" s="48">
        <f>3.14*D65</f>
        <v>9.3572000000000006</v>
      </c>
      <c r="F70" s="48">
        <v>1.5</v>
      </c>
      <c r="G70" s="69">
        <f>D70*E70*F70</f>
        <v>14.035800000000002</v>
      </c>
      <c r="H70" s="75" t="s">
        <v>36</v>
      </c>
      <c r="I70" s="97">
        <v>718.4</v>
      </c>
      <c r="J70" s="69">
        <f t="shared" si="8"/>
        <v>10083.318720000001</v>
      </c>
      <c r="K70" s="44"/>
    </row>
    <row r="71" spans="1:11" x14ac:dyDescent="0.25">
      <c r="A71" s="47">
        <v>7</v>
      </c>
      <c r="B71" s="48" t="s">
        <v>65</v>
      </c>
      <c r="C71" s="8"/>
      <c r="D71" s="8">
        <f>(3.14*1.98)/0.3</f>
        <v>20.724</v>
      </c>
      <c r="E71" s="48">
        <v>16</v>
      </c>
      <c r="F71" s="48"/>
      <c r="G71" s="69">
        <f>D71*E71</f>
        <v>331.584</v>
      </c>
      <c r="H71" s="75" t="s">
        <v>56</v>
      </c>
      <c r="I71" s="97">
        <v>125</v>
      </c>
      <c r="J71" s="69">
        <f>G71*I71</f>
        <v>41448</v>
      </c>
      <c r="K71" s="44"/>
    </row>
    <row r="72" spans="1:11" x14ac:dyDescent="0.25">
      <c r="A72" s="47">
        <v>8</v>
      </c>
      <c r="B72" s="48" t="s">
        <v>73</v>
      </c>
      <c r="C72" s="8">
        <v>1</v>
      </c>
      <c r="D72" s="8">
        <f>D65</f>
        <v>2.98</v>
      </c>
      <c r="E72" s="48">
        <f>E65</f>
        <v>2.98</v>
      </c>
      <c r="F72" s="48">
        <v>0.05</v>
      </c>
      <c r="G72" s="69">
        <f>C72*D72*E72*F72</f>
        <v>0.44402000000000003</v>
      </c>
      <c r="H72" s="75" t="s">
        <v>12</v>
      </c>
      <c r="I72" s="97">
        <v>3535.97</v>
      </c>
      <c r="J72" s="69">
        <f>G72*I72</f>
        <v>1570.0413994</v>
      </c>
      <c r="K72" s="44"/>
    </row>
    <row r="73" spans="1:11" x14ac:dyDescent="0.25">
      <c r="A73" s="47"/>
      <c r="B73" s="48"/>
      <c r="C73" s="8"/>
      <c r="D73" s="8"/>
      <c r="E73" s="48"/>
      <c r="F73" s="48"/>
      <c r="G73" s="332" t="s">
        <v>66</v>
      </c>
      <c r="H73" s="332"/>
      <c r="I73" s="332"/>
      <c r="J73" s="68"/>
      <c r="K73" s="44"/>
    </row>
    <row r="74" spans="1:11" x14ac:dyDescent="0.25">
      <c r="A74" s="38" t="s">
        <v>96</v>
      </c>
      <c r="B74" s="46" t="s">
        <v>224</v>
      </c>
      <c r="C74" s="14"/>
      <c r="D74" s="14"/>
      <c r="E74" s="46"/>
      <c r="F74" s="46"/>
      <c r="G74" s="68"/>
      <c r="H74" s="78"/>
      <c r="I74" s="96"/>
      <c r="J74" s="68"/>
      <c r="K74" s="44"/>
    </row>
    <row r="75" spans="1:11" x14ac:dyDescent="0.25">
      <c r="A75" s="47"/>
      <c r="B75" s="42" t="s">
        <v>50</v>
      </c>
      <c r="C75" s="66">
        <f>C78+0.6</f>
        <v>2.1</v>
      </c>
      <c r="D75" s="66">
        <f>D78+0.6</f>
        <v>1.7000000000000002</v>
      </c>
      <c r="E75" s="43">
        <f>E78+E77+E76</f>
        <v>0.92999999999999994</v>
      </c>
      <c r="F75" s="43">
        <v>1</v>
      </c>
      <c r="G75" s="66">
        <f>F75*E75*D75*C75</f>
        <v>3.3201000000000001</v>
      </c>
      <c r="H75" s="73" t="s">
        <v>51</v>
      </c>
      <c r="I75" s="94">
        <v>315.89</v>
      </c>
      <c r="J75" s="95">
        <f>I75*G75</f>
        <v>1048.7863889999999</v>
      </c>
      <c r="K75" s="44"/>
    </row>
    <row r="76" spans="1:11" x14ac:dyDescent="0.25">
      <c r="A76" s="47"/>
      <c r="B76" s="42" t="s">
        <v>13</v>
      </c>
      <c r="C76" s="66">
        <v>1.3</v>
      </c>
      <c r="D76" s="66">
        <f>D75</f>
        <v>1.7000000000000002</v>
      </c>
      <c r="E76" s="43">
        <v>0.23</v>
      </c>
      <c r="F76" s="43">
        <f>F75</f>
        <v>1</v>
      </c>
      <c r="G76" s="66">
        <f>F76*E76*D76*C76</f>
        <v>0.50830000000000009</v>
      </c>
      <c r="H76" s="73" t="s">
        <v>51</v>
      </c>
      <c r="I76" s="94">
        <v>950</v>
      </c>
      <c r="J76" s="95">
        <f>I76*G76</f>
        <v>482.8850000000001</v>
      </c>
      <c r="K76" s="44"/>
    </row>
    <row r="77" spans="1:11" x14ac:dyDescent="0.25">
      <c r="A77" s="47"/>
      <c r="B77" s="42" t="s">
        <v>53</v>
      </c>
      <c r="C77" s="66">
        <f>C76</f>
        <v>1.3</v>
      </c>
      <c r="D77" s="66">
        <f>D75</f>
        <v>1.7000000000000002</v>
      </c>
      <c r="E77" s="43">
        <v>0.1</v>
      </c>
      <c r="F77" s="43">
        <f>F75</f>
        <v>1</v>
      </c>
      <c r="G77" s="66">
        <f>F77*E77*D77*C77</f>
        <v>0.22100000000000006</v>
      </c>
      <c r="H77" s="73" t="s">
        <v>51</v>
      </c>
      <c r="I77" s="94">
        <v>3535.97</v>
      </c>
      <c r="J77" s="95">
        <f>I77*G77</f>
        <v>781.44937000000016</v>
      </c>
      <c r="K77" s="44"/>
    </row>
    <row r="78" spans="1:11" x14ac:dyDescent="0.25">
      <c r="A78" s="47"/>
      <c r="B78" s="42" t="s">
        <v>54</v>
      </c>
      <c r="C78" s="66">
        <v>1.5</v>
      </c>
      <c r="D78" s="66">
        <v>1.1000000000000001</v>
      </c>
      <c r="E78" s="43">
        <v>0.6</v>
      </c>
      <c r="F78" s="43">
        <f>F75</f>
        <v>1</v>
      </c>
      <c r="G78" s="66">
        <f>F78*E78*D78*C78</f>
        <v>0.99</v>
      </c>
      <c r="H78" s="73" t="s">
        <v>51</v>
      </c>
      <c r="I78" s="94"/>
      <c r="J78" s="95"/>
      <c r="K78" s="44"/>
    </row>
    <row r="79" spans="1:11" x14ac:dyDescent="0.25">
      <c r="A79" s="47"/>
      <c r="B79" s="42"/>
      <c r="C79" s="66"/>
      <c r="D79" s="66"/>
      <c r="E79" s="43"/>
      <c r="F79" s="43"/>
      <c r="G79" s="66">
        <f>G78</f>
        <v>0.99</v>
      </c>
      <c r="H79" s="73" t="s">
        <v>51</v>
      </c>
      <c r="I79" s="94">
        <v>5329.43</v>
      </c>
      <c r="J79" s="95">
        <f>I79*G79</f>
        <v>5276.1356999999998</v>
      </c>
      <c r="K79" s="44"/>
    </row>
    <row r="80" spans="1:11" x14ac:dyDescent="0.25">
      <c r="A80" s="47"/>
      <c r="B80" s="42" t="s">
        <v>55</v>
      </c>
      <c r="C80" s="66">
        <f>G79</f>
        <v>0.99</v>
      </c>
      <c r="D80" s="66"/>
      <c r="E80" s="43"/>
      <c r="F80" s="43">
        <v>8</v>
      </c>
      <c r="G80" s="66">
        <f>F80*C80</f>
        <v>7.92</v>
      </c>
      <c r="H80" s="73" t="s">
        <v>36</v>
      </c>
      <c r="I80" s="94">
        <v>718.4</v>
      </c>
      <c r="J80" s="95">
        <f t="shared" ref="J80:J84" si="9">I80*G80</f>
        <v>5689.7280000000001</v>
      </c>
      <c r="K80" s="44"/>
    </row>
    <row r="81" spans="1:11" x14ac:dyDescent="0.25">
      <c r="A81" s="47"/>
      <c r="B81" s="42" t="s">
        <v>5</v>
      </c>
      <c r="C81" s="66">
        <f>G79</f>
        <v>0.99</v>
      </c>
      <c r="D81" s="66"/>
      <c r="E81" s="43"/>
      <c r="F81" s="43">
        <v>125</v>
      </c>
      <c r="G81" s="66">
        <f>F81*C81</f>
        <v>123.75</v>
      </c>
      <c r="H81" s="73" t="s">
        <v>56</v>
      </c>
      <c r="I81" s="94">
        <v>66.42</v>
      </c>
      <c r="J81" s="95">
        <f t="shared" si="9"/>
        <v>8219.4750000000004</v>
      </c>
      <c r="K81" s="44"/>
    </row>
    <row r="82" spans="1:11" x14ac:dyDescent="0.25">
      <c r="A82" s="47"/>
      <c r="B82" s="42" t="s">
        <v>44</v>
      </c>
      <c r="C82" s="66">
        <f>G75-G76-G77-G78</f>
        <v>1.6007999999999998</v>
      </c>
      <c r="D82" s="66"/>
      <c r="E82" s="43"/>
      <c r="F82" s="43">
        <v>1</v>
      </c>
      <c r="G82" s="66">
        <f>F82*C82</f>
        <v>1.6007999999999998</v>
      </c>
      <c r="H82" s="73" t="s">
        <v>51</v>
      </c>
      <c r="I82" s="94">
        <f>I71</f>
        <v>125</v>
      </c>
      <c r="J82" s="95">
        <f t="shared" si="9"/>
        <v>200.09999999999997</v>
      </c>
      <c r="K82" s="44"/>
    </row>
    <row r="83" spans="1:11" x14ac:dyDescent="0.25">
      <c r="A83" s="47"/>
      <c r="B83" s="42" t="s">
        <v>57</v>
      </c>
      <c r="C83" s="66">
        <v>4</v>
      </c>
      <c r="D83" s="66"/>
      <c r="E83" s="43"/>
      <c r="F83" s="43">
        <v>1</v>
      </c>
      <c r="G83" s="66">
        <f>F83*C83</f>
        <v>4</v>
      </c>
      <c r="H83" s="73" t="s">
        <v>9</v>
      </c>
      <c r="I83" s="94">
        <v>400</v>
      </c>
      <c r="J83" s="95">
        <f t="shared" si="9"/>
        <v>1600</v>
      </c>
      <c r="K83" s="44"/>
    </row>
    <row r="84" spans="1:11" x14ac:dyDescent="0.25">
      <c r="A84" s="47"/>
      <c r="B84" s="42" t="s">
        <v>58</v>
      </c>
      <c r="C84" s="66">
        <v>0.1</v>
      </c>
      <c r="D84" s="66">
        <v>0.1</v>
      </c>
      <c r="E84" s="43">
        <v>0.3</v>
      </c>
      <c r="F84" s="43">
        <f>G83</f>
        <v>4</v>
      </c>
      <c r="G84" s="66">
        <f>C84*D84*E84*F84</f>
        <v>1.2000000000000002E-2</v>
      </c>
      <c r="H84" s="73" t="s">
        <v>51</v>
      </c>
      <c r="I84" s="94">
        <v>110053</v>
      </c>
      <c r="J84" s="95">
        <f t="shared" si="9"/>
        <v>1320.6360000000002</v>
      </c>
      <c r="K84" s="44"/>
    </row>
    <row r="85" spans="1:11" x14ac:dyDescent="0.25">
      <c r="A85" s="47"/>
      <c r="B85" s="48"/>
      <c r="C85" s="8"/>
      <c r="D85" s="8"/>
      <c r="E85" s="48"/>
      <c r="F85" s="48"/>
      <c r="G85" s="159"/>
      <c r="H85" s="159"/>
      <c r="I85" s="159"/>
      <c r="J85" s="68"/>
      <c r="K85" s="44"/>
    </row>
    <row r="86" spans="1:11" x14ac:dyDescent="0.25">
      <c r="A86" s="38" t="s">
        <v>96</v>
      </c>
      <c r="B86" s="46" t="s">
        <v>225</v>
      </c>
      <c r="C86" s="14"/>
      <c r="D86" s="14"/>
      <c r="E86" s="46"/>
      <c r="F86" s="46"/>
      <c r="G86" s="68"/>
      <c r="H86" s="78"/>
      <c r="I86" s="96"/>
      <c r="J86" s="68"/>
      <c r="K86" s="44"/>
    </row>
    <row r="87" spans="1:11" x14ac:dyDescent="0.25">
      <c r="A87" s="47"/>
      <c r="B87" s="42" t="s">
        <v>50</v>
      </c>
      <c r="C87" s="66">
        <f>C90+0.6</f>
        <v>2.1</v>
      </c>
      <c r="D87" s="66">
        <f>D90+0.6</f>
        <v>1.7000000000000002</v>
      </c>
      <c r="E87" s="43">
        <f>E90+E89+E88</f>
        <v>0.92999999999999994</v>
      </c>
      <c r="F87" s="43">
        <v>1</v>
      </c>
      <c r="G87" s="66">
        <f>F87*E87*D87*C87</f>
        <v>3.3201000000000001</v>
      </c>
      <c r="H87" s="73" t="s">
        <v>51</v>
      </c>
      <c r="I87" s="94">
        <f>I75</f>
        <v>315.89</v>
      </c>
      <c r="J87" s="95">
        <f>I87*G87</f>
        <v>1048.7863889999999</v>
      </c>
      <c r="K87" s="44"/>
    </row>
    <row r="88" spans="1:11" x14ac:dyDescent="0.25">
      <c r="A88" s="47"/>
      <c r="B88" s="42" t="s">
        <v>13</v>
      </c>
      <c r="C88" s="66">
        <v>1.3</v>
      </c>
      <c r="D88" s="66">
        <f>D87</f>
        <v>1.7000000000000002</v>
      </c>
      <c r="E88" s="43">
        <v>0.23</v>
      </c>
      <c r="F88" s="43">
        <f>F87</f>
        <v>1</v>
      </c>
      <c r="G88" s="66">
        <f>F88*E88*D88*C88</f>
        <v>0.50830000000000009</v>
      </c>
      <c r="H88" s="73" t="s">
        <v>51</v>
      </c>
      <c r="I88" s="94">
        <v>950</v>
      </c>
      <c r="J88" s="95">
        <f>I88*G88</f>
        <v>482.8850000000001</v>
      </c>
      <c r="K88" s="44"/>
    </row>
    <row r="89" spans="1:11" x14ac:dyDescent="0.25">
      <c r="A89" s="47"/>
      <c r="B89" s="42" t="s">
        <v>53</v>
      </c>
      <c r="C89" s="66">
        <f>C88</f>
        <v>1.3</v>
      </c>
      <c r="D89" s="66">
        <f>D87</f>
        <v>1.7000000000000002</v>
      </c>
      <c r="E89" s="43">
        <v>0.1</v>
      </c>
      <c r="F89" s="43">
        <f>F87</f>
        <v>1</v>
      </c>
      <c r="G89" s="66">
        <f>F89*E89*D89*C89</f>
        <v>0.22100000000000006</v>
      </c>
      <c r="H89" s="73" t="s">
        <v>51</v>
      </c>
      <c r="I89" s="94">
        <v>3535.97</v>
      </c>
      <c r="J89" s="95">
        <f>I89*G89</f>
        <v>781.44937000000016</v>
      </c>
      <c r="K89" s="44"/>
    </row>
    <row r="90" spans="1:11" x14ac:dyDescent="0.25">
      <c r="A90" s="47"/>
      <c r="B90" s="42" t="s">
        <v>54</v>
      </c>
      <c r="C90" s="66">
        <v>1.5</v>
      </c>
      <c r="D90" s="66">
        <v>1.1000000000000001</v>
      </c>
      <c r="E90" s="43">
        <v>0.6</v>
      </c>
      <c r="F90" s="43">
        <f>F87</f>
        <v>1</v>
      </c>
      <c r="G90" s="66">
        <f>F90*E90*D90*C90</f>
        <v>0.99</v>
      </c>
      <c r="H90" s="73" t="s">
        <v>51</v>
      </c>
      <c r="I90" s="94"/>
      <c r="J90" s="95"/>
      <c r="K90" s="44"/>
    </row>
    <row r="91" spans="1:11" x14ac:dyDescent="0.25">
      <c r="A91" s="47"/>
      <c r="B91" s="42"/>
      <c r="C91" s="66"/>
      <c r="D91" s="66"/>
      <c r="E91" s="43"/>
      <c r="F91" s="43"/>
      <c r="G91" s="66">
        <f>G90</f>
        <v>0.99</v>
      </c>
      <c r="H91" s="73" t="s">
        <v>51</v>
      </c>
      <c r="I91" s="94">
        <v>5329.43</v>
      </c>
      <c r="J91" s="95">
        <f>I91*G91</f>
        <v>5276.1356999999998</v>
      </c>
      <c r="K91" s="44"/>
    </row>
    <row r="92" spans="1:11" x14ac:dyDescent="0.25">
      <c r="A92" s="47"/>
      <c r="B92" s="42" t="s">
        <v>55</v>
      </c>
      <c r="C92" s="66">
        <f>G91</f>
        <v>0.99</v>
      </c>
      <c r="D92" s="66"/>
      <c r="E92" s="43"/>
      <c r="F92" s="43">
        <v>8</v>
      </c>
      <c r="G92" s="66">
        <f>F92*C92</f>
        <v>7.92</v>
      </c>
      <c r="H92" s="73" t="s">
        <v>36</v>
      </c>
      <c r="I92" s="94">
        <v>718.4</v>
      </c>
      <c r="J92" s="95">
        <f t="shared" ref="J92:J96" si="10">I92*G92</f>
        <v>5689.7280000000001</v>
      </c>
      <c r="K92" s="44"/>
    </row>
    <row r="93" spans="1:11" x14ac:dyDescent="0.25">
      <c r="A93" s="47"/>
      <c r="B93" s="42" t="s">
        <v>5</v>
      </c>
      <c r="C93" s="66">
        <f>G91</f>
        <v>0.99</v>
      </c>
      <c r="D93" s="66"/>
      <c r="E93" s="43"/>
      <c r="F93" s="43">
        <v>125</v>
      </c>
      <c r="G93" s="66">
        <f>F93*C93</f>
        <v>123.75</v>
      </c>
      <c r="H93" s="73" t="s">
        <v>56</v>
      </c>
      <c r="I93" s="94">
        <v>66.42</v>
      </c>
      <c r="J93" s="95">
        <f t="shared" si="10"/>
        <v>8219.4750000000004</v>
      </c>
      <c r="K93" s="44"/>
    </row>
    <row r="94" spans="1:11" x14ac:dyDescent="0.25">
      <c r="A94" s="47"/>
      <c r="B94" s="42" t="s">
        <v>44</v>
      </c>
      <c r="C94" s="66">
        <f>G87-G88-G89-G90</f>
        <v>1.6007999999999998</v>
      </c>
      <c r="D94" s="66"/>
      <c r="E94" s="43"/>
      <c r="F94" s="43">
        <v>1</v>
      </c>
      <c r="G94" s="66">
        <f>F94*C94</f>
        <v>1.6007999999999998</v>
      </c>
      <c r="H94" s="73" t="s">
        <v>51</v>
      </c>
      <c r="I94" s="94">
        <v>183.42</v>
      </c>
      <c r="J94" s="95">
        <f t="shared" si="10"/>
        <v>293.61873599999996</v>
      </c>
      <c r="K94" s="44"/>
    </row>
    <row r="95" spans="1:11" x14ac:dyDescent="0.25">
      <c r="A95" s="47"/>
      <c r="B95" s="42" t="s">
        <v>57</v>
      </c>
      <c r="C95" s="66">
        <v>4</v>
      </c>
      <c r="D95" s="66"/>
      <c r="E95" s="43"/>
      <c r="F95" s="43">
        <v>1</v>
      </c>
      <c r="G95" s="66">
        <f>F95*C95</f>
        <v>4</v>
      </c>
      <c r="H95" s="73" t="s">
        <v>9</v>
      </c>
      <c r="I95" s="94">
        <v>400</v>
      </c>
      <c r="J95" s="95">
        <f t="shared" si="10"/>
        <v>1600</v>
      </c>
      <c r="K95" s="44"/>
    </row>
    <row r="96" spans="1:11" x14ac:dyDescent="0.25">
      <c r="A96" s="47"/>
      <c r="B96" s="42" t="s">
        <v>58</v>
      </c>
      <c r="C96" s="66">
        <v>0.1</v>
      </c>
      <c r="D96" s="66">
        <v>0.1</v>
      </c>
      <c r="E96" s="43">
        <v>0.3</v>
      </c>
      <c r="F96" s="43">
        <f>G95</f>
        <v>4</v>
      </c>
      <c r="G96" s="66">
        <f>C96*D96*E96*F96</f>
        <v>1.2000000000000002E-2</v>
      </c>
      <c r="H96" s="73" t="s">
        <v>51</v>
      </c>
      <c r="I96" s="94">
        <v>110053</v>
      </c>
      <c r="J96" s="95">
        <f t="shared" si="10"/>
        <v>1320.6360000000002</v>
      </c>
      <c r="K96" s="44"/>
    </row>
    <row r="97" spans="1:11" x14ac:dyDescent="0.25">
      <c r="A97" s="47"/>
      <c r="B97" s="48"/>
      <c r="C97" s="8"/>
      <c r="D97" s="8"/>
      <c r="E97" s="48"/>
      <c r="F97" s="48"/>
      <c r="G97" s="159"/>
      <c r="H97" s="159"/>
      <c r="I97" s="159"/>
      <c r="J97" s="68"/>
      <c r="K97" s="44"/>
    </row>
    <row r="98" spans="1:11" x14ac:dyDescent="0.25">
      <c r="A98" s="47"/>
      <c r="B98" s="46" t="s">
        <v>226</v>
      </c>
      <c r="C98" s="14"/>
      <c r="D98" s="14"/>
      <c r="E98" s="46"/>
      <c r="F98" s="46"/>
      <c r="G98" s="68"/>
      <c r="H98" s="78"/>
      <c r="I98" s="96"/>
      <c r="J98" s="68"/>
      <c r="K98" s="44"/>
    </row>
    <row r="99" spans="1:11" x14ac:dyDescent="0.25">
      <c r="A99" s="47"/>
      <c r="B99" s="42" t="s">
        <v>50</v>
      </c>
      <c r="C99" s="66">
        <f>C102+0.6</f>
        <v>2.2200000000000002</v>
      </c>
      <c r="D99" s="66">
        <f>D102+0.6</f>
        <v>1.7599999999999998</v>
      </c>
      <c r="E99" s="43">
        <f>E102+E101+E100</f>
        <v>0.92999999999999994</v>
      </c>
      <c r="F99" s="43">
        <v>2</v>
      </c>
      <c r="G99" s="66">
        <f>F99*E99*D99*C99</f>
        <v>7.2673919999999992</v>
      </c>
      <c r="H99" s="73" t="s">
        <v>51</v>
      </c>
      <c r="I99" s="94">
        <f>I87</f>
        <v>315.89</v>
      </c>
      <c r="J99" s="95">
        <f>I99*G99</f>
        <v>2295.6964588799997</v>
      </c>
      <c r="K99" s="44"/>
    </row>
    <row r="100" spans="1:11" x14ac:dyDescent="0.25">
      <c r="A100" s="47"/>
      <c r="B100" s="42" t="s">
        <v>13</v>
      </c>
      <c r="C100" s="66">
        <v>1.3</v>
      </c>
      <c r="D100" s="66">
        <f>D99</f>
        <v>1.7599999999999998</v>
      </c>
      <c r="E100" s="43">
        <v>0.23</v>
      </c>
      <c r="F100" s="43">
        <f>F99</f>
        <v>2</v>
      </c>
      <c r="G100" s="66">
        <f>F100*E100*D100*C100</f>
        <v>1.0524800000000001</v>
      </c>
      <c r="H100" s="73" t="s">
        <v>51</v>
      </c>
      <c r="I100" s="94">
        <v>950</v>
      </c>
      <c r="J100" s="95">
        <f>I100*G100</f>
        <v>999.85600000000011</v>
      </c>
      <c r="K100" s="44"/>
    </row>
    <row r="101" spans="1:11" x14ac:dyDescent="0.25">
      <c r="A101" s="47"/>
      <c r="B101" s="42" t="s">
        <v>53</v>
      </c>
      <c r="C101" s="66">
        <f>C100</f>
        <v>1.3</v>
      </c>
      <c r="D101" s="66">
        <f>D99</f>
        <v>1.7599999999999998</v>
      </c>
      <c r="E101" s="43">
        <v>0.1</v>
      </c>
      <c r="F101" s="43">
        <f>F99</f>
        <v>2</v>
      </c>
      <c r="G101" s="66">
        <f>F101*E101*D101*C101</f>
        <v>0.45760000000000001</v>
      </c>
      <c r="H101" s="73" t="s">
        <v>51</v>
      </c>
      <c r="I101" s="94">
        <v>3535.97</v>
      </c>
      <c r="J101" s="95">
        <f>I101*G101</f>
        <v>1618.059872</v>
      </c>
      <c r="K101" s="44"/>
    </row>
    <row r="102" spans="1:11" x14ac:dyDescent="0.25">
      <c r="A102" s="47"/>
      <c r="B102" s="42" t="s">
        <v>54</v>
      </c>
      <c r="C102" s="66">
        <v>1.62</v>
      </c>
      <c r="D102" s="66">
        <v>1.1599999999999999</v>
      </c>
      <c r="E102" s="43">
        <v>0.6</v>
      </c>
      <c r="F102" s="43">
        <f>F99</f>
        <v>2</v>
      </c>
      <c r="G102" s="66">
        <f>F102*E102*D102*C102</f>
        <v>2.2550400000000002</v>
      </c>
      <c r="H102" s="73" t="s">
        <v>51</v>
      </c>
      <c r="I102" s="94"/>
      <c r="J102" s="95"/>
      <c r="K102" s="44"/>
    </row>
    <row r="103" spans="1:11" x14ac:dyDescent="0.25">
      <c r="A103" s="47"/>
      <c r="B103" s="42"/>
      <c r="C103" s="66"/>
      <c r="D103" s="66"/>
      <c r="E103" s="43"/>
      <c r="F103" s="43"/>
      <c r="G103" s="66">
        <f>G102</f>
        <v>2.2550400000000002</v>
      </c>
      <c r="H103" s="73" t="s">
        <v>51</v>
      </c>
      <c r="I103" s="94">
        <v>5329.43</v>
      </c>
      <c r="J103" s="95">
        <f>I103*G103</f>
        <v>12018.077827200001</v>
      </c>
      <c r="K103" s="44"/>
    </row>
    <row r="104" spans="1:11" x14ac:dyDescent="0.25">
      <c r="A104" s="47"/>
      <c r="B104" s="42" t="s">
        <v>55</v>
      </c>
      <c r="C104" s="66">
        <f>G103</f>
        <v>2.2550400000000002</v>
      </c>
      <c r="D104" s="66"/>
      <c r="E104" s="43"/>
      <c r="F104" s="43">
        <v>8</v>
      </c>
      <c r="G104" s="66">
        <f>F104*C104</f>
        <v>18.040320000000001</v>
      </c>
      <c r="H104" s="73" t="s">
        <v>36</v>
      </c>
      <c r="I104" s="94">
        <v>718.4</v>
      </c>
      <c r="J104" s="95">
        <f t="shared" ref="J104:J108" si="11">I104*G104</f>
        <v>12960.165888000001</v>
      </c>
      <c r="K104" s="44"/>
    </row>
    <row r="105" spans="1:11" x14ac:dyDescent="0.25">
      <c r="A105" s="47"/>
      <c r="B105" s="42" t="s">
        <v>5</v>
      </c>
      <c r="C105" s="66">
        <f>G103</f>
        <v>2.2550400000000002</v>
      </c>
      <c r="D105" s="66"/>
      <c r="E105" s="43"/>
      <c r="F105" s="43">
        <v>125</v>
      </c>
      <c r="G105" s="66">
        <f>F105*C105</f>
        <v>281.88</v>
      </c>
      <c r="H105" s="73" t="s">
        <v>56</v>
      </c>
      <c r="I105" s="94">
        <v>66.42</v>
      </c>
      <c r="J105" s="95">
        <f t="shared" si="11"/>
        <v>18722.4696</v>
      </c>
      <c r="K105" s="44"/>
    </row>
    <row r="106" spans="1:11" x14ac:dyDescent="0.25">
      <c r="A106" s="47"/>
      <c r="B106" s="42" t="s">
        <v>44</v>
      </c>
      <c r="C106" s="66">
        <f>G99-G100-G101-G102</f>
        <v>3.5022719999999987</v>
      </c>
      <c r="D106" s="66"/>
      <c r="E106" s="43"/>
      <c r="F106" s="43">
        <v>1</v>
      </c>
      <c r="G106" s="66">
        <f>F106*C106</f>
        <v>3.5022719999999987</v>
      </c>
      <c r="H106" s="73" t="s">
        <v>51</v>
      </c>
      <c r="I106" s="94">
        <v>183.42</v>
      </c>
      <c r="J106" s="95">
        <f t="shared" si="11"/>
        <v>642.38673023999968</v>
      </c>
      <c r="K106" s="44"/>
    </row>
    <row r="107" spans="1:11" x14ac:dyDescent="0.25">
      <c r="A107" s="47"/>
      <c r="B107" s="42" t="s">
        <v>57</v>
      </c>
      <c r="C107" s="66">
        <v>4</v>
      </c>
      <c r="D107" s="66"/>
      <c r="E107" s="43"/>
      <c r="F107" s="43">
        <v>1</v>
      </c>
      <c r="G107" s="66">
        <f>F107*C107</f>
        <v>4</v>
      </c>
      <c r="H107" s="73" t="s">
        <v>9</v>
      </c>
      <c r="I107" s="94">
        <v>400</v>
      </c>
      <c r="J107" s="95">
        <f t="shared" si="11"/>
        <v>1600</v>
      </c>
      <c r="K107" s="44"/>
    </row>
    <row r="108" spans="1:11" x14ac:dyDescent="0.25">
      <c r="A108" s="47"/>
      <c r="B108" s="42" t="s">
        <v>58</v>
      </c>
      <c r="C108" s="66">
        <v>0.1</v>
      </c>
      <c r="D108" s="66">
        <v>0.1</v>
      </c>
      <c r="E108" s="43">
        <v>0.3</v>
      </c>
      <c r="F108" s="43">
        <f>G107</f>
        <v>4</v>
      </c>
      <c r="G108" s="66">
        <f>C108*D108*E108*F108</f>
        <v>1.2000000000000002E-2</v>
      </c>
      <c r="H108" s="73" t="s">
        <v>51</v>
      </c>
      <c r="I108" s="94">
        <v>110053</v>
      </c>
      <c r="J108" s="95">
        <f t="shared" si="11"/>
        <v>1320.6360000000002</v>
      </c>
      <c r="K108" s="44"/>
    </row>
    <row r="109" spans="1:11" x14ac:dyDescent="0.25">
      <c r="A109" s="47"/>
      <c r="B109" s="46" t="s">
        <v>227</v>
      </c>
      <c r="C109" s="14"/>
      <c r="D109" s="14"/>
      <c r="E109" s="46"/>
      <c r="F109" s="46"/>
      <c r="G109" s="68"/>
      <c r="H109" s="78"/>
      <c r="I109" s="96"/>
      <c r="J109" s="68"/>
      <c r="K109" s="44"/>
    </row>
    <row r="110" spans="1:11" x14ac:dyDescent="0.25">
      <c r="A110" s="47"/>
      <c r="B110" s="42" t="s">
        <v>50</v>
      </c>
      <c r="C110" s="66">
        <f>C113+0.6</f>
        <v>2.2799999999999998</v>
      </c>
      <c r="D110" s="66">
        <f>D113+0.6</f>
        <v>1.85</v>
      </c>
      <c r="E110" s="43">
        <f>E113+E112+E111</f>
        <v>0.83</v>
      </c>
      <c r="F110" s="43">
        <v>1</v>
      </c>
      <c r="G110" s="66">
        <f>F110*E110*D110*C110</f>
        <v>3.5009399999999999</v>
      </c>
      <c r="H110" s="73" t="s">
        <v>51</v>
      </c>
      <c r="I110" s="94">
        <v>315.89</v>
      </c>
      <c r="J110" s="95">
        <f>I110*G110</f>
        <v>1105.9119366</v>
      </c>
      <c r="K110" s="44"/>
    </row>
    <row r="111" spans="1:11" x14ac:dyDescent="0.25">
      <c r="A111" s="47"/>
      <c r="B111" s="42" t="s">
        <v>13</v>
      </c>
      <c r="C111" s="66">
        <v>1.3</v>
      </c>
      <c r="D111" s="66">
        <f>D110</f>
        <v>1.85</v>
      </c>
      <c r="E111" s="43">
        <v>0.23</v>
      </c>
      <c r="F111" s="43">
        <f>F110</f>
        <v>1</v>
      </c>
      <c r="G111" s="66">
        <f>F111*E111*D111*C111</f>
        <v>0.55315000000000003</v>
      </c>
      <c r="H111" s="73" t="s">
        <v>51</v>
      </c>
      <c r="I111" s="94">
        <v>950</v>
      </c>
      <c r="J111" s="95">
        <f>I111*G111</f>
        <v>525.49250000000006</v>
      </c>
      <c r="K111" s="44"/>
    </row>
    <row r="112" spans="1:11" x14ac:dyDescent="0.25">
      <c r="A112" s="47"/>
      <c r="B112" s="42" t="s">
        <v>53</v>
      </c>
      <c r="C112" s="66">
        <f>C111</f>
        <v>1.3</v>
      </c>
      <c r="D112" s="66">
        <f>D110</f>
        <v>1.85</v>
      </c>
      <c r="E112" s="43">
        <v>0.1</v>
      </c>
      <c r="F112" s="43">
        <f>F110</f>
        <v>1</v>
      </c>
      <c r="G112" s="66">
        <f>F112*E112*D112*C112</f>
        <v>0.24050000000000005</v>
      </c>
      <c r="H112" s="73" t="s">
        <v>51</v>
      </c>
      <c r="I112" s="94">
        <f>I101</f>
        <v>3535.97</v>
      </c>
      <c r="J112" s="95">
        <f>I112*G112</f>
        <v>850.40078500000016</v>
      </c>
      <c r="K112" s="44"/>
    </row>
    <row r="113" spans="1:11" x14ac:dyDescent="0.25">
      <c r="A113" s="47"/>
      <c r="B113" s="42" t="s">
        <v>54</v>
      </c>
      <c r="C113" s="66">
        <v>1.68</v>
      </c>
      <c r="D113" s="66">
        <v>1.25</v>
      </c>
      <c r="E113" s="43">
        <v>0.5</v>
      </c>
      <c r="F113" s="43">
        <f>F110</f>
        <v>1</v>
      </c>
      <c r="G113" s="66">
        <f>F113*E113*D113*C113</f>
        <v>1.05</v>
      </c>
      <c r="H113" s="73"/>
      <c r="I113" s="94"/>
      <c r="J113" s="95"/>
      <c r="K113" s="44"/>
    </row>
    <row r="114" spans="1:11" x14ac:dyDescent="0.25">
      <c r="A114" s="47"/>
      <c r="B114" s="42"/>
      <c r="C114" s="66">
        <v>0.85</v>
      </c>
      <c r="D114" s="66">
        <v>0.22500000000000001</v>
      </c>
      <c r="E114" s="43">
        <v>0.3</v>
      </c>
      <c r="F114" s="43">
        <v>2</v>
      </c>
      <c r="G114" s="66">
        <f>F114*E114*D114*C114</f>
        <v>0.11475</v>
      </c>
      <c r="H114" s="73"/>
      <c r="I114" s="94"/>
      <c r="J114" s="95"/>
      <c r="K114" s="44"/>
    </row>
    <row r="115" spans="1:11" x14ac:dyDescent="0.25">
      <c r="A115" s="47"/>
      <c r="B115" s="42"/>
      <c r="C115" s="66"/>
      <c r="D115" s="66"/>
      <c r="E115" s="43"/>
      <c r="F115" s="43"/>
      <c r="G115" s="66">
        <f>SUM(G113:G114)</f>
        <v>1.16475</v>
      </c>
      <c r="H115" s="73" t="s">
        <v>51</v>
      </c>
      <c r="I115" s="94">
        <f>I103</f>
        <v>5329.43</v>
      </c>
      <c r="J115" s="95">
        <f>I115*G115</f>
        <v>6207.4535925</v>
      </c>
      <c r="K115" s="44"/>
    </row>
    <row r="116" spans="1:11" x14ac:dyDescent="0.25">
      <c r="A116" s="47"/>
      <c r="B116" s="42" t="s">
        <v>55</v>
      </c>
      <c r="C116" s="66">
        <f>G115</f>
        <v>1.16475</v>
      </c>
      <c r="D116" s="66"/>
      <c r="E116" s="43"/>
      <c r="F116" s="43">
        <v>8</v>
      </c>
      <c r="G116" s="66">
        <f>F116*C116</f>
        <v>9.3179999999999996</v>
      </c>
      <c r="H116" s="73" t="s">
        <v>36</v>
      </c>
      <c r="I116" s="94">
        <f>I104</f>
        <v>718.4</v>
      </c>
      <c r="J116" s="95">
        <f t="shared" ref="J116:J120" si="12">I116*G116</f>
        <v>6694.0511999999999</v>
      </c>
      <c r="K116" s="44"/>
    </row>
    <row r="117" spans="1:11" x14ac:dyDescent="0.25">
      <c r="A117" s="47"/>
      <c r="B117" s="42" t="s">
        <v>5</v>
      </c>
      <c r="C117" s="66">
        <f>G115</f>
        <v>1.16475</v>
      </c>
      <c r="D117" s="66"/>
      <c r="E117" s="43"/>
      <c r="F117" s="43">
        <v>125</v>
      </c>
      <c r="G117" s="66">
        <f>F117*C117</f>
        <v>145.59375</v>
      </c>
      <c r="H117" s="73" t="s">
        <v>56</v>
      </c>
      <c r="I117" s="94">
        <f>I105</f>
        <v>66.42</v>
      </c>
      <c r="J117" s="95">
        <f t="shared" si="12"/>
        <v>9670.3368750000009</v>
      </c>
      <c r="K117" s="44"/>
    </row>
    <row r="118" spans="1:11" x14ac:dyDescent="0.25">
      <c r="A118" s="47"/>
      <c r="B118" s="42" t="s">
        <v>44</v>
      </c>
      <c r="C118" s="66">
        <f>G110-G111-G112-G113</f>
        <v>1.6572899999999999</v>
      </c>
      <c r="D118" s="66"/>
      <c r="E118" s="43"/>
      <c r="F118" s="43">
        <v>1</v>
      </c>
      <c r="G118" s="66">
        <f>F118*C118</f>
        <v>1.6572899999999999</v>
      </c>
      <c r="H118" s="73" t="s">
        <v>51</v>
      </c>
      <c r="I118" s="94">
        <f>I106</f>
        <v>183.42</v>
      </c>
      <c r="J118" s="95">
        <f t="shared" si="12"/>
        <v>303.98013179999998</v>
      </c>
      <c r="K118" s="44"/>
    </row>
    <row r="119" spans="1:11" x14ac:dyDescent="0.25">
      <c r="A119" s="47"/>
      <c r="B119" s="42" t="s">
        <v>57</v>
      </c>
      <c r="C119" s="66">
        <v>4</v>
      </c>
      <c r="D119" s="66"/>
      <c r="E119" s="43"/>
      <c r="F119" s="43">
        <v>1</v>
      </c>
      <c r="G119" s="66">
        <f>F119*C119</f>
        <v>4</v>
      </c>
      <c r="H119" s="73" t="s">
        <v>9</v>
      </c>
      <c r="I119" s="94">
        <v>400</v>
      </c>
      <c r="J119" s="95">
        <f t="shared" si="12"/>
        <v>1600</v>
      </c>
      <c r="K119" s="44"/>
    </row>
    <row r="120" spans="1:11" x14ac:dyDescent="0.25">
      <c r="A120" s="47"/>
      <c r="B120" s="42" t="s">
        <v>58</v>
      </c>
      <c r="C120" s="66">
        <v>0.1</v>
      </c>
      <c r="D120" s="66">
        <v>0.1</v>
      </c>
      <c r="E120" s="43">
        <v>0.3</v>
      </c>
      <c r="F120" s="43">
        <f>G119</f>
        <v>4</v>
      </c>
      <c r="G120" s="66">
        <f>C120*D120*E120*F120</f>
        <v>1.2000000000000002E-2</v>
      </c>
      <c r="H120" s="73" t="s">
        <v>51</v>
      </c>
      <c r="I120" s="94">
        <v>110053</v>
      </c>
      <c r="J120" s="95">
        <f t="shared" si="12"/>
        <v>1320.6360000000002</v>
      </c>
      <c r="K120" s="44"/>
    </row>
    <row r="121" spans="1:11" x14ac:dyDescent="0.25">
      <c r="A121" s="47"/>
      <c r="B121" s="46" t="s">
        <v>228</v>
      </c>
      <c r="C121" s="14"/>
      <c r="D121" s="14"/>
      <c r="E121" s="46"/>
      <c r="F121" s="46"/>
      <c r="G121" s="68"/>
      <c r="H121" s="78"/>
      <c r="I121" s="96"/>
      <c r="J121" s="68"/>
      <c r="K121" s="44"/>
    </row>
    <row r="122" spans="1:11" x14ac:dyDescent="0.25">
      <c r="A122" s="47"/>
      <c r="B122" s="42" t="s">
        <v>50</v>
      </c>
      <c r="C122" s="66">
        <f>C125+0.6</f>
        <v>1.2</v>
      </c>
      <c r="D122" s="66">
        <f>D125+0.6</f>
        <v>1.2</v>
      </c>
      <c r="E122" s="43">
        <f>E125+E124+E123</f>
        <v>0.92999999999999994</v>
      </c>
      <c r="F122" s="43">
        <v>2</v>
      </c>
      <c r="G122" s="66">
        <f>F122*E122*D122*C122</f>
        <v>2.6783999999999994</v>
      </c>
      <c r="H122" s="73" t="s">
        <v>51</v>
      </c>
      <c r="I122" s="94">
        <f>I110</f>
        <v>315.89</v>
      </c>
      <c r="J122" s="95">
        <f>I122*G122</f>
        <v>846.07977599999981</v>
      </c>
      <c r="K122" s="44"/>
    </row>
    <row r="123" spans="1:11" x14ac:dyDescent="0.25">
      <c r="A123" s="47"/>
      <c r="B123" s="42" t="s">
        <v>13</v>
      </c>
      <c r="C123" s="66">
        <v>1.3</v>
      </c>
      <c r="D123" s="66">
        <f>D122</f>
        <v>1.2</v>
      </c>
      <c r="E123" s="43">
        <v>0.23</v>
      </c>
      <c r="F123" s="43">
        <f>F122</f>
        <v>2</v>
      </c>
      <c r="G123" s="66">
        <f>F123*E123*D123*C123</f>
        <v>0.71760000000000013</v>
      </c>
      <c r="H123" s="73" t="s">
        <v>51</v>
      </c>
      <c r="I123" s="94">
        <v>950</v>
      </c>
      <c r="J123" s="95">
        <f>I123*G123</f>
        <v>681.72000000000014</v>
      </c>
      <c r="K123" s="44"/>
    </row>
    <row r="124" spans="1:11" x14ac:dyDescent="0.25">
      <c r="A124" s="47"/>
      <c r="B124" s="42" t="s">
        <v>53</v>
      </c>
      <c r="C124" s="66">
        <f>C123</f>
        <v>1.3</v>
      </c>
      <c r="D124" s="66">
        <f>D122</f>
        <v>1.2</v>
      </c>
      <c r="E124" s="43">
        <v>0.1</v>
      </c>
      <c r="F124" s="43">
        <f>F122</f>
        <v>2</v>
      </c>
      <c r="G124" s="66">
        <f>F124*E124*D124*C124</f>
        <v>0.312</v>
      </c>
      <c r="H124" s="73" t="s">
        <v>51</v>
      </c>
      <c r="I124" s="94">
        <v>3535.97</v>
      </c>
      <c r="J124" s="95">
        <f>I124*G124</f>
        <v>1103.22264</v>
      </c>
      <c r="K124" s="44"/>
    </row>
    <row r="125" spans="1:11" x14ac:dyDescent="0.25">
      <c r="A125" s="47"/>
      <c r="B125" s="42" t="s">
        <v>54</v>
      </c>
      <c r="C125" s="66">
        <v>0.6</v>
      </c>
      <c r="D125" s="66">
        <v>0.6</v>
      </c>
      <c r="E125" s="43">
        <v>0.6</v>
      </c>
      <c r="F125" s="43">
        <f>F122</f>
        <v>2</v>
      </c>
      <c r="G125" s="66">
        <f>F125*E125*D125*C125</f>
        <v>0.432</v>
      </c>
      <c r="H125" s="73" t="s">
        <v>51</v>
      </c>
      <c r="I125" s="94"/>
      <c r="J125" s="95"/>
      <c r="K125" s="44"/>
    </row>
    <row r="126" spans="1:11" x14ac:dyDescent="0.25">
      <c r="A126" s="47"/>
      <c r="B126" s="42"/>
      <c r="C126" s="66"/>
      <c r="D126" s="66"/>
      <c r="E126" s="43"/>
      <c r="F126" s="43"/>
      <c r="G126" s="66">
        <f>SUM(G125:G125)</f>
        <v>0.432</v>
      </c>
      <c r="H126" s="73" t="s">
        <v>51</v>
      </c>
      <c r="I126" s="94">
        <f>I115</f>
        <v>5329.43</v>
      </c>
      <c r="J126" s="95">
        <f>I126*G126</f>
        <v>2302.31376</v>
      </c>
      <c r="K126" s="44"/>
    </row>
    <row r="127" spans="1:11" x14ac:dyDescent="0.25">
      <c r="A127" s="47"/>
      <c r="B127" s="42" t="s">
        <v>55</v>
      </c>
      <c r="C127" s="66">
        <f>G126</f>
        <v>0.432</v>
      </c>
      <c r="D127" s="66"/>
      <c r="E127" s="43"/>
      <c r="F127" s="43">
        <v>8</v>
      </c>
      <c r="G127" s="66">
        <f>F127*C127</f>
        <v>3.456</v>
      </c>
      <c r="H127" s="73" t="s">
        <v>36</v>
      </c>
      <c r="I127" s="94">
        <f>I116</f>
        <v>718.4</v>
      </c>
      <c r="J127" s="95">
        <f t="shared" ref="J127:J131" si="13">I127*G127</f>
        <v>2482.7903999999999</v>
      </c>
      <c r="K127" s="44"/>
    </row>
    <row r="128" spans="1:11" x14ac:dyDescent="0.25">
      <c r="A128" s="47"/>
      <c r="B128" s="42" t="s">
        <v>5</v>
      </c>
      <c r="C128" s="66">
        <f>G126</f>
        <v>0.432</v>
      </c>
      <c r="D128" s="66"/>
      <c r="E128" s="43"/>
      <c r="F128" s="43">
        <v>125</v>
      </c>
      <c r="G128" s="66">
        <f>F128*C128</f>
        <v>54</v>
      </c>
      <c r="H128" s="73" t="s">
        <v>56</v>
      </c>
      <c r="I128" s="94">
        <f>I117</f>
        <v>66.42</v>
      </c>
      <c r="J128" s="95">
        <f t="shared" si="13"/>
        <v>3586.6800000000003</v>
      </c>
      <c r="K128" s="44"/>
    </row>
    <row r="129" spans="1:11" x14ac:dyDescent="0.25">
      <c r="A129" s="47"/>
      <c r="B129" s="42" t="s">
        <v>44</v>
      </c>
      <c r="C129" s="66">
        <f>G122-G123-G124-G125</f>
        <v>1.2167999999999994</v>
      </c>
      <c r="D129" s="66"/>
      <c r="E129" s="43"/>
      <c r="F129" s="43">
        <v>1</v>
      </c>
      <c r="G129" s="66">
        <f>F129*C129</f>
        <v>1.2167999999999994</v>
      </c>
      <c r="H129" s="73" t="s">
        <v>51</v>
      </c>
      <c r="I129" s="94">
        <f>I118</f>
        <v>183.42</v>
      </c>
      <c r="J129" s="95">
        <f t="shared" si="13"/>
        <v>223.18545599999987</v>
      </c>
      <c r="K129" s="44"/>
    </row>
    <row r="130" spans="1:11" x14ac:dyDescent="0.25">
      <c r="A130" s="47"/>
      <c r="B130" s="42" t="s">
        <v>57</v>
      </c>
      <c r="C130" s="66">
        <v>4</v>
      </c>
      <c r="D130" s="66"/>
      <c r="E130" s="43"/>
      <c r="F130" s="43">
        <v>1</v>
      </c>
      <c r="G130" s="66">
        <f>F130*C130</f>
        <v>4</v>
      </c>
      <c r="H130" s="73" t="s">
        <v>9</v>
      </c>
      <c r="I130" s="94">
        <v>400</v>
      </c>
      <c r="J130" s="95">
        <f t="shared" si="13"/>
        <v>1600</v>
      </c>
      <c r="K130" s="44"/>
    </row>
    <row r="131" spans="1:11" x14ac:dyDescent="0.25">
      <c r="A131" s="47"/>
      <c r="B131" s="42" t="s">
        <v>58</v>
      </c>
      <c r="C131" s="66">
        <v>0.1</v>
      </c>
      <c r="D131" s="66">
        <v>0.1</v>
      </c>
      <c r="E131" s="43">
        <v>0.3</v>
      </c>
      <c r="F131" s="43">
        <f>G130</f>
        <v>4</v>
      </c>
      <c r="G131" s="66">
        <f>C131*D131*E131*F131</f>
        <v>1.2000000000000002E-2</v>
      </c>
      <c r="H131" s="73" t="s">
        <v>51</v>
      </c>
      <c r="I131" s="94">
        <v>110053</v>
      </c>
      <c r="J131" s="95">
        <f t="shared" si="13"/>
        <v>1320.6360000000002</v>
      </c>
      <c r="K131" s="44"/>
    </row>
    <row r="132" spans="1:11" x14ac:dyDescent="0.25">
      <c r="A132" s="47"/>
      <c r="B132" s="42"/>
      <c r="C132" s="66"/>
      <c r="D132" s="66"/>
      <c r="E132" s="43"/>
      <c r="F132" s="43"/>
      <c r="G132" s="66"/>
      <c r="H132" s="73"/>
      <c r="I132" s="94"/>
      <c r="J132" s="95"/>
      <c r="K132" s="44"/>
    </row>
    <row r="133" spans="1:11" ht="18.75" x14ac:dyDescent="0.3">
      <c r="A133" s="38"/>
      <c r="B133" s="49" t="s">
        <v>328</v>
      </c>
      <c r="C133" s="13"/>
      <c r="D133" s="13"/>
      <c r="E133" s="40"/>
      <c r="F133" s="40"/>
      <c r="G133" s="40"/>
      <c r="H133" s="78"/>
      <c r="I133" s="96"/>
      <c r="J133" s="68"/>
      <c r="K133" s="40"/>
    </row>
    <row r="134" spans="1:11" x14ac:dyDescent="0.25">
      <c r="A134" s="50">
        <v>1</v>
      </c>
      <c r="B134" s="51" t="s">
        <v>60</v>
      </c>
      <c r="C134" s="8"/>
      <c r="D134" s="333">
        <f>12*18</f>
        <v>216</v>
      </c>
      <c r="E134" s="333"/>
      <c r="F134" s="48">
        <v>0.5</v>
      </c>
      <c r="G134" s="48">
        <f>D134*F134</f>
        <v>108</v>
      </c>
      <c r="H134" s="75" t="s">
        <v>51</v>
      </c>
      <c r="I134" s="97">
        <v>315.19</v>
      </c>
      <c r="J134" s="69">
        <f t="shared" ref="J134:J139" si="14">G134*I134</f>
        <v>34040.519999999997</v>
      </c>
      <c r="K134" s="44"/>
    </row>
    <row r="135" spans="1:11" x14ac:dyDescent="0.25">
      <c r="A135" s="50">
        <v>2</v>
      </c>
      <c r="B135" s="51" t="s">
        <v>75</v>
      </c>
      <c r="C135" s="8"/>
      <c r="D135" s="48"/>
      <c r="E135" s="48"/>
      <c r="F135" s="48"/>
      <c r="G135" s="48">
        <f>G134</f>
        <v>108</v>
      </c>
      <c r="H135" s="75" t="s">
        <v>51</v>
      </c>
      <c r="I135" s="97">
        <v>100</v>
      </c>
      <c r="J135" s="69">
        <f t="shared" si="14"/>
        <v>10800</v>
      </c>
      <c r="K135" s="44"/>
    </row>
    <row r="136" spans="1:11" x14ac:dyDescent="0.25">
      <c r="A136" s="50">
        <v>3</v>
      </c>
      <c r="B136" s="51" t="s">
        <v>76</v>
      </c>
      <c r="C136" s="8"/>
      <c r="D136" s="333">
        <f>D134</f>
        <v>216</v>
      </c>
      <c r="E136" s="333"/>
      <c r="F136" s="48">
        <v>0.23</v>
      </c>
      <c r="G136" s="48">
        <f>D136*F136</f>
        <v>49.68</v>
      </c>
      <c r="H136" s="75" t="s">
        <v>51</v>
      </c>
      <c r="I136" s="97">
        <v>950</v>
      </c>
      <c r="J136" s="69">
        <f t="shared" si="14"/>
        <v>47196</v>
      </c>
      <c r="K136" s="44"/>
    </row>
    <row r="137" spans="1:11" x14ac:dyDescent="0.25">
      <c r="A137" s="50">
        <v>4</v>
      </c>
      <c r="B137" s="51" t="s">
        <v>77</v>
      </c>
      <c r="C137" s="8"/>
      <c r="D137" s="333">
        <f>D134</f>
        <v>216</v>
      </c>
      <c r="E137" s="333"/>
      <c r="F137" s="48">
        <v>7.4999999999999997E-2</v>
      </c>
      <c r="G137" s="48">
        <f>D137*F137</f>
        <v>16.2</v>
      </c>
      <c r="H137" s="75" t="s">
        <v>36</v>
      </c>
      <c r="I137" s="97">
        <v>3535.97</v>
      </c>
      <c r="J137" s="69">
        <f t="shared" si="14"/>
        <v>57282.713999999993</v>
      </c>
      <c r="K137" s="44"/>
    </row>
    <row r="138" spans="1:11" x14ac:dyDescent="0.25">
      <c r="A138" s="50">
        <v>5</v>
      </c>
      <c r="B138" s="51" t="s">
        <v>78</v>
      </c>
      <c r="C138" s="8"/>
      <c r="D138" s="333">
        <f>D134</f>
        <v>216</v>
      </c>
      <c r="E138" s="333"/>
      <c r="F138" s="48">
        <v>0.15</v>
      </c>
      <c r="G138" s="48">
        <f>D138*F138</f>
        <v>32.4</v>
      </c>
      <c r="H138" s="75" t="s">
        <v>36</v>
      </c>
      <c r="I138" s="97">
        <v>5329.43</v>
      </c>
      <c r="J138" s="69">
        <f t="shared" si="14"/>
        <v>172673.53200000001</v>
      </c>
      <c r="K138" s="44"/>
    </row>
    <row r="139" spans="1:11" x14ac:dyDescent="0.25">
      <c r="A139" s="50">
        <v>6</v>
      </c>
      <c r="B139" s="51" t="s">
        <v>63</v>
      </c>
      <c r="C139" s="8"/>
      <c r="D139" s="48">
        <f>G138</f>
        <v>32.4</v>
      </c>
      <c r="E139" s="48">
        <v>100</v>
      </c>
      <c r="F139" s="48"/>
      <c r="G139" s="48">
        <f>D139*E139</f>
        <v>3240</v>
      </c>
      <c r="H139" s="75" t="s">
        <v>56</v>
      </c>
      <c r="I139" s="97">
        <v>66.239999999999995</v>
      </c>
      <c r="J139" s="69">
        <f t="shared" si="14"/>
        <v>214617.59999999998</v>
      </c>
      <c r="K139" s="44"/>
    </row>
    <row r="140" spans="1:11" x14ac:dyDescent="0.25">
      <c r="A140" s="50"/>
      <c r="B140" s="51"/>
      <c r="C140" s="8"/>
      <c r="D140" s="48"/>
      <c r="E140" s="48"/>
      <c r="F140" s="48"/>
      <c r="G140" s="332" t="s">
        <v>66</v>
      </c>
      <c r="H140" s="332"/>
      <c r="I140" s="332"/>
      <c r="J140" s="68"/>
      <c r="K140" s="44"/>
    </row>
    <row r="141" spans="1:11" ht="18.75" x14ac:dyDescent="0.3">
      <c r="A141" s="52"/>
      <c r="B141" s="53" t="s">
        <v>230</v>
      </c>
      <c r="C141" s="182"/>
      <c r="D141" s="61"/>
      <c r="E141" s="61"/>
      <c r="F141" s="61"/>
      <c r="G141" s="61"/>
      <c r="H141" s="79"/>
      <c r="I141" s="98"/>
      <c r="J141" s="99"/>
      <c r="K141" s="62"/>
    </row>
    <row r="142" spans="1:11" x14ac:dyDescent="0.25">
      <c r="A142" s="52">
        <v>1</v>
      </c>
      <c r="B142" s="54" t="s">
        <v>60</v>
      </c>
      <c r="C142" s="183"/>
      <c r="D142" s="63">
        <f>1.5+1.2</f>
        <v>2.7</v>
      </c>
      <c r="E142" s="63">
        <f>1.5+1.2</f>
        <v>2.7</v>
      </c>
      <c r="F142" s="63">
        <f>2+0.3+0.23+0.1</f>
        <v>2.63</v>
      </c>
      <c r="G142" s="63">
        <f>D142*E142*F142</f>
        <v>19.172700000000003</v>
      </c>
      <c r="H142" s="76" t="s">
        <v>51</v>
      </c>
      <c r="I142" s="100">
        <f>I134</f>
        <v>315.19</v>
      </c>
      <c r="J142" s="101">
        <f>G142*I142</f>
        <v>6043.043313000001</v>
      </c>
      <c r="K142" s="62"/>
    </row>
    <row r="143" spans="1:11" x14ac:dyDescent="0.25">
      <c r="A143" s="52">
        <v>2</v>
      </c>
      <c r="B143" s="54" t="s">
        <v>61</v>
      </c>
      <c r="C143" s="183"/>
      <c r="D143" s="63"/>
      <c r="E143" s="63"/>
      <c r="F143" s="63"/>
      <c r="G143" s="63">
        <f>G142</f>
        <v>19.172700000000003</v>
      </c>
      <c r="H143" s="76" t="s">
        <v>51</v>
      </c>
      <c r="I143" s="100">
        <v>100</v>
      </c>
      <c r="J143" s="101">
        <f t="shared" ref="J143:J150" si="15">G143*I143</f>
        <v>1917.2700000000002</v>
      </c>
      <c r="K143" s="62"/>
    </row>
    <row r="144" spans="1:11" x14ac:dyDescent="0.25">
      <c r="A144" s="52">
        <v>3</v>
      </c>
      <c r="B144" s="54" t="s">
        <v>79</v>
      </c>
      <c r="C144" s="183"/>
      <c r="D144" s="63">
        <f>D142</f>
        <v>2.7</v>
      </c>
      <c r="E144" s="63">
        <f>E142</f>
        <v>2.7</v>
      </c>
      <c r="F144" s="63">
        <v>0.23</v>
      </c>
      <c r="G144" s="63">
        <f>D144*E144*F144</f>
        <v>1.6767000000000003</v>
      </c>
      <c r="H144" s="76" t="s">
        <v>51</v>
      </c>
      <c r="I144" s="100">
        <v>950</v>
      </c>
      <c r="J144" s="101">
        <f t="shared" si="15"/>
        <v>1592.8650000000002</v>
      </c>
      <c r="K144" s="62"/>
    </row>
    <row r="145" spans="1:11" x14ac:dyDescent="0.25">
      <c r="A145" s="52">
        <v>4</v>
      </c>
      <c r="B145" s="54" t="s">
        <v>80</v>
      </c>
      <c r="C145" s="183"/>
      <c r="D145" s="63">
        <f>D144</f>
        <v>2.7</v>
      </c>
      <c r="E145" s="63">
        <f>E144</f>
        <v>2.7</v>
      </c>
      <c r="F145" s="63">
        <v>7.4999999999999997E-2</v>
      </c>
      <c r="G145" s="63">
        <f>D145*E145*F145</f>
        <v>0.54675000000000007</v>
      </c>
      <c r="H145" s="76" t="s">
        <v>51</v>
      </c>
      <c r="I145" s="100">
        <f>I137</f>
        <v>3535.97</v>
      </c>
      <c r="J145" s="101">
        <f t="shared" si="15"/>
        <v>1933.2915975000001</v>
      </c>
      <c r="K145" s="62"/>
    </row>
    <row r="146" spans="1:11" x14ac:dyDescent="0.25">
      <c r="A146" s="52">
        <v>5</v>
      </c>
      <c r="B146" s="54" t="s">
        <v>81</v>
      </c>
      <c r="C146" s="183"/>
      <c r="D146" s="63">
        <f>D144</f>
        <v>2.7</v>
      </c>
      <c r="E146" s="63">
        <f>E145</f>
        <v>2.7</v>
      </c>
      <c r="F146" s="63">
        <v>0.3</v>
      </c>
      <c r="G146" s="63">
        <f>D146*E146*F146</f>
        <v>2.1870000000000003</v>
      </c>
      <c r="H146" s="76" t="s">
        <v>51</v>
      </c>
      <c r="I146" s="100">
        <v>5329.43</v>
      </c>
      <c r="J146" s="101">
        <f>G146*I146</f>
        <v>11655.463410000002</v>
      </c>
      <c r="K146" s="62"/>
    </row>
    <row r="147" spans="1:11" x14ac:dyDescent="0.25">
      <c r="A147" s="52">
        <v>6</v>
      </c>
      <c r="B147" s="54" t="s">
        <v>82</v>
      </c>
      <c r="C147" s="183">
        <v>2</v>
      </c>
      <c r="D147" s="63">
        <f>1.5+1.5+1.5+1.5</f>
        <v>6</v>
      </c>
      <c r="E147" s="63">
        <f>F142-F146-F145-F144</f>
        <v>2.0249999999999999</v>
      </c>
      <c r="F147" s="63">
        <v>0.15</v>
      </c>
      <c r="G147" s="63">
        <f>C147*D147*E147*F147</f>
        <v>3.6449999999999996</v>
      </c>
      <c r="H147" s="76" t="s">
        <v>51</v>
      </c>
      <c r="I147" s="100">
        <v>5329.43</v>
      </c>
      <c r="J147" s="101">
        <f t="shared" si="15"/>
        <v>19425.772349999999</v>
      </c>
      <c r="K147" s="62"/>
    </row>
    <row r="148" spans="1:11" x14ac:dyDescent="0.25">
      <c r="A148" s="52">
        <v>7</v>
      </c>
      <c r="B148" s="54" t="s">
        <v>63</v>
      </c>
      <c r="C148" s="183"/>
      <c r="D148" s="63"/>
      <c r="E148" s="63">
        <f>G147+G146</f>
        <v>5.8319999999999999</v>
      </c>
      <c r="F148" s="63">
        <v>100</v>
      </c>
      <c r="G148" s="63">
        <f>E148*F148</f>
        <v>583.19999999999993</v>
      </c>
      <c r="H148" s="76" t="s">
        <v>56</v>
      </c>
      <c r="I148" s="100">
        <f>I139</f>
        <v>66.239999999999995</v>
      </c>
      <c r="J148" s="102">
        <f t="shared" si="15"/>
        <v>38631.167999999991</v>
      </c>
      <c r="K148" s="62"/>
    </row>
    <row r="149" spans="1:11" x14ac:dyDescent="0.25">
      <c r="A149" s="52">
        <v>8</v>
      </c>
      <c r="B149" s="54" t="s">
        <v>64</v>
      </c>
      <c r="C149" s="183">
        <f>C147</f>
        <v>2</v>
      </c>
      <c r="D149" s="63">
        <f>D147</f>
        <v>6</v>
      </c>
      <c r="E149" s="63">
        <f>E147+0.3</f>
        <v>2.3249999999999997</v>
      </c>
      <c r="F149" s="63"/>
      <c r="G149" s="63">
        <f>C149*D149*E149</f>
        <v>27.9</v>
      </c>
      <c r="H149" s="76" t="s">
        <v>36</v>
      </c>
      <c r="I149" s="100">
        <f>718.4</f>
        <v>718.4</v>
      </c>
      <c r="J149" s="101">
        <f t="shared" si="15"/>
        <v>20043.359999999997</v>
      </c>
      <c r="K149" s="62"/>
    </row>
    <row r="150" spans="1:11" x14ac:dyDescent="0.25">
      <c r="A150" s="52">
        <v>9</v>
      </c>
      <c r="B150" s="54" t="s">
        <v>83</v>
      </c>
      <c r="C150" s="183">
        <f>C147</f>
        <v>2</v>
      </c>
      <c r="D150" s="63">
        <f>D149</f>
        <v>6</v>
      </c>
      <c r="E150" s="63">
        <f>E149</f>
        <v>2.3249999999999997</v>
      </c>
      <c r="F150" s="63"/>
      <c r="G150" s="63">
        <f>C150*D150*E150</f>
        <v>27.9</v>
      </c>
      <c r="H150" s="76" t="s">
        <v>36</v>
      </c>
      <c r="I150" s="100">
        <v>336.27</v>
      </c>
      <c r="J150" s="101">
        <f t="shared" si="15"/>
        <v>9381.9329999999991</v>
      </c>
      <c r="K150" s="62"/>
    </row>
    <row r="151" spans="1:11" x14ac:dyDescent="0.25">
      <c r="A151" s="52">
        <v>9</v>
      </c>
      <c r="B151" s="54" t="s">
        <v>318</v>
      </c>
      <c r="C151" s="183"/>
      <c r="D151" s="63"/>
      <c r="E151" s="63"/>
      <c r="F151" s="63"/>
      <c r="G151" s="63">
        <v>1</v>
      </c>
      <c r="H151" s="76" t="s">
        <v>4</v>
      </c>
      <c r="I151" s="100">
        <v>50000</v>
      </c>
      <c r="J151" s="101">
        <f>G151*I151</f>
        <v>50000</v>
      </c>
      <c r="K151" s="62"/>
    </row>
    <row r="152" spans="1:11" x14ac:dyDescent="0.25">
      <c r="A152" s="52">
        <v>10</v>
      </c>
      <c r="B152" s="54" t="s">
        <v>84</v>
      </c>
      <c r="C152" s="183"/>
      <c r="D152" s="63"/>
      <c r="E152" s="63"/>
      <c r="F152" s="63"/>
      <c r="G152" s="63">
        <f>G150/2</f>
        <v>13.95</v>
      </c>
      <c r="H152" s="76" t="s">
        <v>85</v>
      </c>
      <c r="I152" s="100">
        <v>2200</v>
      </c>
      <c r="J152" s="101">
        <f>G152*I152</f>
        <v>30690</v>
      </c>
      <c r="K152" s="62"/>
    </row>
    <row r="153" spans="1:11" x14ac:dyDescent="0.25">
      <c r="A153" s="52">
        <v>11</v>
      </c>
      <c r="B153" s="54" t="s">
        <v>86</v>
      </c>
      <c r="C153" s="183">
        <v>1</v>
      </c>
      <c r="D153" s="63">
        <v>3</v>
      </c>
      <c r="E153" s="63">
        <v>2</v>
      </c>
      <c r="F153" s="63">
        <v>75</v>
      </c>
      <c r="G153" s="63">
        <f>C153*D153*E153*F153</f>
        <v>450</v>
      </c>
      <c r="H153" s="76" t="s">
        <v>56</v>
      </c>
      <c r="I153" s="100">
        <v>81.52</v>
      </c>
      <c r="J153" s="101">
        <f>G153*I153</f>
        <v>36684</v>
      </c>
      <c r="K153" s="62"/>
    </row>
    <row r="154" spans="1:11" x14ac:dyDescent="0.25">
      <c r="A154" s="52">
        <v>12</v>
      </c>
      <c r="B154" s="54" t="s">
        <v>87</v>
      </c>
      <c r="C154" s="183"/>
      <c r="D154" s="63"/>
      <c r="E154" s="63">
        <v>3.5000000000000003E-2</v>
      </c>
      <c r="F154" s="63">
        <f>G153</f>
        <v>450</v>
      </c>
      <c r="G154" s="63">
        <f>E154*F154</f>
        <v>15.750000000000002</v>
      </c>
      <c r="H154" s="76" t="s">
        <v>36</v>
      </c>
      <c r="I154" s="100">
        <f>244.56+626.69</f>
        <v>871.25</v>
      </c>
      <c r="J154" s="101">
        <f>G154*I154</f>
        <v>13722.187500000002</v>
      </c>
      <c r="K154" s="62"/>
    </row>
    <row r="155" spans="1:11" x14ac:dyDescent="0.25">
      <c r="A155" s="304"/>
      <c r="B155" s="305"/>
      <c r="C155" s="306"/>
      <c r="D155" s="307"/>
      <c r="E155" s="307"/>
      <c r="F155" s="362"/>
      <c r="G155" s="362"/>
      <c r="H155" s="362"/>
      <c r="I155" s="362"/>
      <c r="J155" s="308"/>
      <c r="K155" s="309"/>
    </row>
    <row r="156" spans="1:11" ht="18.75" x14ac:dyDescent="0.3">
      <c r="A156" s="38"/>
      <c r="B156" s="55" t="s">
        <v>114</v>
      </c>
      <c r="C156" s="184"/>
      <c r="D156" s="65"/>
      <c r="E156" s="65"/>
      <c r="F156" s="65"/>
      <c r="G156" s="65"/>
      <c r="H156" s="80"/>
      <c r="I156" s="104"/>
      <c r="J156" s="101"/>
      <c r="K156" s="62"/>
    </row>
    <row r="157" spans="1:11" x14ac:dyDescent="0.25">
      <c r="A157" s="52">
        <v>1</v>
      </c>
      <c r="B157" s="54" t="s">
        <v>60</v>
      </c>
      <c r="C157" s="183"/>
      <c r="D157" s="63">
        <v>30</v>
      </c>
      <c r="E157" s="63">
        <f>0.1+0.15+0.6+0.15+0.1+0.3+0.3</f>
        <v>1.7000000000000002</v>
      </c>
      <c r="F157" s="63">
        <f>1+0.23+0.075</f>
        <v>1.3049999999999999</v>
      </c>
      <c r="G157" s="63">
        <f>D157*E157*F157</f>
        <v>66.555000000000007</v>
      </c>
      <c r="H157" s="76" t="s">
        <v>51</v>
      </c>
      <c r="I157" s="100">
        <f>I142</f>
        <v>315.19</v>
      </c>
      <c r="J157" s="101">
        <f>G157*I157</f>
        <v>20977.470450000001</v>
      </c>
      <c r="K157" s="62"/>
    </row>
    <row r="158" spans="1:11" x14ac:dyDescent="0.25">
      <c r="A158" s="52">
        <v>2</v>
      </c>
      <c r="B158" s="54" t="s">
        <v>61</v>
      </c>
      <c r="C158" s="183"/>
      <c r="D158" s="63"/>
      <c r="E158" s="63"/>
      <c r="F158" s="63"/>
      <c r="G158" s="63">
        <f>G157</f>
        <v>66.555000000000007</v>
      </c>
      <c r="H158" s="76" t="s">
        <v>51</v>
      </c>
      <c r="I158" s="100">
        <v>100</v>
      </c>
      <c r="J158" s="101">
        <f t="shared" ref="J158:J165" si="16">G158*I158</f>
        <v>6655.5000000000009</v>
      </c>
      <c r="K158" s="62"/>
    </row>
    <row r="159" spans="1:11" x14ac:dyDescent="0.25">
      <c r="A159" s="52">
        <v>3</v>
      </c>
      <c r="B159" s="54" t="s">
        <v>79</v>
      </c>
      <c r="C159" s="183"/>
      <c r="D159" s="63">
        <f>D157</f>
        <v>30</v>
      </c>
      <c r="E159" s="63">
        <v>1</v>
      </c>
      <c r="F159" s="63">
        <v>0.23</v>
      </c>
      <c r="G159" s="63">
        <f>D159*E159*F159</f>
        <v>6.9</v>
      </c>
      <c r="H159" s="76" t="s">
        <v>51</v>
      </c>
      <c r="I159" s="100">
        <v>950</v>
      </c>
      <c r="J159" s="101">
        <f t="shared" si="16"/>
        <v>6555</v>
      </c>
      <c r="K159" s="62"/>
    </row>
    <row r="160" spans="1:11" x14ac:dyDescent="0.25">
      <c r="A160" s="52">
        <v>4</v>
      </c>
      <c r="B160" s="54" t="s">
        <v>88</v>
      </c>
      <c r="C160" s="183"/>
      <c r="D160" s="63">
        <f>D157</f>
        <v>30</v>
      </c>
      <c r="E160" s="63">
        <v>1</v>
      </c>
      <c r="F160" s="63">
        <v>7.4999999999999997E-2</v>
      </c>
      <c r="G160" s="63">
        <f>D160*E160*F160</f>
        <v>2.25</v>
      </c>
      <c r="H160" s="76" t="s">
        <v>51</v>
      </c>
      <c r="I160" s="100">
        <f>I145</f>
        <v>3535.97</v>
      </c>
      <c r="J160" s="101">
        <f t="shared" si="16"/>
        <v>7955.9324999999999</v>
      </c>
      <c r="K160" s="62"/>
    </row>
    <row r="161" spans="1:11" x14ac:dyDescent="0.25">
      <c r="A161" s="52">
        <v>5</v>
      </c>
      <c r="B161" s="54" t="s">
        <v>81</v>
      </c>
      <c r="C161" s="183"/>
      <c r="D161" s="63">
        <f>D157</f>
        <v>30</v>
      </c>
      <c r="E161" s="63">
        <v>1</v>
      </c>
      <c r="F161" s="63">
        <v>0.2</v>
      </c>
      <c r="G161" s="63">
        <f>D161*E161*F161</f>
        <v>6</v>
      </c>
      <c r="H161" s="76" t="s">
        <v>51</v>
      </c>
      <c r="I161" s="100">
        <f>I146</f>
        <v>5329.43</v>
      </c>
      <c r="J161" s="101">
        <f t="shared" si="16"/>
        <v>31976.58</v>
      </c>
      <c r="K161" s="62"/>
    </row>
    <row r="162" spans="1:11" x14ac:dyDescent="0.25">
      <c r="A162" s="52">
        <v>6</v>
      </c>
      <c r="B162" s="54" t="s">
        <v>89</v>
      </c>
      <c r="C162" s="183"/>
      <c r="D162" s="63">
        <f>D157*2</f>
        <v>60</v>
      </c>
      <c r="E162" s="63">
        <v>1</v>
      </c>
      <c r="F162" s="63">
        <v>0.15</v>
      </c>
      <c r="G162" s="63">
        <f>D162*E162*F162</f>
        <v>9</v>
      </c>
      <c r="H162" s="76" t="s">
        <v>51</v>
      </c>
      <c r="I162" s="100">
        <f>I147</f>
        <v>5329.43</v>
      </c>
      <c r="J162" s="101">
        <f t="shared" si="16"/>
        <v>47964.87</v>
      </c>
      <c r="K162" s="62"/>
    </row>
    <row r="163" spans="1:11" x14ac:dyDescent="0.25">
      <c r="A163" s="52">
        <v>7</v>
      </c>
      <c r="B163" s="54" t="s">
        <v>90</v>
      </c>
      <c r="C163" s="183"/>
      <c r="D163" s="63">
        <f>D157*2</f>
        <v>60</v>
      </c>
      <c r="E163" s="63">
        <v>1</v>
      </c>
      <c r="F163" s="63">
        <v>0.3</v>
      </c>
      <c r="G163" s="63">
        <v>1.3</v>
      </c>
      <c r="H163" s="76" t="s">
        <v>51</v>
      </c>
      <c r="I163" s="100">
        <v>183.42</v>
      </c>
      <c r="J163" s="101">
        <f t="shared" si="16"/>
        <v>238.446</v>
      </c>
      <c r="K163" s="62"/>
    </row>
    <row r="164" spans="1:11" x14ac:dyDescent="0.25">
      <c r="A164" s="52">
        <v>8</v>
      </c>
      <c r="B164" s="54" t="s">
        <v>63</v>
      </c>
      <c r="C164" s="183"/>
      <c r="D164" s="63"/>
      <c r="E164" s="63">
        <f>G161+G162</f>
        <v>15</v>
      </c>
      <c r="F164" s="63">
        <v>100</v>
      </c>
      <c r="G164" s="63">
        <f>E164*F164</f>
        <v>1500</v>
      </c>
      <c r="H164" s="76" t="s">
        <v>56</v>
      </c>
      <c r="I164" s="100">
        <v>66.239999999999995</v>
      </c>
      <c r="J164" s="101">
        <f t="shared" si="16"/>
        <v>99359.999999999985</v>
      </c>
      <c r="K164" s="62"/>
    </row>
    <row r="165" spans="1:11" x14ac:dyDescent="0.25">
      <c r="A165" s="52">
        <v>9</v>
      </c>
      <c r="B165" s="54" t="s">
        <v>91</v>
      </c>
      <c r="C165" s="183"/>
      <c r="D165" s="63">
        <f>D157*4</f>
        <v>120</v>
      </c>
      <c r="E165" s="63">
        <v>1</v>
      </c>
      <c r="F165" s="63">
        <v>1</v>
      </c>
      <c r="G165" s="63">
        <f>D165*E165*F165</f>
        <v>120</v>
      </c>
      <c r="H165" s="76" t="s">
        <v>36</v>
      </c>
      <c r="I165" s="100">
        <f>I149</f>
        <v>718.4</v>
      </c>
      <c r="J165" s="101">
        <f t="shared" si="16"/>
        <v>86208</v>
      </c>
      <c r="K165" s="62"/>
    </row>
    <row r="166" spans="1:11" x14ac:dyDescent="0.25">
      <c r="A166" s="50"/>
      <c r="B166" s="51"/>
      <c r="C166" s="8"/>
      <c r="D166" s="48"/>
      <c r="E166" s="48"/>
      <c r="H166" s="109" t="s">
        <v>66</v>
      </c>
      <c r="I166" s="110"/>
      <c r="J166" s="68"/>
      <c r="K166" s="111"/>
    </row>
    <row r="167" spans="1:11" x14ac:dyDescent="0.25">
      <c r="A167" s="25">
        <v>2</v>
      </c>
      <c r="B167" s="26" t="s">
        <v>232</v>
      </c>
      <c r="C167" s="6"/>
      <c r="D167" s="27"/>
      <c r="E167" s="27"/>
      <c r="F167" s="158"/>
      <c r="G167" s="158"/>
      <c r="H167" s="73"/>
      <c r="I167" s="94"/>
      <c r="J167" s="95"/>
      <c r="K167" s="158"/>
    </row>
    <row r="168" spans="1:11" x14ac:dyDescent="0.25">
      <c r="A168" s="38"/>
      <c r="B168" s="27" t="s">
        <v>20</v>
      </c>
      <c r="C168" s="6"/>
      <c r="D168" s="27"/>
      <c r="E168" s="27">
        <f>12*18</f>
        <v>216</v>
      </c>
      <c r="F168" s="27"/>
      <c r="G168" s="27"/>
      <c r="H168" s="73" t="s">
        <v>36</v>
      </c>
      <c r="I168" s="94"/>
      <c r="J168" s="95"/>
      <c r="K168" s="158"/>
    </row>
    <row r="169" spans="1:11" x14ac:dyDescent="0.25">
      <c r="A169" s="38"/>
      <c r="B169" s="27" t="s">
        <v>21</v>
      </c>
      <c r="C169" s="6"/>
      <c r="D169" s="27"/>
      <c r="E169" s="27">
        <f>SUM(E168:E168)</f>
        <v>216</v>
      </c>
      <c r="F169" s="27">
        <v>150</v>
      </c>
      <c r="G169" s="27">
        <f>F169*E169</f>
        <v>32400</v>
      </c>
      <c r="H169" s="73" t="s">
        <v>56</v>
      </c>
      <c r="I169" s="94">
        <v>81.52</v>
      </c>
      <c r="J169" s="95">
        <f>G169*I169</f>
        <v>2641248</v>
      </c>
      <c r="K169" s="158"/>
    </row>
    <row r="170" spans="1:11" x14ac:dyDescent="0.25">
      <c r="A170" s="38"/>
      <c r="B170" s="27" t="s">
        <v>22</v>
      </c>
      <c r="C170" s="6"/>
      <c r="D170" s="27"/>
      <c r="E170" s="27">
        <f>E168</f>
        <v>216</v>
      </c>
      <c r="F170" s="27"/>
      <c r="G170" s="27">
        <f>E170</f>
        <v>216</v>
      </c>
      <c r="H170" s="73" t="s">
        <v>36</v>
      </c>
      <c r="I170" s="94">
        <v>3000</v>
      </c>
      <c r="J170" s="95">
        <f t="shared" ref="J170:J172" si="17">G170*I170</f>
        <v>648000</v>
      </c>
      <c r="K170" s="158"/>
    </row>
    <row r="171" spans="1:11" x14ac:dyDescent="0.25">
      <c r="A171" s="38"/>
      <c r="B171" s="27" t="s">
        <v>23</v>
      </c>
      <c r="C171" s="6"/>
      <c r="D171" s="27"/>
      <c r="E171" s="27">
        <f>12+12+18+18</f>
        <v>60</v>
      </c>
      <c r="F171" s="27"/>
      <c r="G171" s="27">
        <f>E171</f>
        <v>60</v>
      </c>
      <c r="H171" s="73" t="s">
        <v>47</v>
      </c>
      <c r="I171" s="94">
        <v>1500</v>
      </c>
      <c r="J171" s="95">
        <f t="shared" si="17"/>
        <v>90000</v>
      </c>
      <c r="K171" s="158"/>
    </row>
    <row r="172" spans="1:11" x14ac:dyDescent="0.25">
      <c r="A172" s="38"/>
      <c r="B172" s="27" t="s">
        <v>24</v>
      </c>
      <c r="C172" s="6"/>
      <c r="D172" s="27"/>
      <c r="E172" s="27">
        <f>G169</f>
        <v>32400</v>
      </c>
      <c r="F172" s="27">
        <v>0.03</v>
      </c>
      <c r="G172" s="27">
        <f>F172*E172</f>
        <v>972</v>
      </c>
      <c r="H172" s="73" t="s">
        <v>36</v>
      </c>
      <c r="I172" s="94">
        <f>626.69+244.56</f>
        <v>871.25</v>
      </c>
      <c r="J172" s="95">
        <f t="shared" si="17"/>
        <v>846855</v>
      </c>
      <c r="K172" s="158"/>
    </row>
    <row r="173" spans="1:11" x14ac:dyDescent="0.25">
      <c r="A173" s="38"/>
      <c r="B173" s="56" t="s">
        <v>231</v>
      </c>
      <c r="C173" s="6"/>
      <c r="D173" s="27"/>
      <c r="E173" s="27"/>
      <c r="F173" s="27"/>
      <c r="G173" s="27"/>
      <c r="H173" s="73"/>
      <c r="I173" s="94"/>
      <c r="J173" s="95"/>
      <c r="K173" s="158"/>
    </row>
    <row r="174" spans="1:11" x14ac:dyDescent="0.25">
      <c r="A174" s="47"/>
      <c r="B174" s="48" t="s">
        <v>99</v>
      </c>
      <c r="C174" s="8">
        <v>2</v>
      </c>
      <c r="D174" s="48">
        <v>13</v>
      </c>
      <c r="E174" s="48">
        <v>6.5</v>
      </c>
      <c r="F174" s="48"/>
      <c r="G174" s="48">
        <f>C174*D174*E174</f>
        <v>169</v>
      </c>
      <c r="H174" s="75" t="s">
        <v>36</v>
      </c>
      <c r="I174" s="97">
        <v>1500</v>
      </c>
      <c r="J174" s="69">
        <f t="shared" ref="J174:J183" si="18">G174*I174</f>
        <v>253500</v>
      </c>
      <c r="K174" s="158"/>
    </row>
    <row r="175" spans="1:11" x14ac:dyDescent="0.25">
      <c r="A175" s="47"/>
      <c r="B175" s="48" t="s">
        <v>98</v>
      </c>
      <c r="C175" s="8">
        <v>2</v>
      </c>
      <c r="D175" s="48">
        <v>13</v>
      </c>
      <c r="E175" s="48">
        <v>6.5</v>
      </c>
      <c r="F175" s="48">
        <v>0.1</v>
      </c>
      <c r="G175" s="48">
        <f>C175*D175*E175*F175</f>
        <v>16.900000000000002</v>
      </c>
      <c r="H175" s="75" t="s">
        <v>51</v>
      </c>
      <c r="I175" s="97">
        <f>I162</f>
        <v>5329.43</v>
      </c>
      <c r="J175" s="69">
        <f t="shared" si="18"/>
        <v>90067.367000000013</v>
      </c>
      <c r="K175" s="158"/>
    </row>
    <row r="176" spans="1:11" x14ac:dyDescent="0.25">
      <c r="A176" s="47"/>
      <c r="B176" s="48" t="s">
        <v>63</v>
      </c>
      <c r="C176" s="8">
        <v>1</v>
      </c>
      <c r="D176" s="48"/>
      <c r="E176" s="48">
        <f>G175</f>
        <v>16.900000000000002</v>
      </c>
      <c r="F176" s="48">
        <v>100</v>
      </c>
      <c r="G176" s="48">
        <f>C176*E176*F176</f>
        <v>1690.0000000000002</v>
      </c>
      <c r="H176" s="75" t="s">
        <v>56</v>
      </c>
      <c r="I176" s="97">
        <f>I164</f>
        <v>66.239999999999995</v>
      </c>
      <c r="J176" s="70">
        <f t="shared" si="18"/>
        <v>111945.60000000001</v>
      </c>
      <c r="K176" s="158"/>
    </row>
    <row r="177" spans="1:11" x14ac:dyDescent="0.25">
      <c r="A177" s="47"/>
      <c r="B177" s="48" t="s">
        <v>101</v>
      </c>
      <c r="C177" s="8">
        <v>2</v>
      </c>
      <c r="D177" s="48">
        <f>12+6+12+6</f>
        <v>36</v>
      </c>
      <c r="E177" s="48">
        <v>3</v>
      </c>
      <c r="F177" s="48">
        <v>0.75</v>
      </c>
      <c r="G177" s="48">
        <f>C177*D177*E177*F177</f>
        <v>162</v>
      </c>
      <c r="H177" s="75" t="s">
        <v>36</v>
      </c>
      <c r="I177" s="97">
        <f>I165</f>
        <v>718.4</v>
      </c>
      <c r="J177" s="69">
        <f t="shared" si="18"/>
        <v>116380.8</v>
      </c>
      <c r="K177" s="158"/>
    </row>
    <row r="178" spans="1:11" x14ac:dyDescent="0.25">
      <c r="A178" s="47"/>
      <c r="B178" s="48" t="s">
        <v>100</v>
      </c>
      <c r="C178" s="8">
        <v>1</v>
      </c>
      <c r="D178" s="48">
        <v>12</v>
      </c>
      <c r="E178" s="48">
        <v>6</v>
      </c>
      <c r="F178" s="48"/>
      <c r="G178" s="48">
        <f>C178*D178*E178</f>
        <v>72</v>
      </c>
      <c r="H178" s="75" t="s">
        <v>85</v>
      </c>
      <c r="I178" s="97">
        <v>1000</v>
      </c>
      <c r="J178" s="69">
        <f t="shared" si="18"/>
        <v>72000</v>
      </c>
      <c r="K178" s="158"/>
    </row>
    <row r="179" spans="1:11" x14ac:dyDescent="0.25">
      <c r="A179" s="38"/>
      <c r="B179" s="27" t="s">
        <v>336</v>
      </c>
      <c r="C179" s="6">
        <v>1</v>
      </c>
      <c r="D179" s="27">
        <f>D178*2+E178*2+E178</f>
        <v>42</v>
      </c>
      <c r="E179" s="27">
        <v>5.5</v>
      </c>
      <c r="F179" s="27"/>
      <c r="G179" s="27">
        <f>C179*D179*E179</f>
        <v>231</v>
      </c>
      <c r="H179" s="73" t="s">
        <v>36</v>
      </c>
      <c r="I179" s="94">
        <v>4000</v>
      </c>
      <c r="J179" s="69">
        <f t="shared" si="18"/>
        <v>924000</v>
      </c>
      <c r="K179" s="158"/>
    </row>
    <row r="180" spans="1:11" x14ac:dyDescent="0.25">
      <c r="A180" s="38"/>
      <c r="B180" s="27" t="s">
        <v>329</v>
      </c>
      <c r="C180" s="6">
        <v>1</v>
      </c>
      <c r="D180" s="27">
        <v>12</v>
      </c>
      <c r="E180" s="27">
        <v>6</v>
      </c>
      <c r="F180" s="27"/>
      <c r="G180" s="27">
        <f>C180*D180*E180</f>
        <v>72</v>
      </c>
      <c r="H180" s="73" t="s">
        <v>36</v>
      </c>
      <c r="I180" s="94">
        <f>150*10.76</f>
        <v>1614</v>
      </c>
      <c r="J180" s="69">
        <f t="shared" si="18"/>
        <v>116208</v>
      </c>
      <c r="K180" s="158"/>
    </row>
    <row r="181" spans="1:11" x14ac:dyDescent="0.25">
      <c r="A181" s="38"/>
      <c r="B181" s="27" t="s">
        <v>330</v>
      </c>
      <c r="C181" s="6"/>
      <c r="D181" s="27"/>
      <c r="E181" s="27"/>
      <c r="F181" s="27"/>
      <c r="G181" s="27">
        <v>1</v>
      </c>
      <c r="H181" s="73" t="s">
        <v>4</v>
      </c>
      <c r="I181" s="94">
        <v>10000</v>
      </c>
      <c r="J181" s="69">
        <f t="shared" si="18"/>
        <v>10000</v>
      </c>
      <c r="K181" s="158"/>
    </row>
    <row r="182" spans="1:11" x14ac:dyDescent="0.25">
      <c r="A182" s="38"/>
      <c r="B182" s="180" t="s">
        <v>233</v>
      </c>
      <c r="C182" s="6">
        <v>1</v>
      </c>
      <c r="D182" s="27">
        <v>12</v>
      </c>
      <c r="E182" s="27">
        <v>18</v>
      </c>
      <c r="F182" s="27">
        <v>0.2</v>
      </c>
      <c r="G182" s="27">
        <f>C182*D182*E182*F182</f>
        <v>43.2</v>
      </c>
      <c r="H182" s="73" t="s">
        <v>51</v>
      </c>
      <c r="I182" s="94">
        <v>5330</v>
      </c>
      <c r="J182" s="69">
        <f t="shared" si="18"/>
        <v>230256.00000000003</v>
      </c>
      <c r="K182" s="158"/>
    </row>
    <row r="183" spans="1:11" x14ac:dyDescent="0.25">
      <c r="A183" s="38"/>
      <c r="B183" s="27" t="s">
        <v>234</v>
      </c>
      <c r="C183" s="6">
        <v>1</v>
      </c>
      <c r="D183" s="27">
        <v>12</v>
      </c>
      <c r="E183" s="27">
        <v>18</v>
      </c>
      <c r="F183" s="27"/>
      <c r="G183" s="27">
        <f>C183*D183*E183</f>
        <v>216</v>
      </c>
      <c r="H183" s="73" t="s">
        <v>36</v>
      </c>
      <c r="I183" s="94">
        <v>1500</v>
      </c>
      <c r="J183" s="69">
        <f t="shared" si="18"/>
        <v>324000</v>
      </c>
      <c r="K183" s="158"/>
    </row>
    <row r="184" spans="1:11" x14ac:dyDescent="0.25">
      <c r="A184" s="47"/>
      <c r="B184" s="46" t="s">
        <v>229</v>
      </c>
      <c r="C184" s="14"/>
      <c r="D184" s="14"/>
      <c r="E184" s="46"/>
      <c r="F184" s="46"/>
      <c r="G184" s="68"/>
      <c r="H184" s="78"/>
      <c r="I184" s="96"/>
      <c r="J184" s="68"/>
      <c r="K184" s="44"/>
    </row>
    <row r="185" spans="1:11" x14ac:dyDescent="0.25">
      <c r="A185" s="47"/>
      <c r="B185" s="42" t="s">
        <v>54</v>
      </c>
      <c r="C185" s="66">
        <v>1.3</v>
      </c>
      <c r="D185" s="66">
        <v>0.6</v>
      </c>
      <c r="E185" s="43">
        <v>0.5</v>
      </c>
      <c r="F185" s="43">
        <v>2</v>
      </c>
      <c r="G185" s="66">
        <f>F185*E185*D185*C185</f>
        <v>0.78</v>
      </c>
      <c r="H185" s="73" t="s">
        <v>51</v>
      </c>
      <c r="I185" s="94"/>
      <c r="J185" s="95"/>
      <c r="K185" s="44"/>
    </row>
    <row r="186" spans="1:11" x14ac:dyDescent="0.25">
      <c r="A186" s="47"/>
      <c r="B186" s="42"/>
      <c r="C186" s="66"/>
      <c r="D186" s="66"/>
      <c r="E186" s="43"/>
      <c r="F186" s="43"/>
      <c r="G186" s="66">
        <f>SUM(G185:G185)</f>
        <v>0.78</v>
      </c>
      <c r="H186" s="73" t="s">
        <v>51</v>
      </c>
      <c r="I186" s="94">
        <f>I126</f>
        <v>5329.43</v>
      </c>
      <c r="J186" s="95">
        <f>I186*G186</f>
        <v>4156.9554000000007</v>
      </c>
      <c r="K186" s="44"/>
    </row>
    <row r="187" spans="1:11" x14ac:dyDescent="0.25">
      <c r="A187" s="47"/>
      <c r="B187" s="42" t="s">
        <v>55</v>
      </c>
      <c r="C187" s="66">
        <f>G186</f>
        <v>0.78</v>
      </c>
      <c r="D187" s="66"/>
      <c r="E187" s="43"/>
      <c r="F187" s="43">
        <v>8</v>
      </c>
      <c r="G187" s="66">
        <f>F187*C187</f>
        <v>6.24</v>
      </c>
      <c r="H187" s="73" t="s">
        <v>36</v>
      </c>
      <c r="I187" s="94">
        <f>I127</f>
        <v>718.4</v>
      </c>
      <c r="J187" s="95">
        <f t="shared" ref="J187:J190" si="19">I187*G187</f>
        <v>4482.8159999999998</v>
      </c>
      <c r="K187" s="44"/>
    </row>
    <row r="188" spans="1:11" x14ac:dyDescent="0.25">
      <c r="A188" s="47"/>
      <c r="B188" s="42" t="s">
        <v>5</v>
      </c>
      <c r="C188" s="66">
        <f>G186</f>
        <v>0.78</v>
      </c>
      <c r="D188" s="66"/>
      <c r="E188" s="43"/>
      <c r="F188" s="43">
        <v>125</v>
      </c>
      <c r="G188" s="66">
        <f>F188*C188</f>
        <v>97.5</v>
      </c>
      <c r="H188" s="73" t="s">
        <v>56</v>
      </c>
      <c r="I188" s="94">
        <f>I128</f>
        <v>66.42</v>
      </c>
      <c r="J188" s="95">
        <f t="shared" si="19"/>
        <v>6475.95</v>
      </c>
      <c r="K188" s="44"/>
    </row>
    <row r="189" spans="1:11" x14ac:dyDescent="0.25">
      <c r="A189" s="47"/>
      <c r="B189" s="42" t="s">
        <v>57</v>
      </c>
      <c r="C189" s="66">
        <v>4</v>
      </c>
      <c r="D189" s="66"/>
      <c r="E189" s="43"/>
      <c r="F189" s="43">
        <v>1</v>
      </c>
      <c r="G189" s="66">
        <f>F189*C189</f>
        <v>4</v>
      </c>
      <c r="H189" s="73" t="s">
        <v>9</v>
      </c>
      <c r="I189" s="94">
        <v>400</v>
      </c>
      <c r="J189" s="95">
        <f t="shared" si="19"/>
        <v>1600</v>
      </c>
      <c r="K189" s="44"/>
    </row>
    <row r="190" spans="1:11" x14ac:dyDescent="0.25">
      <c r="A190" s="47"/>
      <c r="B190" s="42" t="s">
        <v>58</v>
      </c>
      <c r="C190" s="66">
        <v>0.1</v>
      </c>
      <c r="D190" s="66">
        <v>0.1</v>
      </c>
      <c r="E190" s="43">
        <v>0.3</v>
      </c>
      <c r="F190" s="43">
        <f>G189</f>
        <v>4</v>
      </c>
      <c r="G190" s="66">
        <f>C190*D190*E190*F190</f>
        <v>1.2000000000000002E-2</v>
      </c>
      <c r="H190" s="73" t="s">
        <v>51</v>
      </c>
      <c r="I190" s="94">
        <v>110053</v>
      </c>
      <c r="J190" s="95">
        <f t="shared" si="19"/>
        <v>1320.6360000000002</v>
      </c>
      <c r="K190" s="44"/>
    </row>
    <row r="191" spans="1:11" x14ac:dyDescent="0.25">
      <c r="A191" s="38"/>
      <c r="B191" s="46" t="s">
        <v>235</v>
      </c>
      <c r="C191" s="14"/>
      <c r="D191" s="14"/>
      <c r="E191" s="46"/>
      <c r="F191" s="46"/>
      <c r="G191" s="68"/>
      <c r="H191" s="78"/>
      <c r="I191" s="96"/>
      <c r="J191" s="68"/>
      <c r="K191" s="158"/>
    </row>
    <row r="192" spans="1:11" x14ac:dyDescent="0.25">
      <c r="A192" s="38"/>
      <c r="B192" s="42" t="s">
        <v>54</v>
      </c>
      <c r="C192" s="66">
        <v>5</v>
      </c>
      <c r="D192" s="66">
        <v>2</v>
      </c>
      <c r="E192" s="43">
        <v>0.3</v>
      </c>
      <c r="F192" s="43">
        <v>1</v>
      </c>
      <c r="G192" s="66">
        <f>F192*E192*D192*C192</f>
        <v>3</v>
      </c>
      <c r="H192" s="73"/>
      <c r="I192" s="94"/>
      <c r="J192" s="95"/>
      <c r="K192" s="158"/>
    </row>
    <row r="193" spans="1:11" x14ac:dyDescent="0.25">
      <c r="A193" s="38"/>
      <c r="B193" s="42"/>
      <c r="C193" s="66">
        <v>0.85</v>
      </c>
      <c r="D193" s="66">
        <v>0.22500000000000001</v>
      </c>
      <c r="E193" s="43">
        <v>0.3</v>
      </c>
      <c r="F193" s="43">
        <v>2</v>
      </c>
      <c r="G193" s="66">
        <f>F193*E193*D193*C193</f>
        <v>0.11475</v>
      </c>
      <c r="H193" s="73"/>
      <c r="I193" s="94"/>
      <c r="J193" s="95"/>
      <c r="K193" s="158"/>
    </row>
    <row r="194" spans="1:11" x14ac:dyDescent="0.25">
      <c r="A194" s="38"/>
      <c r="B194" s="42"/>
      <c r="C194" s="66"/>
      <c r="D194" s="66"/>
      <c r="E194" s="43"/>
      <c r="F194" s="43"/>
      <c r="G194" s="66">
        <f>SUM(G192:G193)</f>
        <v>3.1147499999999999</v>
      </c>
      <c r="H194" s="73" t="s">
        <v>51</v>
      </c>
      <c r="I194" s="94">
        <f>I186</f>
        <v>5329.43</v>
      </c>
      <c r="J194" s="95">
        <f>I194*G195</f>
        <v>132798.73673999999</v>
      </c>
      <c r="K194" s="158"/>
    </row>
    <row r="195" spans="1:11" x14ac:dyDescent="0.25">
      <c r="A195" s="38"/>
      <c r="B195" s="42" t="s">
        <v>55</v>
      </c>
      <c r="C195" s="66">
        <f>G194</f>
        <v>3.1147499999999999</v>
      </c>
      <c r="D195" s="66"/>
      <c r="E195" s="43"/>
      <c r="F195" s="43">
        <v>8</v>
      </c>
      <c r="G195" s="66">
        <f>F195*C195</f>
        <v>24.917999999999999</v>
      </c>
      <c r="H195" s="77" t="s">
        <v>36</v>
      </c>
      <c r="I195" s="107">
        <v>718.4</v>
      </c>
      <c r="J195" s="95">
        <f>I195*G196</f>
        <v>279704.55</v>
      </c>
      <c r="K195" s="158"/>
    </row>
    <row r="196" spans="1:11" x14ac:dyDescent="0.25">
      <c r="A196" s="38"/>
      <c r="B196" s="42" t="s">
        <v>5</v>
      </c>
      <c r="C196" s="66">
        <f>G194</f>
        <v>3.1147499999999999</v>
      </c>
      <c r="D196" s="66"/>
      <c r="E196" s="43"/>
      <c r="F196" s="43">
        <v>125</v>
      </c>
      <c r="G196" s="66">
        <f>F196*C196</f>
        <v>389.34375</v>
      </c>
      <c r="H196" s="73" t="s">
        <v>56</v>
      </c>
      <c r="I196" s="94">
        <v>66.42</v>
      </c>
      <c r="J196" s="95">
        <f t="shared" ref="J196:J198" si="20">I196*G196</f>
        <v>25860.211875000001</v>
      </c>
      <c r="K196" s="158"/>
    </row>
    <row r="197" spans="1:11" x14ac:dyDescent="0.25">
      <c r="A197" s="38"/>
      <c r="B197" s="42" t="s">
        <v>57</v>
      </c>
      <c r="C197" s="66">
        <v>4</v>
      </c>
      <c r="D197" s="66"/>
      <c r="E197" s="43"/>
      <c r="F197" s="43">
        <v>1</v>
      </c>
      <c r="G197" s="66">
        <f>F197*C197</f>
        <v>4</v>
      </c>
      <c r="H197" s="73" t="s">
        <v>9</v>
      </c>
      <c r="I197" s="94">
        <v>400</v>
      </c>
      <c r="J197" s="95">
        <f t="shared" si="20"/>
        <v>1600</v>
      </c>
      <c r="K197" s="158"/>
    </row>
    <row r="198" spans="1:11" x14ac:dyDescent="0.25">
      <c r="A198" s="25"/>
      <c r="B198" s="42" t="s">
        <v>58</v>
      </c>
      <c r="C198" s="66">
        <v>0.1</v>
      </c>
      <c r="D198" s="66">
        <v>0.1</v>
      </c>
      <c r="E198" s="43">
        <v>0.3</v>
      </c>
      <c r="F198" s="43">
        <f>G197</f>
        <v>4</v>
      </c>
      <c r="G198" s="66">
        <f>C198*D198*E198*F198</f>
        <v>1.2000000000000002E-2</v>
      </c>
      <c r="H198" s="73" t="s">
        <v>51</v>
      </c>
      <c r="I198" s="94">
        <v>110053</v>
      </c>
      <c r="J198" s="95">
        <f t="shared" si="20"/>
        <v>1320.6360000000002</v>
      </c>
      <c r="K198" s="158"/>
    </row>
    <row r="199" spans="1:11" x14ac:dyDescent="0.25">
      <c r="A199" s="38"/>
      <c r="B199" s="46" t="s">
        <v>236</v>
      </c>
      <c r="C199" s="14"/>
      <c r="D199" s="14"/>
      <c r="E199" s="46"/>
      <c r="F199" s="46"/>
      <c r="G199" s="68"/>
      <c r="H199" s="78"/>
      <c r="I199" s="96"/>
      <c r="J199" s="68"/>
      <c r="K199" s="158"/>
    </row>
    <row r="200" spans="1:11" x14ac:dyDescent="0.25">
      <c r="A200" s="38"/>
      <c r="B200" s="42" t="s">
        <v>54</v>
      </c>
      <c r="C200" s="66">
        <v>4.2</v>
      </c>
      <c r="D200" s="66">
        <v>2.7</v>
      </c>
      <c r="E200" s="43">
        <v>1</v>
      </c>
      <c r="F200" s="43">
        <v>1</v>
      </c>
      <c r="G200" s="66">
        <f>F200*E200*D200*C200</f>
        <v>11.340000000000002</v>
      </c>
      <c r="H200" s="73" t="s">
        <v>51</v>
      </c>
      <c r="I200" s="94"/>
      <c r="J200" s="95"/>
      <c r="K200" s="158"/>
    </row>
    <row r="201" spans="1:11" x14ac:dyDescent="0.25">
      <c r="A201" s="38"/>
      <c r="B201" s="42"/>
      <c r="C201" s="66"/>
      <c r="D201" s="66"/>
      <c r="E201" s="43"/>
      <c r="F201" s="43"/>
      <c r="G201" s="66">
        <f>SUM(G200:G200)</f>
        <v>11.340000000000002</v>
      </c>
      <c r="H201" s="73" t="s">
        <v>51</v>
      </c>
      <c r="I201" s="94">
        <v>5329.43</v>
      </c>
      <c r="J201" s="95">
        <f>I201*G201</f>
        <v>60435.736200000014</v>
      </c>
      <c r="K201" s="158"/>
    </row>
    <row r="202" spans="1:11" x14ac:dyDescent="0.25">
      <c r="A202" s="38"/>
      <c r="B202" s="42" t="s">
        <v>55</v>
      </c>
      <c r="C202" s="66">
        <f>G201</f>
        <v>11.340000000000002</v>
      </c>
      <c r="D202" s="66"/>
      <c r="E202" s="43"/>
      <c r="F202" s="43">
        <v>8</v>
      </c>
      <c r="G202" s="66">
        <f>F202*C202</f>
        <v>90.720000000000013</v>
      </c>
      <c r="H202" s="73" t="s">
        <v>36</v>
      </c>
      <c r="I202" s="94">
        <v>718.4</v>
      </c>
      <c r="J202" s="95">
        <f t="shared" ref="J202:J205" si="21">I202*G202</f>
        <v>65173.248000000007</v>
      </c>
      <c r="K202" s="158"/>
    </row>
    <row r="203" spans="1:11" x14ac:dyDescent="0.25">
      <c r="A203" s="25"/>
      <c r="B203" s="42" t="s">
        <v>5</v>
      </c>
      <c r="C203" s="66">
        <f>G201</f>
        <v>11.340000000000002</v>
      </c>
      <c r="D203" s="66"/>
      <c r="E203" s="43"/>
      <c r="F203" s="43">
        <v>125</v>
      </c>
      <c r="G203" s="66">
        <f>F203*C203</f>
        <v>1417.5000000000002</v>
      </c>
      <c r="H203" s="73" t="s">
        <v>56</v>
      </c>
      <c r="I203" s="94">
        <v>66.42</v>
      </c>
      <c r="J203" s="95">
        <f t="shared" si="21"/>
        <v>94150.35000000002</v>
      </c>
      <c r="K203" s="158"/>
    </row>
    <row r="204" spans="1:11" x14ac:dyDescent="0.25">
      <c r="A204" s="38"/>
      <c r="B204" s="42" t="s">
        <v>57</v>
      </c>
      <c r="C204" s="66">
        <v>4</v>
      </c>
      <c r="D204" s="66"/>
      <c r="E204" s="43"/>
      <c r="F204" s="43">
        <v>1</v>
      </c>
      <c r="G204" s="66">
        <f>F204*C204</f>
        <v>4</v>
      </c>
      <c r="H204" s="73" t="s">
        <v>9</v>
      </c>
      <c r="I204" s="94">
        <v>400</v>
      </c>
      <c r="J204" s="95">
        <f t="shared" si="21"/>
        <v>1600</v>
      </c>
      <c r="K204" s="158"/>
    </row>
    <row r="205" spans="1:11" x14ac:dyDescent="0.25">
      <c r="A205" s="38"/>
      <c r="B205" s="42" t="s">
        <v>58</v>
      </c>
      <c r="C205" s="66">
        <v>0.1</v>
      </c>
      <c r="D205" s="66">
        <v>0.1</v>
      </c>
      <c r="E205" s="43">
        <v>0.3</v>
      </c>
      <c r="F205" s="43">
        <f>G204</f>
        <v>4</v>
      </c>
      <c r="G205" s="66">
        <f>C205*D205*E205*F205</f>
        <v>1.2000000000000002E-2</v>
      </c>
      <c r="H205" s="73" t="s">
        <v>51</v>
      </c>
      <c r="I205" s="94">
        <v>110053</v>
      </c>
      <c r="J205" s="95">
        <f t="shared" si="21"/>
        <v>1320.6360000000002</v>
      </c>
      <c r="K205" s="158"/>
    </row>
    <row r="206" spans="1:11" x14ac:dyDescent="0.25">
      <c r="A206" s="38"/>
      <c r="B206" s="26" t="s">
        <v>237</v>
      </c>
      <c r="C206" s="6"/>
      <c r="D206" s="6"/>
      <c r="E206" s="27"/>
      <c r="F206" s="27"/>
      <c r="G206" s="27"/>
      <c r="H206" s="73"/>
      <c r="I206" s="94"/>
      <c r="J206" s="95"/>
      <c r="K206" s="158"/>
    </row>
    <row r="207" spans="1:11" x14ac:dyDescent="0.25">
      <c r="A207" s="38"/>
      <c r="B207" s="27" t="s">
        <v>20</v>
      </c>
      <c r="C207" s="6"/>
      <c r="D207" s="6"/>
      <c r="E207" s="27">
        <f>12*6</f>
        <v>72</v>
      </c>
      <c r="F207" s="27"/>
      <c r="G207" s="27"/>
      <c r="H207" s="73" t="s">
        <v>36</v>
      </c>
      <c r="I207" s="94"/>
      <c r="J207" s="95"/>
      <c r="K207" s="158"/>
    </row>
    <row r="208" spans="1:11" x14ac:dyDescent="0.25">
      <c r="A208" s="47"/>
      <c r="B208" s="27" t="s">
        <v>21</v>
      </c>
      <c r="C208" s="6"/>
      <c r="D208" s="6"/>
      <c r="E208" s="27">
        <f>SUM(E207:E207)</f>
        <v>72</v>
      </c>
      <c r="F208" s="27">
        <v>150</v>
      </c>
      <c r="G208" s="27">
        <f>F208*E208</f>
        <v>10800</v>
      </c>
      <c r="H208" s="73" t="s">
        <v>56</v>
      </c>
      <c r="I208" s="94">
        <v>81.52</v>
      </c>
      <c r="J208" s="95">
        <f>I208*G208</f>
        <v>880416</v>
      </c>
      <c r="K208" s="158"/>
    </row>
    <row r="209" spans="1:11" x14ac:dyDescent="0.25">
      <c r="A209" s="47"/>
      <c r="B209" s="27" t="s">
        <v>22</v>
      </c>
      <c r="C209" s="6"/>
      <c r="D209" s="6"/>
      <c r="E209" s="27">
        <f>E207</f>
        <v>72</v>
      </c>
      <c r="F209" s="27"/>
      <c r="G209" s="27">
        <f>E209</f>
        <v>72</v>
      </c>
      <c r="H209" s="73" t="s">
        <v>36</v>
      </c>
      <c r="I209" s="94">
        <v>3000</v>
      </c>
      <c r="J209" s="95">
        <f t="shared" ref="J209:J213" si="22">I209*G209</f>
        <v>216000</v>
      </c>
      <c r="K209" s="158"/>
    </row>
    <row r="210" spans="1:11" x14ac:dyDescent="0.25">
      <c r="A210" s="47"/>
      <c r="B210" s="27" t="s">
        <v>23</v>
      </c>
      <c r="C210" s="6"/>
      <c r="D210" s="6"/>
      <c r="E210" s="27">
        <f>12+6+12+6</f>
        <v>36</v>
      </c>
      <c r="F210" s="27"/>
      <c r="G210" s="27">
        <f>E210</f>
        <v>36</v>
      </c>
      <c r="H210" s="73" t="s">
        <v>47</v>
      </c>
      <c r="I210" s="94">
        <v>1500</v>
      </c>
      <c r="J210" s="95">
        <f t="shared" si="22"/>
        <v>54000</v>
      </c>
      <c r="K210" s="158"/>
    </row>
    <row r="211" spans="1:11" x14ac:dyDescent="0.25">
      <c r="A211" s="47"/>
      <c r="B211" s="27" t="s">
        <v>24</v>
      </c>
      <c r="C211" s="6"/>
      <c r="D211" s="6"/>
      <c r="E211" s="27">
        <f>G208</f>
        <v>10800</v>
      </c>
      <c r="F211" s="27">
        <v>0.03</v>
      </c>
      <c r="G211" s="27">
        <f>F211*E211</f>
        <v>324</v>
      </c>
      <c r="H211" s="73" t="s">
        <v>36</v>
      </c>
      <c r="I211" s="94">
        <f>626.89+244.56</f>
        <v>871.45</v>
      </c>
      <c r="J211" s="95">
        <f t="shared" si="22"/>
        <v>282349.8</v>
      </c>
      <c r="K211" s="158"/>
    </row>
    <row r="212" spans="1:11" x14ac:dyDescent="0.25">
      <c r="A212" s="47"/>
      <c r="B212" s="180" t="s">
        <v>233</v>
      </c>
      <c r="C212" s="6">
        <v>1</v>
      </c>
      <c r="D212" s="27">
        <v>12</v>
      </c>
      <c r="E212" s="27">
        <v>6</v>
      </c>
      <c r="F212" s="27">
        <v>0.2</v>
      </c>
      <c r="G212" s="27">
        <f>C212*D212*E212*F212</f>
        <v>14.4</v>
      </c>
      <c r="H212" s="73" t="s">
        <v>51</v>
      </c>
      <c r="I212" s="94">
        <v>5330</v>
      </c>
      <c r="J212" s="95">
        <f t="shared" si="22"/>
        <v>76752</v>
      </c>
      <c r="K212" s="158"/>
    </row>
    <row r="213" spans="1:11" x14ac:dyDescent="0.25">
      <c r="A213" s="47"/>
      <c r="B213" s="27" t="s">
        <v>234</v>
      </c>
      <c r="C213" s="6">
        <v>1</v>
      </c>
      <c r="D213" s="27">
        <v>12</v>
      </c>
      <c r="E213" s="27">
        <v>6</v>
      </c>
      <c r="F213" s="27"/>
      <c r="G213" s="27">
        <f>C213*D213*E213</f>
        <v>72</v>
      </c>
      <c r="H213" s="73" t="s">
        <v>36</v>
      </c>
      <c r="I213" s="94">
        <v>1500</v>
      </c>
      <c r="J213" s="95">
        <f t="shared" si="22"/>
        <v>108000</v>
      </c>
      <c r="K213" s="158"/>
    </row>
    <row r="214" spans="1:11" x14ac:dyDescent="0.25">
      <c r="A214" s="47"/>
      <c r="B214" s="46" t="s">
        <v>238</v>
      </c>
      <c r="C214" s="14"/>
      <c r="D214" s="14"/>
      <c r="E214" s="46"/>
      <c r="F214" s="46"/>
      <c r="G214" s="68"/>
      <c r="H214" s="78"/>
      <c r="I214" s="96"/>
      <c r="J214" s="68"/>
      <c r="K214" s="158"/>
    </row>
    <row r="215" spans="1:11" x14ac:dyDescent="0.25">
      <c r="A215" s="47"/>
      <c r="B215" s="48" t="s">
        <v>62</v>
      </c>
      <c r="C215" s="8"/>
      <c r="D215" s="8">
        <v>3.14</v>
      </c>
      <c r="E215" s="48">
        <f>1.3*1.3</f>
        <v>1.6900000000000002</v>
      </c>
      <c r="F215" s="48">
        <v>1</v>
      </c>
      <c r="G215" s="69">
        <f>D215*E215*F215</f>
        <v>5.3066000000000004</v>
      </c>
      <c r="H215" s="75" t="s">
        <v>51</v>
      </c>
      <c r="I215" s="97">
        <v>5329.43</v>
      </c>
      <c r="J215" s="69">
        <f t="shared" ref="J215:J217" si="23">G215*I215</f>
        <v>28281.153238000003</v>
      </c>
      <c r="K215" s="158"/>
    </row>
    <row r="216" spans="1:11" x14ac:dyDescent="0.25">
      <c r="A216" s="47"/>
      <c r="B216" s="48" t="s">
        <v>63</v>
      </c>
      <c r="C216" s="8"/>
      <c r="D216" s="8"/>
      <c r="E216" s="48">
        <f>G215</f>
        <v>5.3066000000000004</v>
      </c>
      <c r="F216" s="48">
        <v>100</v>
      </c>
      <c r="G216" s="69">
        <f>E216*F216</f>
        <v>530.66000000000008</v>
      </c>
      <c r="H216" s="75" t="s">
        <v>56</v>
      </c>
      <c r="I216" s="97">
        <v>66.42</v>
      </c>
      <c r="J216" s="70">
        <f t="shared" si="23"/>
        <v>35246.437200000008</v>
      </c>
      <c r="K216" s="158"/>
    </row>
    <row r="217" spans="1:11" x14ac:dyDescent="0.25">
      <c r="A217" s="47"/>
      <c r="B217" s="48" t="s">
        <v>64</v>
      </c>
      <c r="C217" s="8"/>
      <c r="D217" s="8">
        <v>1</v>
      </c>
      <c r="E217" s="48">
        <f>3.14*2.6</f>
        <v>8.1640000000000015</v>
      </c>
      <c r="F217" s="48">
        <v>1.5</v>
      </c>
      <c r="G217" s="69">
        <f>D217*E217*F217</f>
        <v>12.246000000000002</v>
      </c>
      <c r="H217" s="75" t="s">
        <v>36</v>
      </c>
      <c r="I217" s="97">
        <v>718.4</v>
      </c>
      <c r="J217" s="69">
        <f t="shared" si="23"/>
        <v>8797.5264000000006</v>
      </c>
      <c r="K217" s="158"/>
    </row>
    <row r="218" spans="1:11" x14ac:dyDescent="0.25">
      <c r="A218" s="47"/>
      <c r="B218" s="48" t="s">
        <v>65</v>
      </c>
      <c r="C218" s="8"/>
      <c r="D218" s="8">
        <f>(3.14*2.6)/0.3</f>
        <v>27.213333333333338</v>
      </c>
      <c r="E218" s="48">
        <v>16</v>
      </c>
      <c r="F218" s="48"/>
      <c r="G218" s="69">
        <f>D218*E218</f>
        <v>435.41333333333341</v>
      </c>
      <c r="H218" s="75" t="s">
        <v>56</v>
      </c>
      <c r="I218" s="97">
        <v>125</v>
      </c>
      <c r="J218" s="69">
        <f>G218*I218</f>
        <v>54426.666666666679</v>
      </c>
      <c r="K218" s="158"/>
    </row>
    <row r="219" spans="1:11" x14ac:dyDescent="0.25">
      <c r="A219" s="47"/>
      <c r="B219" s="46" t="s">
        <v>239</v>
      </c>
      <c r="C219" s="14"/>
      <c r="D219" s="14"/>
      <c r="E219" s="46"/>
      <c r="F219" s="46"/>
      <c r="G219" s="68"/>
      <c r="H219" s="78"/>
      <c r="I219" s="96"/>
      <c r="J219" s="68"/>
      <c r="K219" s="158"/>
    </row>
    <row r="220" spans="1:11" x14ac:dyDescent="0.25">
      <c r="A220" s="47"/>
      <c r="B220" s="48" t="s">
        <v>62</v>
      </c>
      <c r="C220" s="8"/>
      <c r="D220" s="8">
        <v>3.14</v>
      </c>
      <c r="E220" s="48">
        <f>1*1</f>
        <v>1</v>
      </c>
      <c r="F220" s="48">
        <v>1</v>
      </c>
      <c r="G220" s="69">
        <f>D220*E220*F220</f>
        <v>3.14</v>
      </c>
      <c r="H220" s="75" t="s">
        <v>51</v>
      </c>
      <c r="I220" s="97">
        <v>5329.43</v>
      </c>
      <c r="J220" s="69">
        <f t="shared" ref="J220:J222" si="24">G220*I220</f>
        <v>16734.410200000002</v>
      </c>
      <c r="K220" s="158"/>
    </row>
    <row r="221" spans="1:11" x14ac:dyDescent="0.25">
      <c r="A221" s="47"/>
      <c r="B221" s="48" t="s">
        <v>63</v>
      </c>
      <c r="C221" s="8"/>
      <c r="D221" s="8"/>
      <c r="E221" s="48">
        <f>G220</f>
        <v>3.14</v>
      </c>
      <c r="F221" s="48">
        <v>100</v>
      </c>
      <c r="G221" s="69">
        <f>E221*F221</f>
        <v>314</v>
      </c>
      <c r="H221" s="75" t="s">
        <v>56</v>
      </c>
      <c r="I221" s="97">
        <v>66.42</v>
      </c>
      <c r="J221" s="70">
        <f t="shared" si="24"/>
        <v>20855.88</v>
      </c>
      <c r="K221" s="158"/>
    </row>
    <row r="222" spans="1:11" x14ac:dyDescent="0.25">
      <c r="A222" s="47"/>
      <c r="B222" s="48" t="s">
        <v>64</v>
      </c>
      <c r="C222" s="8"/>
      <c r="D222" s="8">
        <v>1</v>
      </c>
      <c r="E222" s="48">
        <f>3.14*2</f>
        <v>6.28</v>
      </c>
      <c r="F222" s="48">
        <v>1.5</v>
      </c>
      <c r="G222" s="69">
        <f>D222*E222*F222</f>
        <v>9.42</v>
      </c>
      <c r="H222" s="75" t="s">
        <v>36</v>
      </c>
      <c r="I222" s="97">
        <v>718.4</v>
      </c>
      <c r="J222" s="69">
        <f t="shared" si="24"/>
        <v>6767.3279999999995</v>
      </c>
      <c r="K222" s="158"/>
    </row>
    <row r="223" spans="1:11" x14ac:dyDescent="0.25">
      <c r="A223" s="47"/>
      <c r="B223" s="48" t="s">
        <v>65</v>
      </c>
      <c r="C223" s="8"/>
      <c r="D223" s="8">
        <f>(3.14*2.6)/0.3</f>
        <v>27.213333333333338</v>
      </c>
      <c r="E223" s="48">
        <v>16</v>
      </c>
      <c r="F223" s="48"/>
      <c r="G223" s="69">
        <f>D223*E223</f>
        <v>435.41333333333341</v>
      </c>
      <c r="H223" s="75" t="s">
        <v>56</v>
      </c>
      <c r="I223" s="97">
        <v>125</v>
      </c>
      <c r="J223" s="69">
        <f>G223*I223</f>
        <v>54426.666666666679</v>
      </c>
      <c r="K223" s="158"/>
    </row>
    <row r="224" spans="1:11" x14ac:dyDescent="0.25">
      <c r="B224" s="26" t="s">
        <v>240</v>
      </c>
      <c r="C224" s="6"/>
      <c r="D224" s="6"/>
      <c r="E224" s="27"/>
      <c r="F224" s="27"/>
      <c r="G224" s="27"/>
      <c r="H224" s="73"/>
      <c r="I224" s="94"/>
      <c r="J224" s="95"/>
      <c r="K224" s="158"/>
    </row>
    <row r="225" spans="2:11" x14ac:dyDescent="0.25">
      <c r="B225" s="27" t="s">
        <v>20</v>
      </c>
      <c r="C225" s="6">
        <v>12</v>
      </c>
      <c r="D225" s="6">
        <v>6</v>
      </c>
      <c r="E225" s="27">
        <f>D225*C225</f>
        <v>72</v>
      </c>
      <c r="F225" s="27"/>
      <c r="G225" s="27"/>
      <c r="H225" s="73" t="s">
        <v>36</v>
      </c>
      <c r="I225" s="94"/>
      <c r="J225" s="95"/>
      <c r="K225" s="158"/>
    </row>
    <row r="226" spans="2:11" x14ac:dyDescent="0.25">
      <c r="B226" s="27" t="s">
        <v>21</v>
      </c>
      <c r="C226" s="6">
        <v>1.25</v>
      </c>
      <c r="D226" s="6"/>
      <c r="E226" s="27">
        <f>SUM(E225:E225)</f>
        <v>72</v>
      </c>
      <c r="F226" s="27">
        <v>200</v>
      </c>
      <c r="G226" s="27">
        <f>C226*E226*F226</f>
        <v>18000</v>
      </c>
      <c r="H226" s="27"/>
      <c r="I226" s="27"/>
      <c r="J226" s="27"/>
      <c r="K226" s="158"/>
    </row>
    <row r="227" spans="2:11" x14ac:dyDescent="0.25">
      <c r="B227" s="27" t="s">
        <v>250</v>
      </c>
      <c r="C227" s="6">
        <f>10</f>
        <v>10</v>
      </c>
      <c r="D227" s="6">
        <f>12+18+12+18</f>
        <v>60</v>
      </c>
      <c r="E227" s="27">
        <v>16.399999999999999</v>
      </c>
      <c r="F227" s="27"/>
      <c r="G227" s="27">
        <f>C227*D227*E227</f>
        <v>9840</v>
      </c>
      <c r="H227" s="73"/>
      <c r="I227" s="94"/>
      <c r="J227" s="95"/>
      <c r="K227" s="158"/>
    </row>
    <row r="228" spans="2:11" x14ac:dyDescent="0.25">
      <c r="B228" s="27"/>
      <c r="C228" s="6">
        <v>6</v>
      </c>
      <c r="D228" s="6">
        <f>12+6+12+6</f>
        <v>36</v>
      </c>
      <c r="E228" s="27">
        <v>16.399999999999999</v>
      </c>
      <c r="F228" s="27"/>
      <c r="G228" s="27">
        <f>C228*D228*E228</f>
        <v>3542.3999999999996</v>
      </c>
      <c r="H228" s="73"/>
      <c r="I228" s="94"/>
      <c r="J228" s="95"/>
      <c r="K228" s="158"/>
    </row>
    <row r="229" spans="2:11" x14ac:dyDescent="0.25">
      <c r="B229" s="27"/>
      <c r="C229" s="6"/>
      <c r="D229" s="6"/>
      <c r="E229" s="27"/>
      <c r="F229" s="27"/>
      <c r="G229" s="27">
        <f>SUM(G226:G228)</f>
        <v>31382.400000000001</v>
      </c>
      <c r="H229" s="73" t="s">
        <v>56</v>
      </c>
      <c r="I229" s="94">
        <v>81.52</v>
      </c>
      <c r="J229" s="95">
        <f>I229*G226</f>
        <v>1467360</v>
      </c>
      <c r="K229" s="158"/>
    </row>
    <row r="230" spans="2:11" x14ac:dyDescent="0.25">
      <c r="B230" s="27" t="s">
        <v>249</v>
      </c>
      <c r="C230" s="6">
        <v>1.25</v>
      </c>
      <c r="D230" s="6"/>
      <c r="E230" s="27">
        <f>E225</f>
        <v>72</v>
      </c>
      <c r="F230" s="27"/>
      <c r="G230" s="27">
        <f>C230*E230</f>
        <v>90</v>
      </c>
      <c r="H230" s="27"/>
      <c r="I230" s="27"/>
      <c r="J230" s="27"/>
      <c r="K230" s="158"/>
    </row>
    <row r="231" spans="2:11" x14ac:dyDescent="0.25">
      <c r="B231" s="27" t="s">
        <v>241</v>
      </c>
      <c r="C231" s="6">
        <v>1.25</v>
      </c>
      <c r="D231" s="6">
        <v>10</v>
      </c>
      <c r="E231" s="27">
        <v>60</v>
      </c>
      <c r="F231" s="27"/>
      <c r="G231" s="27">
        <f>C231*D231*E231</f>
        <v>750</v>
      </c>
      <c r="H231" s="73"/>
      <c r="I231" s="94"/>
      <c r="J231" s="95"/>
      <c r="K231" s="158"/>
    </row>
    <row r="232" spans="2:11" x14ac:dyDescent="0.25">
      <c r="B232" s="27"/>
      <c r="C232" s="6">
        <v>1.25</v>
      </c>
      <c r="D232" s="6">
        <v>6</v>
      </c>
      <c r="E232" s="27">
        <v>36</v>
      </c>
      <c r="F232" s="27"/>
      <c r="G232" s="27">
        <f>C232*D232*E232</f>
        <v>270</v>
      </c>
      <c r="H232" s="73"/>
      <c r="I232" s="94"/>
      <c r="J232" s="95"/>
      <c r="K232" s="158"/>
    </row>
    <row r="233" spans="2:11" x14ac:dyDescent="0.25">
      <c r="B233" s="27"/>
      <c r="C233" s="6"/>
      <c r="D233" s="6"/>
      <c r="E233" s="27"/>
      <c r="F233" s="27"/>
      <c r="G233" s="27">
        <f>SUM(G230:G232)</f>
        <v>1110</v>
      </c>
      <c r="H233" s="73" t="s">
        <v>36</v>
      </c>
      <c r="I233" s="94">
        <v>504.41</v>
      </c>
      <c r="J233" s="95">
        <f>I233*G230</f>
        <v>45396.9</v>
      </c>
      <c r="K233" s="158"/>
    </row>
    <row r="234" spans="2:11" x14ac:dyDescent="0.25">
      <c r="B234" s="27" t="s">
        <v>24</v>
      </c>
      <c r="C234" s="6"/>
      <c r="D234" s="6"/>
      <c r="E234" s="27">
        <f>G229</f>
        <v>31382.400000000001</v>
      </c>
      <c r="F234" s="27">
        <v>0.03</v>
      </c>
      <c r="G234" s="27">
        <f>F234*E234</f>
        <v>941.47199999999998</v>
      </c>
      <c r="H234" s="73" t="s">
        <v>36</v>
      </c>
      <c r="I234" s="94">
        <v>871.45</v>
      </c>
      <c r="J234" s="95">
        <f>I234*G234</f>
        <v>820445.77439999999</v>
      </c>
      <c r="K234" s="158"/>
    </row>
    <row r="235" spans="2:11" x14ac:dyDescent="0.25">
      <c r="B235" s="27"/>
      <c r="C235" s="6"/>
      <c r="D235" s="27"/>
      <c r="E235" s="27"/>
      <c r="F235" s="27"/>
      <c r="G235" s="363" t="s">
        <v>26</v>
      </c>
      <c r="H235" s="363"/>
      <c r="I235" s="363"/>
      <c r="J235" s="303">
        <f>SUM(J7:J234)</f>
        <v>15379232.167947281</v>
      </c>
      <c r="K235" s="158"/>
    </row>
    <row r="236" spans="2:11" x14ac:dyDescent="0.25">
      <c r="B236" s="58"/>
      <c r="C236" s="185"/>
      <c r="D236" s="58"/>
      <c r="E236" s="58"/>
      <c r="F236" s="59"/>
      <c r="G236" s="59"/>
      <c r="H236" s="81"/>
      <c r="I236" s="105"/>
      <c r="J236" s="106"/>
    </row>
  </sheetData>
  <mergeCells count="10">
    <mergeCell ref="D138:E138"/>
    <mergeCell ref="G140:I140"/>
    <mergeCell ref="F155:I155"/>
    <mergeCell ref="G235:I235"/>
    <mergeCell ref="A1:K1"/>
    <mergeCell ref="G51:I51"/>
    <mergeCell ref="D134:E134"/>
    <mergeCell ref="D136:E136"/>
    <mergeCell ref="D137:E137"/>
    <mergeCell ref="G73:I7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A148" workbookViewId="0">
      <selection activeCell="D166" sqref="D166"/>
    </sheetView>
  </sheetViews>
  <sheetFormatPr defaultRowHeight="15.75" x14ac:dyDescent="0.25"/>
  <cols>
    <col min="1" max="1" width="6.42578125" style="60" bestFit="1" customWidth="1"/>
    <col min="2" max="2" width="66.7109375" style="28" customWidth="1"/>
    <col min="3" max="3" width="7.85546875" style="28" bestFit="1" customWidth="1"/>
    <col min="4" max="4" width="7.7109375" style="28" bestFit="1" customWidth="1"/>
    <col min="5" max="5" width="7.85546875" style="28" bestFit="1" customWidth="1"/>
    <col min="6" max="6" width="7.28515625" style="28" bestFit="1" customWidth="1"/>
    <col min="7" max="7" width="10.140625" style="28" bestFit="1" customWidth="1"/>
    <col min="8" max="8" width="5.140625" style="77" bestFit="1" customWidth="1"/>
    <col min="9" max="9" width="11.28515625" style="107" bestFit="1" customWidth="1"/>
    <col min="10" max="10" width="14.28515625" style="108" bestFit="1" customWidth="1"/>
    <col min="11" max="11" width="11.28515625" style="22" bestFit="1" customWidth="1"/>
    <col min="12" max="12" width="10.28515625" style="28" bestFit="1" customWidth="1"/>
    <col min="13" max="13" width="7.7109375" style="28" bestFit="1" customWidth="1"/>
    <col min="14" max="14" width="5.140625" style="28" bestFit="1" customWidth="1"/>
    <col min="15" max="15" width="6.140625" style="28" bestFit="1" customWidth="1"/>
    <col min="16" max="256" width="9.140625" style="28"/>
    <col min="257" max="257" width="6" style="28" bestFit="1" customWidth="1"/>
    <col min="258" max="258" width="30.140625" style="28" bestFit="1" customWidth="1"/>
    <col min="259" max="259" width="8.28515625" style="28" bestFit="1" customWidth="1"/>
    <col min="260" max="260" width="7" style="28" bestFit="1" customWidth="1"/>
    <col min="261" max="261" width="7.28515625" style="28" bestFit="1" customWidth="1"/>
    <col min="262" max="262" width="7.5703125" style="28" bestFit="1" customWidth="1"/>
    <col min="263" max="263" width="8.28515625" style="28" bestFit="1" customWidth="1"/>
    <col min="264" max="264" width="5.140625" style="28" bestFit="1" customWidth="1"/>
    <col min="265" max="265" width="7.7109375" style="28" bestFit="1" customWidth="1"/>
    <col min="266" max="266" width="9" style="28" bestFit="1" customWidth="1"/>
    <col min="267" max="267" width="14" style="28" bestFit="1" customWidth="1"/>
    <col min="268" max="512" width="9.140625" style="28"/>
    <col min="513" max="513" width="6" style="28" bestFit="1" customWidth="1"/>
    <col min="514" max="514" width="30.140625" style="28" bestFit="1" customWidth="1"/>
    <col min="515" max="515" width="8.28515625" style="28" bestFit="1" customWidth="1"/>
    <col min="516" max="516" width="7" style="28" bestFit="1" customWidth="1"/>
    <col min="517" max="517" width="7.28515625" style="28" bestFit="1" customWidth="1"/>
    <col min="518" max="518" width="7.5703125" style="28" bestFit="1" customWidth="1"/>
    <col min="519" max="519" width="8.28515625" style="28" bestFit="1" customWidth="1"/>
    <col min="520" max="520" width="5.140625" style="28" bestFit="1" customWidth="1"/>
    <col min="521" max="521" width="7.7109375" style="28" bestFit="1" customWidth="1"/>
    <col min="522" max="522" width="9" style="28" bestFit="1" customWidth="1"/>
    <col min="523" max="523" width="14" style="28" bestFit="1" customWidth="1"/>
    <col min="524" max="768" width="9.140625" style="28"/>
    <col min="769" max="769" width="6" style="28" bestFit="1" customWidth="1"/>
    <col min="770" max="770" width="30.140625" style="28" bestFit="1" customWidth="1"/>
    <col min="771" max="771" width="8.28515625" style="28" bestFit="1" customWidth="1"/>
    <col min="772" max="772" width="7" style="28" bestFit="1" customWidth="1"/>
    <col min="773" max="773" width="7.28515625" style="28" bestFit="1" customWidth="1"/>
    <col min="774" max="774" width="7.5703125" style="28" bestFit="1" customWidth="1"/>
    <col min="775" max="775" width="8.28515625" style="28" bestFit="1" customWidth="1"/>
    <col min="776" max="776" width="5.140625" style="28" bestFit="1" customWidth="1"/>
    <col min="777" max="777" width="7.7109375" style="28" bestFit="1" customWidth="1"/>
    <col min="778" max="778" width="9" style="28" bestFit="1" customWidth="1"/>
    <col min="779" max="779" width="14" style="28" bestFit="1" customWidth="1"/>
    <col min="780" max="1024" width="9.140625" style="28"/>
    <col min="1025" max="1025" width="6" style="28" bestFit="1" customWidth="1"/>
    <col min="1026" max="1026" width="30.140625" style="28" bestFit="1" customWidth="1"/>
    <col min="1027" max="1027" width="8.28515625" style="28" bestFit="1" customWidth="1"/>
    <col min="1028" max="1028" width="7" style="28" bestFit="1" customWidth="1"/>
    <col min="1029" max="1029" width="7.28515625" style="28" bestFit="1" customWidth="1"/>
    <col min="1030" max="1030" width="7.5703125" style="28" bestFit="1" customWidth="1"/>
    <col min="1031" max="1031" width="8.28515625" style="28" bestFit="1" customWidth="1"/>
    <col min="1032" max="1032" width="5.140625" style="28" bestFit="1" customWidth="1"/>
    <col min="1033" max="1033" width="7.7109375" style="28" bestFit="1" customWidth="1"/>
    <col min="1034" max="1034" width="9" style="28" bestFit="1" customWidth="1"/>
    <col min="1035" max="1035" width="14" style="28" bestFit="1" customWidth="1"/>
    <col min="1036" max="1280" width="9.140625" style="28"/>
    <col min="1281" max="1281" width="6" style="28" bestFit="1" customWidth="1"/>
    <col min="1282" max="1282" width="30.140625" style="28" bestFit="1" customWidth="1"/>
    <col min="1283" max="1283" width="8.28515625" style="28" bestFit="1" customWidth="1"/>
    <col min="1284" max="1284" width="7" style="28" bestFit="1" customWidth="1"/>
    <col min="1285" max="1285" width="7.28515625" style="28" bestFit="1" customWidth="1"/>
    <col min="1286" max="1286" width="7.5703125" style="28" bestFit="1" customWidth="1"/>
    <col min="1287" max="1287" width="8.28515625" style="28" bestFit="1" customWidth="1"/>
    <col min="1288" max="1288" width="5.140625" style="28" bestFit="1" customWidth="1"/>
    <col min="1289" max="1289" width="7.7109375" style="28" bestFit="1" customWidth="1"/>
    <col min="1290" max="1290" width="9" style="28" bestFit="1" customWidth="1"/>
    <col min="1291" max="1291" width="14" style="28" bestFit="1" customWidth="1"/>
    <col min="1292" max="1536" width="9.140625" style="28"/>
    <col min="1537" max="1537" width="6" style="28" bestFit="1" customWidth="1"/>
    <col min="1538" max="1538" width="30.140625" style="28" bestFit="1" customWidth="1"/>
    <col min="1539" max="1539" width="8.28515625" style="28" bestFit="1" customWidth="1"/>
    <col min="1540" max="1540" width="7" style="28" bestFit="1" customWidth="1"/>
    <col min="1541" max="1541" width="7.28515625" style="28" bestFit="1" customWidth="1"/>
    <col min="1542" max="1542" width="7.5703125" style="28" bestFit="1" customWidth="1"/>
    <col min="1543" max="1543" width="8.28515625" style="28" bestFit="1" customWidth="1"/>
    <col min="1544" max="1544" width="5.140625" style="28" bestFit="1" customWidth="1"/>
    <col min="1545" max="1545" width="7.7109375" style="28" bestFit="1" customWidth="1"/>
    <col min="1546" max="1546" width="9" style="28" bestFit="1" customWidth="1"/>
    <col min="1547" max="1547" width="14" style="28" bestFit="1" customWidth="1"/>
    <col min="1548" max="1792" width="9.140625" style="28"/>
    <col min="1793" max="1793" width="6" style="28" bestFit="1" customWidth="1"/>
    <col min="1794" max="1794" width="30.140625" style="28" bestFit="1" customWidth="1"/>
    <col min="1795" max="1795" width="8.28515625" style="28" bestFit="1" customWidth="1"/>
    <col min="1796" max="1796" width="7" style="28" bestFit="1" customWidth="1"/>
    <col min="1797" max="1797" width="7.28515625" style="28" bestFit="1" customWidth="1"/>
    <col min="1798" max="1798" width="7.5703125" style="28" bestFit="1" customWidth="1"/>
    <col min="1799" max="1799" width="8.28515625" style="28" bestFit="1" customWidth="1"/>
    <col min="1800" max="1800" width="5.140625" style="28" bestFit="1" customWidth="1"/>
    <col min="1801" max="1801" width="7.7109375" style="28" bestFit="1" customWidth="1"/>
    <col min="1802" max="1802" width="9" style="28" bestFit="1" customWidth="1"/>
    <col min="1803" max="1803" width="14" style="28" bestFit="1" customWidth="1"/>
    <col min="1804" max="2048" width="9.140625" style="28"/>
    <col min="2049" max="2049" width="6" style="28" bestFit="1" customWidth="1"/>
    <col min="2050" max="2050" width="30.140625" style="28" bestFit="1" customWidth="1"/>
    <col min="2051" max="2051" width="8.28515625" style="28" bestFit="1" customWidth="1"/>
    <col min="2052" max="2052" width="7" style="28" bestFit="1" customWidth="1"/>
    <col min="2053" max="2053" width="7.28515625" style="28" bestFit="1" customWidth="1"/>
    <col min="2054" max="2054" width="7.5703125" style="28" bestFit="1" customWidth="1"/>
    <col min="2055" max="2055" width="8.28515625" style="28" bestFit="1" customWidth="1"/>
    <col min="2056" max="2056" width="5.140625" style="28" bestFit="1" customWidth="1"/>
    <col min="2057" max="2057" width="7.7109375" style="28" bestFit="1" customWidth="1"/>
    <col min="2058" max="2058" width="9" style="28" bestFit="1" customWidth="1"/>
    <col min="2059" max="2059" width="14" style="28" bestFit="1" customWidth="1"/>
    <col min="2060" max="2304" width="9.140625" style="28"/>
    <col min="2305" max="2305" width="6" style="28" bestFit="1" customWidth="1"/>
    <col min="2306" max="2306" width="30.140625" style="28" bestFit="1" customWidth="1"/>
    <col min="2307" max="2307" width="8.28515625" style="28" bestFit="1" customWidth="1"/>
    <col min="2308" max="2308" width="7" style="28" bestFit="1" customWidth="1"/>
    <col min="2309" max="2309" width="7.28515625" style="28" bestFit="1" customWidth="1"/>
    <col min="2310" max="2310" width="7.5703125" style="28" bestFit="1" customWidth="1"/>
    <col min="2311" max="2311" width="8.28515625" style="28" bestFit="1" customWidth="1"/>
    <col min="2312" max="2312" width="5.140625" style="28" bestFit="1" customWidth="1"/>
    <col min="2313" max="2313" width="7.7109375" style="28" bestFit="1" customWidth="1"/>
    <col min="2314" max="2314" width="9" style="28" bestFit="1" customWidth="1"/>
    <col min="2315" max="2315" width="14" style="28" bestFit="1" customWidth="1"/>
    <col min="2316" max="2560" width="9.140625" style="28"/>
    <col min="2561" max="2561" width="6" style="28" bestFit="1" customWidth="1"/>
    <col min="2562" max="2562" width="30.140625" style="28" bestFit="1" customWidth="1"/>
    <col min="2563" max="2563" width="8.28515625" style="28" bestFit="1" customWidth="1"/>
    <col min="2564" max="2564" width="7" style="28" bestFit="1" customWidth="1"/>
    <col min="2565" max="2565" width="7.28515625" style="28" bestFit="1" customWidth="1"/>
    <col min="2566" max="2566" width="7.5703125" style="28" bestFit="1" customWidth="1"/>
    <col min="2567" max="2567" width="8.28515625" style="28" bestFit="1" customWidth="1"/>
    <col min="2568" max="2568" width="5.140625" style="28" bestFit="1" customWidth="1"/>
    <col min="2569" max="2569" width="7.7109375" style="28" bestFit="1" customWidth="1"/>
    <col min="2570" max="2570" width="9" style="28" bestFit="1" customWidth="1"/>
    <col min="2571" max="2571" width="14" style="28" bestFit="1" customWidth="1"/>
    <col min="2572" max="2816" width="9.140625" style="28"/>
    <col min="2817" max="2817" width="6" style="28" bestFit="1" customWidth="1"/>
    <col min="2818" max="2818" width="30.140625" style="28" bestFit="1" customWidth="1"/>
    <col min="2819" max="2819" width="8.28515625" style="28" bestFit="1" customWidth="1"/>
    <col min="2820" max="2820" width="7" style="28" bestFit="1" customWidth="1"/>
    <col min="2821" max="2821" width="7.28515625" style="28" bestFit="1" customWidth="1"/>
    <col min="2822" max="2822" width="7.5703125" style="28" bestFit="1" customWidth="1"/>
    <col min="2823" max="2823" width="8.28515625" style="28" bestFit="1" customWidth="1"/>
    <col min="2824" max="2824" width="5.140625" style="28" bestFit="1" customWidth="1"/>
    <col min="2825" max="2825" width="7.7109375" style="28" bestFit="1" customWidth="1"/>
    <col min="2826" max="2826" width="9" style="28" bestFit="1" customWidth="1"/>
    <col min="2827" max="2827" width="14" style="28" bestFit="1" customWidth="1"/>
    <col min="2828" max="3072" width="9.140625" style="28"/>
    <col min="3073" max="3073" width="6" style="28" bestFit="1" customWidth="1"/>
    <col min="3074" max="3074" width="30.140625" style="28" bestFit="1" customWidth="1"/>
    <col min="3075" max="3075" width="8.28515625" style="28" bestFit="1" customWidth="1"/>
    <col min="3076" max="3076" width="7" style="28" bestFit="1" customWidth="1"/>
    <col min="3077" max="3077" width="7.28515625" style="28" bestFit="1" customWidth="1"/>
    <col min="3078" max="3078" width="7.5703125" style="28" bestFit="1" customWidth="1"/>
    <col min="3079" max="3079" width="8.28515625" style="28" bestFit="1" customWidth="1"/>
    <col min="3080" max="3080" width="5.140625" style="28" bestFit="1" customWidth="1"/>
    <col min="3081" max="3081" width="7.7109375" style="28" bestFit="1" customWidth="1"/>
    <col min="3082" max="3082" width="9" style="28" bestFit="1" customWidth="1"/>
    <col min="3083" max="3083" width="14" style="28" bestFit="1" customWidth="1"/>
    <col min="3084" max="3328" width="9.140625" style="28"/>
    <col min="3329" max="3329" width="6" style="28" bestFit="1" customWidth="1"/>
    <col min="3330" max="3330" width="30.140625" style="28" bestFit="1" customWidth="1"/>
    <col min="3331" max="3331" width="8.28515625" style="28" bestFit="1" customWidth="1"/>
    <col min="3332" max="3332" width="7" style="28" bestFit="1" customWidth="1"/>
    <col min="3333" max="3333" width="7.28515625" style="28" bestFit="1" customWidth="1"/>
    <col min="3334" max="3334" width="7.5703125" style="28" bestFit="1" customWidth="1"/>
    <col min="3335" max="3335" width="8.28515625" style="28" bestFit="1" customWidth="1"/>
    <col min="3336" max="3336" width="5.140625" style="28" bestFit="1" customWidth="1"/>
    <col min="3337" max="3337" width="7.7109375" style="28" bestFit="1" customWidth="1"/>
    <col min="3338" max="3338" width="9" style="28" bestFit="1" customWidth="1"/>
    <col min="3339" max="3339" width="14" style="28" bestFit="1" customWidth="1"/>
    <col min="3340" max="3584" width="9.140625" style="28"/>
    <col min="3585" max="3585" width="6" style="28" bestFit="1" customWidth="1"/>
    <col min="3586" max="3586" width="30.140625" style="28" bestFit="1" customWidth="1"/>
    <col min="3587" max="3587" width="8.28515625" style="28" bestFit="1" customWidth="1"/>
    <col min="3588" max="3588" width="7" style="28" bestFit="1" customWidth="1"/>
    <col min="3589" max="3589" width="7.28515625" style="28" bestFit="1" customWidth="1"/>
    <col min="3590" max="3590" width="7.5703125" style="28" bestFit="1" customWidth="1"/>
    <col min="3591" max="3591" width="8.28515625" style="28" bestFit="1" customWidth="1"/>
    <col min="3592" max="3592" width="5.140625" style="28" bestFit="1" customWidth="1"/>
    <col min="3593" max="3593" width="7.7109375" style="28" bestFit="1" customWidth="1"/>
    <col min="3594" max="3594" width="9" style="28" bestFit="1" customWidth="1"/>
    <col min="3595" max="3595" width="14" style="28" bestFit="1" customWidth="1"/>
    <col min="3596" max="3840" width="9.140625" style="28"/>
    <col min="3841" max="3841" width="6" style="28" bestFit="1" customWidth="1"/>
    <col min="3842" max="3842" width="30.140625" style="28" bestFit="1" customWidth="1"/>
    <col min="3843" max="3843" width="8.28515625" style="28" bestFit="1" customWidth="1"/>
    <col min="3844" max="3844" width="7" style="28" bestFit="1" customWidth="1"/>
    <col min="3845" max="3845" width="7.28515625" style="28" bestFit="1" customWidth="1"/>
    <col min="3846" max="3846" width="7.5703125" style="28" bestFit="1" customWidth="1"/>
    <col min="3847" max="3847" width="8.28515625" style="28" bestFit="1" customWidth="1"/>
    <col min="3848" max="3848" width="5.140625" style="28" bestFit="1" customWidth="1"/>
    <col min="3849" max="3849" width="7.7109375" style="28" bestFit="1" customWidth="1"/>
    <col min="3850" max="3850" width="9" style="28" bestFit="1" customWidth="1"/>
    <col min="3851" max="3851" width="14" style="28" bestFit="1" customWidth="1"/>
    <col min="3852" max="4096" width="9.140625" style="28"/>
    <col min="4097" max="4097" width="6" style="28" bestFit="1" customWidth="1"/>
    <col min="4098" max="4098" width="30.140625" style="28" bestFit="1" customWidth="1"/>
    <col min="4099" max="4099" width="8.28515625" style="28" bestFit="1" customWidth="1"/>
    <col min="4100" max="4100" width="7" style="28" bestFit="1" customWidth="1"/>
    <col min="4101" max="4101" width="7.28515625" style="28" bestFit="1" customWidth="1"/>
    <col min="4102" max="4102" width="7.5703125" style="28" bestFit="1" customWidth="1"/>
    <col min="4103" max="4103" width="8.28515625" style="28" bestFit="1" customWidth="1"/>
    <col min="4104" max="4104" width="5.140625" style="28" bestFit="1" customWidth="1"/>
    <col min="4105" max="4105" width="7.7109375" style="28" bestFit="1" customWidth="1"/>
    <col min="4106" max="4106" width="9" style="28" bestFit="1" customWidth="1"/>
    <col min="4107" max="4107" width="14" style="28" bestFit="1" customWidth="1"/>
    <col min="4108" max="4352" width="9.140625" style="28"/>
    <col min="4353" max="4353" width="6" style="28" bestFit="1" customWidth="1"/>
    <col min="4354" max="4354" width="30.140625" style="28" bestFit="1" customWidth="1"/>
    <col min="4355" max="4355" width="8.28515625" style="28" bestFit="1" customWidth="1"/>
    <col min="4356" max="4356" width="7" style="28" bestFit="1" customWidth="1"/>
    <col min="4357" max="4357" width="7.28515625" style="28" bestFit="1" customWidth="1"/>
    <col min="4358" max="4358" width="7.5703125" style="28" bestFit="1" customWidth="1"/>
    <col min="4359" max="4359" width="8.28515625" style="28" bestFit="1" customWidth="1"/>
    <col min="4360" max="4360" width="5.140625" style="28" bestFit="1" customWidth="1"/>
    <col min="4361" max="4361" width="7.7109375" style="28" bestFit="1" customWidth="1"/>
    <col min="4362" max="4362" width="9" style="28" bestFit="1" customWidth="1"/>
    <col min="4363" max="4363" width="14" style="28" bestFit="1" customWidth="1"/>
    <col min="4364" max="4608" width="9.140625" style="28"/>
    <col min="4609" max="4609" width="6" style="28" bestFit="1" customWidth="1"/>
    <col min="4610" max="4610" width="30.140625" style="28" bestFit="1" customWidth="1"/>
    <col min="4611" max="4611" width="8.28515625" style="28" bestFit="1" customWidth="1"/>
    <col min="4612" max="4612" width="7" style="28" bestFit="1" customWidth="1"/>
    <col min="4613" max="4613" width="7.28515625" style="28" bestFit="1" customWidth="1"/>
    <col min="4614" max="4614" width="7.5703125" style="28" bestFit="1" customWidth="1"/>
    <col min="4615" max="4615" width="8.28515625" style="28" bestFit="1" customWidth="1"/>
    <col min="4616" max="4616" width="5.140625" style="28" bestFit="1" customWidth="1"/>
    <col min="4617" max="4617" width="7.7109375" style="28" bestFit="1" customWidth="1"/>
    <col min="4618" max="4618" width="9" style="28" bestFit="1" customWidth="1"/>
    <col min="4619" max="4619" width="14" style="28" bestFit="1" customWidth="1"/>
    <col min="4620" max="4864" width="9.140625" style="28"/>
    <col min="4865" max="4865" width="6" style="28" bestFit="1" customWidth="1"/>
    <col min="4866" max="4866" width="30.140625" style="28" bestFit="1" customWidth="1"/>
    <col min="4867" max="4867" width="8.28515625" style="28" bestFit="1" customWidth="1"/>
    <col min="4868" max="4868" width="7" style="28" bestFit="1" customWidth="1"/>
    <col min="4869" max="4869" width="7.28515625" style="28" bestFit="1" customWidth="1"/>
    <col min="4870" max="4870" width="7.5703125" style="28" bestFit="1" customWidth="1"/>
    <col min="4871" max="4871" width="8.28515625" style="28" bestFit="1" customWidth="1"/>
    <col min="4872" max="4872" width="5.140625" style="28" bestFit="1" customWidth="1"/>
    <col min="4873" max="4873" width="7.7109375" style="28" bestFit="1" customWidth="1"/>
    <col min="4874" max="4874" width="9" style="28" bestFit="1" customWidth="1"/>
    <col min="4875" max="4875" width="14" style="28" bestFit="1" customWidth="1"/>
    <col min="4876" max="5120" width="9.140625" style="28"/>
    <col min="5121" max="5121" width="6" style="28" bestFit="1" customWidth="1"/>
    <col min="5122" max="5122" width="30.140625" style="28" bestFit="1" customWidth="1"/>
    <col min="5123" max="5123" width="8.28515625" style="28" bestFit="1" customWidth="1"/>
    <col min="5124" max="5124" width="7" style="28" bestFit="1" customWidth="1"/>
    <col min="5125" max="5125" width="7.28515625" style="28" bestFit="1" customWidth="1"/>
    <col min="5126" max="5126" width="7.5703125" style="28" bestFit="1" customWidth="1"/>
    <col min="5127" max="5127" width="8.28515625" style="28" bestFit="1" customWidth="1"/>
    <col min="5128" max="5128" width="5.140625" style="28" bestFit="1" customWidth="1"/>
    <col min="5129" max="5129" width="7.7109375" style="28" bestFit="1" customWidth="1"/>
    <col min="5130" max="5130" width="9" style="28" bestFit="1" customWidth="1"/>
    <col min="5131" max="5131" width="14" style="28" bestFit="1" customWidth="1"/>
    <col min="5132" max="5376" width="9.140625" style="28"/>
    <col min="5377" max="5377" width="6" style="28" bestFit="1" customWidth="1"/>
    <col min="5378" max="5378" width="30.140625" style="28" bestFit="1" customWidth="1"/>
    <col min="5379" max="5379" width="8.28515625" style="28" bestFit="1" customWidth="1"/>
    <col min="5380" max="5380" width="7" style="28" bestFit="1" customWidth="1"/>
    <col min="5381" max="5381" width="7.28515625" style="28" bestFit="1" customWidth="1"/>
    <col min="5382" max="5382" width="7.5703125" style="28" bestFit="1" customWidth="1"/>
    <col min="5383" max="5383" width="8.28515625" style="28" bestFit="1" customWidth="1"/>
    <col min="5384" max="5384" width="5.140625" style="28" bestFit="1" customWidth="1"/>
    <col min="5385" max="5385" width="7.7109375" style="28" bestFit="1" customWidth="1"/>
    <col min="5386" max="5386" width="9" style="28" bestFit="1" customWidth="1"/>
    <col min="5387" max="5387" width="14" style="28" bestFit="1" customWidth="1"/>
    <col min="5388" max="5632" width="9.140625" style="28"/>
    <col min="5633" max="5633" width="6" style="28" bestFit="1" customWidth="1"/>
    <col min="5634" max="5634" width="30.140625" style="28" bestFit="1" customWidth="1"/>
    <col min="5635" max="5635" width="8.28515625" style="28" bestFit="1" customWidth="1"/>
    <col min="5636" max="5636" width="7" style="28" bestFit="1" customWidth="1"/>
    <col min="5637" max="5637" width="7.28515625" style="28" bestFit="1" customWidth="1"/>
    <col min="5638" max="5638" width="7.5703125" style="28" bestFit="1" customWidth="1"/>
    <col min="5639" max="5639" width="8.28515625" style="28" bestFit="1" customWidth="1"/>
    <col min="5640" max="5640" width="5.140625" style="28" bestFit="1" customWidth="1"/>
    <col min="5641" max="5641" width="7.7109375" style="28" bestFit="1" customWidth="1"/>
    <col min="5642" max="5642" width="9" style="28" bestFit="1" customWidth="1"/>
    <col min="5643" max="5643" width="14" style="28" bestFit="1" customWidth="1"/>
    <col min="5644" max="5888" width="9.140625" style="28"/>
    <col min="5889" max="5889" width="6" style="28" bestFit="1" customWidth="1"/>
    <col min="5890" max="5890" width="30.140625" style="28" bestFit="1" customWidth="1"/>
    <col min="5891" max="5891" width="8.28515625" style="28" bestFit="1" customWidth="1"/>
    <col min="5892" max="5892" width="7" style="28" bestFit="1" customWidth="1"/>
    <col min="5893" max="5893" width="7.28515625" style="28" bestFit="1" customWidth="1"/>
    <col min="5894" max="5894" width="7.5703125" style="28" bestFit="1" customWidth="1"/>
    <col min="5895" max="5895" width="8.28515625" style="28" bestFit="1" customWidth="1"/>
    <col min="5896" max="5896" width="5.140625" style="28" bestFit="1" customWidth="1"/>
    <col min="5897" max="5897" width="7.7109375" style="28" bestFit="1" customWidth="1"/>
    <col min="5898" max="5898" width="9" style="28" bestFit="1" customWidth="1"/>
    <col min="5899" max="5899" width="14" style="28" bestFit="1" customWidth="1"/>
    <col min="5900" max="6144" width="9.140625" style="28"/>
    <col min="6145" max="6145" width="6" style="28" bestFit="1" customWidth="1"/>
    <col min="6146" max="6146" width="30.140625" style="28" bestFit="1" customWidth="1"/>
    <col min="6147" max="6147" width="8.28515625" style="28" bestFit="1" customWidth="1"/>
    <col min="6148" max="6148" width="7" style="28" bestFit="1" customWidth="1"/>
    <col min="6149" max="6149" width="7.28515625" style="28" bestFit="1" customWidth="1"/>
    <col min="6150" max="6150" width="7.5703125" style="28" bestFit="1" customWidth="1"/>
    <col min="6151" max="6151" width="8.28515625" style="28" bestFit="1" customWidth="1"/>
    <col min="6152" max="6152" width="5.140625" style="28" bestFit="1" customWidth="1"/>
    <col min="6153" max="6153" width="7.7109375" style="28" bestFit="1" customWidth="1"/>
    <col min="6154" max="6154" width="9" style="28" bestFit="1" customWidth="1"/>
    <col min="6155" max="6155" width="14" style="28" bestFit="1" customWidth="1"/>
    <col min="6156" max="6400" width="9.140625" style="28"/>
    <col min="6401" max="6401" width="6" style="28" bestFit="1" customWidth="1"/>
    <col min="6402" max="6402" width="30.140625" style="28" bestFit="1" customWidth="1"/>
    <col min="6403" max="6403" width="8.28515625" style="28" bestFit="1" customWidth="1"/>
    <col min="6404" max="6404" width="7" style="28" bestFit="1" customWidth="1"/>
    <col min="6405" max="6405" width="7.28515625" style="28" bestFit="1" customWidth="1"/>
    <col min="6406" max="6406" width="7.5703125" style="28" bestFit="1" customWidth="1"/>
    <col min="6407" max="6407" width="8.28515625" style="28" bestFit="1" customWidth="1"/>
    <col min="6408" max="6408" width="5.140625" style="28" bestFit="1" customWidth="1"/>
    <col min="6409" max="6409" width="7.7109375" style="28" bestFit="1" customWidth="1"/>
    <col min="6410" max="6410" width="9" style="28" bestFit="1" customWidth="1"/>
    <col min="6411" max="6411" width="14" style="28" bestFit="1" customWidth="1"/>
    <col min="6412" max="6656" width="9.140625" style="28"/>
    <col min="6657" max="6657" width="6" style="28" bestFit="1" customWidth="1"/>
    <col min="6658" max="6658" width="30.140625" style="28" bestFit="1" customWidth="1"/>
    <col min="6659" max="6659" width="8.28515625" style="28" bestFit="1" customWidth="1"/>
    <col min="6660" max="6660" width="7" style="28" bestFit="1" customWidth="1"/>
    <col min="6661" max="6661" width="7.28515625" style="28" bestFit="1" customWidth="1"/>
    <col min="6662" max="6662" width="7.5703125" style="28" bestFit="1" customWidth="1"/>
    <col min="6663" max="6663" width="8.28515625" style="28" bestFit="1" customWidth="1"/>
    <col min="6664" max="6664" width="5.140625" style="28" bestFit="1" customWidth="1"/>
    <col min="6665" max="6665" width="7.7109375" style="28" bestFit="1" customWidth="1"/>
    <col min="6666" max="6666" width="9" style="28" bestFit="1" customWidth="1"/>
    <col min="6667" max="6667" width="14" style="28" bestFit="1" customWidth="1"/>
    <col min="6668" max="6912" width="9.140625" style="28"/>
    <col min="6913" max="6913" width="6" style="28" bestFit="1" customWidth="1"/>
    <col min="6914" max="6914" width="30.140625" style="28" bestFit="1" customWidth="1"/>
    <col min="6915" max="6915" width="8.28515625" style="28" bestFit="1" customWidth="1"/>
    <col min="6916" max="6916" width="7" style="28" bestFit="1" customWidth="1"/>
    <col min="6917" max="6917" width="7.28515625" style="28" bestFit="1" customWidth="1"/>
    <col min="6918" max="6918" width="7.5703125" style="28" bestFit="1" customWidth="1"/>
    <col min="6919" max="6919" width="8.28515625" style="28" bestFit="1" customWidth="1"/>
    <col min="6920" max="6920" width="5.140625" style="28" bestFit="1" customWidth="1"/>
    <col min="6921" max="6921" width="7.7109375" style="28" bestFit="1" customWidth="1"/>
    <col min="6922" max="6922" width="9" style="28" bestFit="1" customWidth="1"/>
    <col min="6923" max="6923" width="14" style="28" bestFit="1" customWidth="1"/>
    <col min="6924" max="7168" width="9.140625" style="28"/>
    <col min="7169" max="7169" width="6" style="28" bestFit="1" customWidth="1"/>
    <col min="7170" max="7170" width="30.140625" style="28" bestFit="1" customWidth="1"/>
    <col min="7171" max="7171" width="8.28515625" style="28" bestFit="1" customWidth="1"/>
    <col min="7172" max="7172" width="7" style="28" bestFit="1" customWidth="1"/>
    <col min="7173" max="7173" width="7.28515625" style="28" bestFit="1" customWidth="1"/>
    <col min="7174" max="7174" width="7.5703125" style="28" bestFit="1" customWidth="1"/>
    <col min="7175" max="7175" width="8.28515625" style="28" bestFit="1" customWidth="1"/>
    <col min="7176" max="7176" width="5.140625" style="28" bestFit="1" customWidth="1"/>
    <col min="7177" max="7177" width="7.7109375" style="28" bestFit="1" customWidth="1"/>
    <col min="7178" max="7178" width="9" style="28" bestFit="1" customWidth="1"/>
    <col min="7179" max="7179" width="14" style="28" bestFit="1" customWidth="1"/>
    <col min="7180" max="7424" width="9.140625" style="28"/>
    <col min="7425" max="7425" width="6" style="28" bestFit="1" customWidth="1"/>
    <col min="7426" max="7426" width="30.140625" style="28" bestFit="1" customWidth="1"/>
    <col min="7427" max="7427" width="8.28515625" style="28" bestFit="1" customWidth="1"/>
    <col min="7428" max="7428" width="7" style="28" bestFit="1" customWidth="1"/>
    <col min="7429" max="7429" width="7.28515625" style="28" bestFit="1" customWidth="1"/>
    <col min="7430" max="7430" width="7.5703125" style="28" bestFit="1" customWidth="1"/>
    <col min="7431" max="7431" width="8.28515625" style="28" bestFit="1" customWidth="1"/>
    <col min="7432" max="7432" width="5.140625" style="28" bestFit="1" customWidth="1"/>
    <col min="7433" max="7433" width="7.7109375" style="28" bestFit="1" customWidth="1"/>
    <col min="7434" max="7434" width="9" style="28" bestFit="1" customWidth="1"/>
    <col min="7435" max="7435" width="14" style="28" bestFit="1" customWidth="1"/>
    <col min="7436" max="7680" width="9.140625" style="28"/>
    <col min="7681" max="7681" width="6" style="28" bestFit="1" customWidth="1"/>
    <col min="7682" max="7682" width="30.140625" style="28" bestFit="1" customWidth="1"/>
    <col min="7683" max="7683" width="8.28515625" style="28" bestFit="1" customWidth="1"/>
    <col min="7684" max="7684" width="7" style="28" bestFit="1" customWidth="1"/>
    <col min="7685" max="7685" width="7.28515625" style="28" bestFit="1" customWidth="1"/>
    <col min="7686" max="7686" width="7.5703125" style="28" bestFit="1" customWidth="1"/>
    <col min="7687" max="7687" width="8.28515625" style="28" bestFit="1" customWidth="1"/>
    <col min="7688" max="7688" width="5.140625" style="28" bestFit="1" customWidth="1"/>
    <col min="7689" max="7689" width="7.7109375" style="28" bestFit="1" customWidth="1"/>
    <col min="7690" max="7690" width="9" style="28" bestFit="1" customWidth="1"/>
    <col min="7691" max="7691" width="14" style="28" bestFit="1" customWidth="1"/>
    <col min="7692" max="7936" width="9.140625" style="28"/>
    <col min="7937" max="7937" width="6" style="28" bestFit="1" customWidth="1"/>
    <col min="7938" max="7938" width="30.140625" style="28" bestFit="1" customWidth="1"/>
    <col min="7939" max="7939" width="8.28515625" style="28" bestFit="1" customWidth="1"/>
    <col min="7940" max="7940" width="7" style="28" bestFit="1" customWidth="1"/>
    <col min="7941" max="7941" width="7.28515625" style="28" bestFit="1" customWidth="1"/>
    <col min="7942" max="7942" width="7.5703125" style="28" bestFit="1" customWidth="1"/>
    <col min="7943" max="7943" width="8.28515625" style="28" bestFit="1" customWidth="1"/>
    <col min="7944" max="7944" width="5.140625" style="28" bestFit="1" customWidth="1"/>
    <col min="7945" max="7945" width="7.7109375" style="28" bestFit="1" customWidth="1"/>
    <col min="7946" max="7946" width="9" style="28" bestFit="1" customWidth="1"/>
    <col min="7947" max="7947" width="14" style="28" bestFit="1" customWidth="1"/>
    <col min="7948" max="8192" width="9.140625" style="28"/>
    <col min="8193" max="8193" width="6" style="28" bestFit="1" customWidth="1"/>
    <col min="8194" max="8194" width="30.140625" style="28" bestFit="1" customWidth="1"/>
    <col min="8195" max="8195" width="8.28515625" style="28" bestFit="1" customWidth="1"/>
    <col min="8196" max="8196" width="7" style="28" bestFit="1" customWidth="1"/>
    <col min="8197" max="8197" width="7.28515625" style="28" bestFit="1" customWidth="1"/>
    <col min="8198" max="8198" width="7.5703125" style="28" bestFit="1" customWidth="1"/>
    <col min="8199" max="8199" width="8.28515625" style="28" bestFit="1" customWidth="1"/>
    <col min="8200" max="8200" width="5.140625" style="28" bestFit="1" customWidth="1"/>
    <col min="8201" max="8201" width="7.7109375" style="28" bestFit="1" customWidth="1"/>
    <col min="8202" max="8202" width="9" style="28" bestFit="1" customWidth="1"/>
    <col min="8203" max="8203" width="14" style="28" bestFit="1" customWidth="1"/>
    <col min="8204" max="8448" width="9.140625" style="28"/>
    <col min="8449" max="8449" width="6" style="28" bestFit="1" customWidth="1"/>
    <col min="8450" max="8450" width="30.140625" style="28" bestFit="1" customWidth="1"/>
    <col min="8451" max="8451" width="8.28515625" style="28" bestFit="1" customWidth="1"/>
    <col min="8452" max="8452" width="7" style="28" bestFit="1" customWidth="1"/>
    <col min="8453" max="8453" width="7.28515625" style="28" bestFit="1" customWidth="1"/>
    <col min="8454" max="8454" width="7.5703125" style="28" bestFit="1" customWidth="1"/>
    <col min="8455" max="8455" width="8.28515625" style="28" bestFit="1" customWidth="1"/>
    <col min="8456" max="8456" width="5.140625" style="28" bestFit="1" customWidth="1"/>
    <col min="8457" max="8457" width="7.7109375" style="28" bestFit="1" customWidth="1"/>
    <col min="8458" max="8458" width="9" style="28" bestFit="1" customWidth="1"/>
    <col min="8459" max="8459" width="14" style="28" bestFit="1" customWidth="1"/>
    <col min="8460" max="8704" width="9.140625" style="28"/>
    <col min="8705" max="8705" width="6" style="28" bestFit="1" customWidth="1"/>
    <col min="8706" max="8706" width="30.140625" style="28" bestFit="1" customWidth="1"/>
    <col min="8707" max="8707" width="8.28515625" style="28" bestFit="1" customWidth="1"/>
    <col min="8708" max="8708" width="7" style="28" bestFit="1" customWidth="1"/>
    <col min="8709" max="8709" width="7.28515625" style="28" bestFit="1" customWidth="1"/>
    <col min="8710" max="8710" width="7.5703125" style="28" bestFit="1" customWidth="1"/>
    <col min="8711" max="8711" width="8.28515625" style="28" bestFit="1" customWidth="1"/>
    <col min="8712" max="8712" width="5.140625" style="28" bestFit="1" customWidth="1"/>
    <col min="8713" max="8713" width="7.7109375" style="28" bestFit="1" customWidth="1"/>
    <col min="8714" max="8714" width="9" style="28" bestFit="1" customWidth="1"/>
    <col min="8715" max="8715" width="14" style="28" bestFit="1" customWidth="1"/>
    <col min="8716" max="8960" width="9.140625" style="28"/>
    <col min="8961" max="8961" width="6" style="28" bestFit="1" customWidth="1"/>
    <col min="8962" max="8962" width="30.140625" style="28" bestFit="1" customWidth="1"/>
    <col min="8963" max="8963" width="8.28515625" style="28" bestFit="1" customWidth="1"/>
    <col min="8964" max="8964" width="7" style="28" bestFit="1" customWidth="1"/>
    <col min="8965" max="8965" width="7.28515625" style="28" bestFit="1" customWidth="1"/>
    <col min="8966" max="8966" width="7.5703125" style="28" bestFit="1" customWidth="1"/>
    <col min="8967" max="8967" width="8.28515625" style="28" bestFit="1" customWidth="1"/>
    <col min="8968" max="8968" width="5.140625" style="28" bestFit="1" customWidth="1"/>
    <col min="8969" max="8969" width="7.7109375" style="28" bestFit="1" customWidth="1"/>
    <col min="8970" max="8970" width="9" style="28" bestFit="1" customWidth="1"/>
    <col min="8971" max="8971" width="14" style="28" bestFit="1" customWidth="1"/>
    <col min="8972" max="9216" width="9.140625" style="28"/>
    <col min="9217" max="9217" width="6" style="28" bestFit="1" customWidth="1"/>
    <col min="9218" max="9218" width="30.140625" style="28" bestFit="1" customWidth="1"/>
    <col min="9219" max="9219" width="8.28515625" style="28" bestFit="1" customWidth="1"/>
    <col min="9220" max="9220" width="7" style="28" bestFit="1" customWidth="1"/>
    <col min="9221" max="9221" width="7.28515625" style="28" bestFit="1" customWidth="1"/>
    <col min="9222" max="9222" width="7.5703125" style="28" bestFit="1" customWidth="1"/>
    <col min="9223" max="9223" width="8.28515625" style="28" bestFit="1" customWidth="1"/>
    <col min="9224" max="9224" width="5.140625" style="28" bestFit="1" customWidth="1"/>
    <col min="9225" max="9225" width="7.7109375" style="28" bestFit="1" customWidth="1"/>
    <col min="9226" max="9226" width="9" style="28" bestFit="1" customWidth="1"/>
    <col min="9227" max="9227" width="14" style="28" bestFit="1" customWidth="1"/>
    <col min="9228" max="9472" width="9.140625" style="28"/>
    <col min="9473" max="9473" width="6" style="28" bestFit="1" customWidth="1"/>
    <col min="9474" max="9474" width="30.140625" style="28" bestFit="1" customWidth="1"/>
    <col min="9475" max="9475" width="8.28515625" style="28" bestFit="1" customWidth="1"/>
    <col min="9476" max="9476" width="7" style="28" bestFit="1" customWidth="1"/>
    <col min="9477" max="9477" width="7.28515625" style="28" bestFit="1" customWidth="1"/>
    <col min="9478" max="9478" width="7.5703125" style="28" bestFit="1" customWidth="1"/>
    <col min="9479" max="9479" width="8.28515625" style="28" bestFit="1" customWidth="1"/>
    <col min="9480" max="9480" width="5.140625" style="28" bestFit="1" customWidth="1"/>
    <col min="9481" max="9481" width="7.7109375" style="28" bestFit="1" customWidth="1"/>
    <col min="9482" max="9482" width="9" style="28" bestFit="1" customWidth="1"/>
    <col min="9483" max="9483" width="14" style="28" bestFit="1" customWidth="1"/>
    <col min="9484" max="9728" width="9.140625" style="28"/>
    <col min="9729" max="9729" width="6" style="28" bestFit="1" customWidth="1"/>
    <col min="9730" max="9730" width="30.140625" style="28" bestFit="1" customWidth="1"/>
    <col min="9731" max="9731" width="8.28515625" style="28" bestFit="1" customWidth="1"/>
    <col min="9732" max="9732" width="7" style="28" bestFit="1" customWidth="1"/>
    <col min="9733" max="9733" width="7.28515625" style="28" bestFit="1" customWidth="1"/>
    <col min="9734" max="9734" width="7.5703125" style="28" bestFit="1" customWidth="1"/>
    <col min="9735" max="9735" width="8.28515625" style="28" bestFit="1" customWidth="1"/>
    <col min="9736" max="9736" width="5.140625" style="28" bestFit="1" customWidth="1"/>
    <col min="9737" max="9737" width="7.7109375" style="28" bestFit="1" customWidth="1"/>
    <col min="9738" max="9738" width="9" style="28" bestFit="1" customWidth="1"/>
    <col min="9739" max="9739" width="14" style="28" bestFit="1" customWidth="1"/>
    <col min="9740" max="9984" width="9.140625" style="28"/>
    <col min="9985" max="9985" width="6" style="28" bestFit="1" customWidth="1"/>
    <col min="9986" max="9986" width="30.140625" style="28" bestFit="1" customWidth="1"/>
    <col min="9987" max="9987" width="8.28515625" style="28" bestFit="1" customWidth="1"/>
    <col min="9988" max="9988" width="7" style="28" bestFit="1" customWidth="1"/>
    <col min="9989" max="9989" width="7.28515625" style="28" bestFit="1" customWidth="1"/>
    <col min="9990" max="9990" width="7.5703125" style="28" bestFit="1" customWidth="1"/>
    <col min="9991" max="9991" width="8.28515625" style="28" bestFit="1" customWidth="1"/>
    <col min="9992" max="9992" width="5.140625" style="28" bestFit="1" customWidth="1"/>
    <col min="9993" max="9993" width="7.7109375" style="28" bestFit="1" customWidth="1"/>
    <col min="9994" max="9994" width="9" style="28" bestFit="1" customWidth="1"/>
    <col min="9995" max="9995" width="14" style="28" bestFit="1" customWidth="1"/>
    <col min="9996" max="10240" width="9.140625" style="28"/>
    <col min="10241" max="10241" width="6" style="28" bestFit="1" customWidth="1"/>
    <col min="10242" max="10242" width="30.140625" style="28" bestFit="1" customWidth="1"/>
    <col min="10243" max="10243" width="8.28515625" style="28" bestFit="1" customWidth="1"/>
    <col min="10244" max="10244" width="7" style="28" bestFit="1" customWidth="1"/>
    <col min="10245" max="10245" width="7.28515625" style="28" bestFit="1" customWidth="1"/>
    <col min="10246" max="10246" width="7.5703125" style="28" bestFit="1" customWidth="1"/>
    <col min="10247" max="10247" width="8.28515625" style="28" bestFit="1" customWidth="1"/>
    <col min="10248" max="10248" width="5.140625" style="28" bestFit="1" customWidth="1"/>
    <col min="10249" max="10249" width="7.7109375" style="28" bestFit="1" customWidth="1"/>
    <col min="10250" max="10250" width="9" style="28" bestFit="1" customWidth="1"/>
    <col min="10251" max="10251" width="14" style="28" bestFit="1" customWidth="1"/>
    <col min="10252" max="10496" width="9.140625" style="28"/>
    <col min="10497" max="10497" width="6" style="28" bestFit="1" customWidth="1"/>
    <col min="10498" max="10498" width="30.140625" style="28" bestFit="1" customWidth="1"/>
    <col min="10499" max="10499" width="8.28515625" style="28" bestFit="1" customWidth="1"/>
    <col min="10500" max="10500" width="7" style="28" bestFit="1" customWidth="1"/>
    <col min="10501" max="10501" width="7.28515625" style="28" bestFit="1" customWidth="1"/>
    <col min="10502" max="10502" width="7.5703125" style="28" bestFit="1" customWidth="1"/>
    <col min="10503" max="10503" width="8.28515625" style="28" bestFit="1" customWidth="1"/>
    <col min="10504" max="10504" width="5.140625" style="28" bestFit="1" customWidth="1"/>
    <col min="10505" max="10505" width="7.7109375" style="28" bestFit="1" customWidth="1"/>
    <col min="10506" max="10506" width="9" style="28" bestFit="1" customWidth="1"/>
    <col min="10507" max="10507" width="14" style="28" bestFit="1" customWidth="1"/>
    <col min="10508" max="10752" width="9.140625" style="28"/>
    <col min="10753" max="10753" width="6" style="28" bestFit="1" customWidth="1"/>
    <col min="10754" max="10754" width="30.140625" style="28" bestFit="1" customWidth="1"/>
    <col min="10755" max="10755" width="8.28515625" style="28" bestFit="1" customWidth="1"/>
    <col min="10756" max="10756" width="7" style="28" bestFit="1" customWidth="1"/>
    <col min="10757" max="10757" width="7.28515625" style="28" bestFit="1" customWidth="1"/>
    <col min="10758" max="10758" width="7.5703125" style="28" bestFit="1" customWidth="1"/>
    <col min="10759" max="10759" width="8.28515625" style="28" bestFit="1" customWidth="1"/>
    <col min="10760" max="10760" width="5.140625" style="28" bestFit="1" customWidth="1"/>
    <col min="10761" max="10761" width="7.7109375" style="28" bestFit="1" customWidth="1"/>
    <col min="10762" max="10762" width="9" style="28" bestFit="1" customWidth="1"/>
    <col min="10763" max="10763" width="14" style="28" bestFit="1" customWidth="1"/>
    <col min="10764" max="11008" width="9.140625" style="28"/>
    <col min="11009" max="11009" width="6" style="28" bestFit="1" customWidth="1"/>
    <col min="11010" max="11010" width="30.140625" style="28" bestFit="1" customWidth="1"/>
    <col min="11011" max="11011" width="8.28515625" style="28" bestFit="1" customWidth="1"/>
    <col min="11012" max="11012" width="7" style="28" bestFit="1" customWidth="1"/>
    <col min="11013" max="11013" width="7.28515625" style="28" bestFit="1" customWidth="1"/>
    <col min="11014" max="11014" width="7.5703125" style="28" bestFit="1" customWidth="1"/>
    <col min="11015" max="11015" width="8.28515625" style="28" bestFit="1" customWidth="1"/>
    <col min="11016" max="11016" width="5.140625" style="28" bestFit="1" customWidth="1"/>
    <col min="11017" max="11017" width="7.7109375" style="28" bestFit="1" customWidth="1"/>
    <col min="11018" max="11018" width="9" style="28" bestFit="1" customWidth="1"/>
    <col min="11019" max="11019" width="14" style="28" bestFit="1" customWidth="1"/>
    <col min="11020" max="11264" width="9.140625" style="28"/>
    <col min="11265" max="11265" width="6" style="28" bestFit="1" customWidth="1"/>
    <col min="11266" max="11266" width="30.140625" style="28" bestFit="1" customWidth="1"/>
    <col min="11267" max="11267" width="8.28515625" style="28" bestFit="1" customWidth="1"/>
    <col min="11268" max="11268" width="7" style="28" bestFit="1" customWidth="1"/>
    <col min="11269" max="11269" width="7.28515625" style="28" bestFit="1" customWidth="1"/>
    <col min="11270" max="11270" width="7.5703125" style="28" bestFit="1" customWidth="1"/>
    <col min="11271" max="11271" width="8.28515625" style="28" bestFit="1" customWidth="1"/>
    <col min="11272" max="11272" width="5.140625" style="28" bestFit="1" customWidth="1"/>
    <col min="11273" max="11273" width="7.7109375" style="28" bestFit="1" customWidth="1"/>
    <col min="11274" max="11274" width="9" style="28" bestFit="1" customWidth="1"/>
    <col min="11275" max="11275" width="14" style="28" bestFit="1" customWidth="1"/>
    <col min="11276" max="11520" width="9.140625" style="28"/>
    <col min="11521" max="11521" width="6" style="28" bestFit="1" customWidth="1"/>
    <col min="11522" max="11522" width="30.140625" style="28" bestFit="1" customWidth="1"/>
    <col min="11523" max="11523" width="8.28515625" style="28" bestFit="1" customWidth="1"/>
    <col min="11524" max="11524" width="7" style="28" bestFit="1" customWidth="1"/>
    <col min="11525" max="11525" width="7.28515625" style="28" bestFit="1" customWidth="1"/>
    <col min="11526" max="11526" width="7.5703125" style="28" bestFit="1" customWidth="1"/>
    <col min="11527" max="11527" width="8.28515625" style="28" bestFit="1" customWidth="1"/>
    <col min="11528" max="11528" width="5.140625" style="28" bestFit="1" customWidth="1"/>
    <col min="11529" max="11529" width="7.7109375" style="28" bestFit="1" customWidth="1"/>
    <col min="11530" max="11530" width="9" style="28" bestFit="1" customWidth="1"/>
    <col min="11531" max="11531" width="14" style="28" bestFit="1" customWidth="1"/>
    <col min="11532" max="11776" width="9.140625" style="28"/>
    <col min="11777" max="11777" width="6" style="28" bestFit="1" customWidth="1"/>
    <col min="11778" max="11778" width="30.140625" style="28" bestFit="1" customWidth="1"/>
    <col min="11779" max="11779" width="8.28515625" style="28" bestFit="1" customWidth="1"/>
    <col min="11780" max="11780" width="7" style="28" bestFit="1" customWidth="1"/>
    <col min="11781" max="11781" width="7.28515625" style="28" bestFit="1" customWidth="1"/>
    <col min="11782" max="11782" width="7.5703125" style="28" bestFit="1" customWidth="1"/>
    <col min="11783" max="11783" width="8.28515625" style="28" bestFit="1" customWidth="1"/>
    <col min="11784" max="11784" width="5.140625" style="28" bestFit="1" customWidth="1"/>
    <col min="11785" max="11785" width="7.7109375" style="28" bestFit="1" customWidth="1"/>
    <col min="11786" max="11786" width="9" style="28" bestFit="1" customWidth="1"/>
    <col min="11787" max="11787" width="14" style="28" bestFit="1" customWidth="1"/>
    <col min="11788" max="12032" width="9.140625" style="28"/>
    <col min="12033" max="12033" width="6" style="28" bestFit="1" customWidth="1"/>
    <col min="12034" max="12034" width="30.140625" style="28" bestFit="1" customWidth="1"/>
    <col min="12035" max="12035" width="8.28515625" style="28" bestFit="1" customWidth="1"/>
    <col min="12036" max="12036" width="7" style="28" bestFit="1" customWidth="1"/>
    <col min="12037" max="12037" width="7.28515625" style="28" bestFit="1" customWidth="1"/>
    <col min="12038" max="12038" width="7.5703125" style="28" bestFit="1" customWidth="1"/>
    <col min="12039" max="12039" width="8.28515625" style="28" bestFit="1" customWidth="1"/>
    <col min="12040" max="12040" width="5.140625" style="28" bestFit="1" customWidth="1"/>
    <col min="12041" max="12041" width="7.7109375" style="28" bestFit="1" customWidth="1"/>
    <col min="12042" max="12042" width="9" style="28" bestFit="1" customWidth="1"/>
    <col min="12043" max="12043" width="14" style="28" bestFit="1" customWidth="1"/>
    <col min="12044" max="12288" width="9.140625" style="28"/>
    <col min="12289" max="12289" width="6" style="28" bestFit="1" customWidth="1"/>
    <col min="12290" max="12290" width="30.140625" style="28" bestFit="1" customWidth="1"/>
    <col min="12291" max="12291" width="8.28515625" style="28" bestFit="1" customWidth="1"/>
    <col min="12292" max="12292" width="7" style="28" bestFit="1" customWidth="1"/>
    <col min="12293" max="12293" width="7.28515625" style="28" bestFit="1" customWidth="1"/>
    <col min="12294" max="12294" width="7.5703125" style="28" bestFit="1" customWidth="1"/>
    <col min="12295" max="12295" width="8.28515625" style="28" bestFit="1" customWidth="1"/>
    <col min="12296" max="12296" width="5.140625" style="28" bestFit="1" customWidth="1"/>
    <col min="12297" max="12297" width="7.7109375" style="28" bestFit="1" customWidth="1"/>
    <col min="12298" max="12298" width="9" style="28" bestFit="1" customWidth="1"/>
    <col min="12299" max="12299" width="14" style="28" bestFit="1" customWidth="1"/>
    <col min="12300" max="12544" width="9.140625" style="28"/>
    <col min="12545" max="12545" width="6" style="28" bestFit="1" customWidth="1"/>
    <col min="12546" max="12546" width="30.140625" style="28" bestFit="1" customWidth="1"/>
    <col min="12547" max="12547" width="8.28515625" style="28" bestFit="1" customWidth="1"/>
    <col min="12548" max="12548" width="7" style="28" bestFit="1" customWidth="1"/>
    <col min="12549" max="12549" width="7.28515625" style="28" bestFit="1" customWidth="1"/>
    <col min="12550" max="12550" width="7.5703125" style="28" bestFit="1" customWidth="1"/>
    <col min="12551" max="12551" width="8.28515625" style="28" bestFit="1" customWidth="1"/>
    <col min="12552" max="12552" width="5.140625" style="28" bestFit="1" customWidth="1"/>
    <col min="12553" max="12553" width="7.7109375" style="28" bestFit="1" customWidth="1"/>
    <col min="12554" max="12554" width="9" style="28" bestFit="1" customWidth="1"/>
    <col min="12555" max="12555" width="14" style="28" bestFit="1" customWidth="1"/>
    <col min="12556" max="12800" width="9.140625" style="28"/>
    <col min="12801" max="12801" width="6" style="28" bestFit="1" customWidth="1"/>
    <col min="12802" max="12802" width="30.140625" style="28" bestFit="1" customWidth="1"/>
    <col min="12803" max="12803" width="8.28515625" style="28" bestFit="1" customWidth="1"/>
    <col min="12804" max="12804" width="7" style="28" bestFit="1" customWidth="1"/>
    <col min="12805" max="12805" width="7.28515625" style="28" bestFit="1" customWidth="1"/>
    <col min="12806" max="12806" width="7.5703125" style="28" bestFit="1" customWidth="1"/>
    <col min="12807" max="12807" width="8.28515625" style="28" bestFit="1" customWidth="1"/>
    <col min="12808" max="12808" width="5.140625" style="28" bestFit="1" customWidth="1"/>
    <col min="12809" max="12809" width="7.7109375" style="28" bestFit="1" customWidth="1"/>
    <col min="12810" max="12810" width="9" style="28" bestFit="1" customWidth="1"/>
    <col min="12811" max="12811" width="14" style="28" bestFit="1" customWidth="1"/>
    <col min="12812" max="13056" width="9.140625" style="28"/>
    <col min="13057" max="13057" width="6" style="28" bestFit="1" customWidth="1"/>
    <col min="13058" max="13058" width="30.140625" style="28" bestFit="1" customWidth="1"/>
    <col min="13059" max="13059" width="8.28515625" style="28" bestFit="1" customWidth="1"/>
    <col min="13060" max="13060" width="7" style="28" bestFit="1" customWidth="1"/>
    <col min="13061" max="13061" width="7.28515625" style="28" bestFit="1" customWidth="1"/>
    <col min="13062" max="13062" width="7.5703125" style="28" bestFit="1" customWidth="1"/>
    <col min="13063" max="13063" width="8.28515625" style="28" bestFit="1" customWidth="1"/>
    <col min="13064" max="13064" width="5.140625" style="28" bestFit="1" customWidth="1"/>
    <col min="13065" max="13065" width="7.7109375" style="28" bestFit="1" customWidth="1"/>
    <col min="13066" max="13066" width="9" style="28" bestFit="1" customWidth="1"/>
    <col min="13067" max="13067" width="14" style="28" bestFit="1" customWidth="1"/>
    <col min="13068" max="13312" width="9.140625" style="28"/>
    <col min="13313" max="13313" width="6" style="28" bestFit="1" customWidth="1"/>
    <col min="13314" max="13314" width="30.140625" style="28" bestFit="1" customWidth="1"/>
    <col min="13315" max="13315" width="8.28515625" style="28" bestFit="1" customWidth="1"/>
    <col min="13316" max="13316" width="7" style="28" bestFit="1" customWidth="1"/>
    <col min="13317" max="13317" width="7.28515625" style="28" bestFit="1" customWidth="1"/>
    <col min="13318" max="13318" width="7.5703125" style="28" bestFit="1" customWidth="1"/>
    <col min="13319" max="13319" width="8.28515625" style="28" bestFit="1" customWidth="1"/>
    <col min="13320" max="13320" width="5.140625" style="28" bestFit="1" customWidth="1"/>
    <col min="13321" max="13321" width="7.7109375" style="28" bestFit="1" customWidth="1"/>
    <col min="13322" max="13322" width="9" style="28" bestFit="1" customWidth="1"/>
    <col min="13323" max="13323" width="14" style="28" bestFit="1" customWidth="1"/>
    <col min="13324" max="13568" width="9.140625" style="28"/>
    <col min="13569" max="13569" width="6" style="28" bestFit="1" customWidth="1"/>
    <col min="13570" max="13570" width="30.140625" style="28" bestFit="1" customWidth="1"/>
    <col min="13571" max="13571" width="8.28515625" style="28" bestFit="1" customWidth="1"/>
    <col min="13572" max="13572" width="7" style="28" bestFit="1" customWidth="1"/>
    <col min="13573" max="13573" width="7.28515625" style="28" bestFit="1" customWidth="1"/>
    <col min="13574" max="13574" width="7.5703125" style="28" bestFit="1" customWidth="1"/>
    <col min="13575" max="13575" width="8.28515625" style="28" bestFit="1" customWidth="1"/>
    <col min="13576" max="13576" width="5.140625" style="28" bestFit="1" customWidth="1"/>
    <col min="13577" max="13577" width="7.7109375" style="28" bestFit="1" customWidth="1"/>
    <col min="13578" max="13578" width="9" style="28" bestFit="1" customWidth="1"/>
    <col min="13579" max="13579" width="14" style="28" bestFit="1" customWidth="1"/>
    <col min="13580" max="13824" width="9.140625" style="28"/>
    <col min="13825" max="13825" width="6" style="28" bestFit="1" customWidth="1"/>
    <col min="13826" max="13826" width="30.140625" style="28" bestFit="1" customWidth="1"/>
    <col min="13827" max="13827" width="8.28515625" style="28" bestFit="1" customWidth="1"/>
    <col min="13828" max="13828" width="7" style="28" bestFit="1" customWidth="1"/>
    <col min="13829" max="13829" width="7.28515625" style="28" bestFit="1" customWidth="1"/>
    <col min="13830" max="13830" width="7.5703125" style="28" bestFit="1" customWidth="1"/>
    <col min="13831" max="13831" width="8.28515625" style="28" bestFit="1" customWidth="1"/>
    <col min="13832" max="13832" width="5.140625" style="28" bestFit="1" customWidth="1"/>
    <col min="13833" max="13833" width="7.7109375" style="28" bestFit="1" customWidth="1"/>
    <col min="13834" max="13834" width="9" style="28" bestFit="1" customWidth="1"/>
    <col min="13835" max="13835" width="14" style="28" bestFit="1" customWidth="1"/>
    <col min="13836" max="14080" width="9.140625" style="28"/>
    <col min="14081" max="14081" width="6" style="28" bestFit="1" customWidth="1"/>
    <col min="14082" max="14082" width="30.140625" style="28" bestFit="1" customWidth="1"/>
    <col min="14083" max="14083" width="8.28515625" style="28" bestFit="1" customWidth="1"/>
    <col min="14084" max="14084" width="7" style="28" bestFit="1" customWidth="1"/>
    <col min="14085" max="14085" width="7.28515625" style="28" bestFit="1" customWidth="1"/>
    <col min="14086" max="14086" width="7.5703125" style="28" bestFit="1" customWidth="1"/>
    <col min="14087" max="14087" width="8.28515625" style="28" bestFit="1" customWidth="1"/>
    <col min="14088" max="14088" width="5.140625" style="28" bestFit="1" customWidth="1"/>
    <col min="14089" max="14089" width="7.7109375" style="28" bestFit="1" customWidth="1"/>
    <col min="14090" max="14090" width="9" style="28" bestFit="1" customWidth="1"/>
    <col min="14091" max="14091" width="14" style="28" bestFit="1" customWidth="1"/>
    <col min="14092" max="14336" width="9.140625" style="28"/>
    <col min="14337" max="14337" width="6" style="28" bestFit="1" customWidth="1"/>
    <col min="14338" max="14338" width="30.140625" style="28" bestFit="1" customWidth="1"/>
    <col min="14339" max="14339" width="8.28515625" style="28" bestFit="1" customWidth="1"/>
    <col min="14340" max="14340" width="7" style="28" bestFit="1" customWidth="1"/>
    <col min="14341" max="14341" width="7.28515625" style="28" bestFit="1" customWidth="1"/>
    <col min="14342" max="14342" width="7.5703125" style="28" bestFit="1" customWidth="1"/>
    <col min="14343" max="14343" width="8.28515625" style="28" bestFit="1" customWidth="1"/>
    <col min="14344" max="14344" width="5.140625" style="28" bestFit="1" customWidth="1"/>
    <col min="14345" max="14345" width="7.7109375" style="28" bestFit="1" customWidth="1"/>
    <col min="14346" max="14346" width="9" style="28" bestFit="1" customWidth="1"/>
    <col min="14347" max="14347" width="14" style="28" bestFit="1" customWidth="1"/>
    <col min="14348" max="14592" width="9.140625" style="28"/>
    <col min="14593" max="14593" width="6" style="28" bestFit="1" customWidth="1"/>
    <col min="14594" max="14594" width="30.140625" style="28" bestFit="1" customWidth="1"/>
    <col min="14595" max="14595" width="8.28515625" style="28" bestFit="1" customWidth="1"/>
    <col min="14596" max="14596" width="7" style="28" bestFit="1" customWidth="1"/>
    <col min="14597" max="14597" width="7.28515625" style="28" bestFit="1" customWidth="1"/>
    <col min="14598" max="14598" width="7.5703125" style="28" bestFit="1" customWidth="1"/>
    <col min="14599" max="14599" width="8.28515625" style="28" bestFit="1" customWidth="1"/>
    <col min="14600" max="14600" width="5.140625" style="28" bestFit="1" customWidth="1"/>
    <col min="14601" max="14601" width="7.7109375" style="28" bestFit="1" customWidth="1"/>
    <col min="14602" max="14602" width="9" style="28" bestFit="1" customWidth="1"/>
    <col min="14603" max="14603" width="14" style="28" bestFit="1" customWidth="1"/>
    <col min="14604" max="14848" width="9.140625" style="28"/>
    <col min="14849" max="14849" width="6" style="28" bestFit="1" customWidth="1"/>
    <col min="14850" max="14850" width="30.140625" style="28" bestFit="1" customWidth="1"/>
    <col min="14851" max="14851" width="8.28515625" style="28" bestFit="1" customWidth="1"/>
    <col min="14852" max="14852" width="7" style="28" bestFit="1" customWidth="1"/>
    <col min="14853" max="14853" width="7.28515625" style="28" bestFit="1" customWidth="1"/>
    <col min="14854" max="14854" width="7.5703125" style="28" bestFit="1" customWidth="1"/>
    <col min="14855" max="14855" width="8.28515625" style="28" bestFit="1" customWidth="1"/>
    <col min="14856" max="14856" width="5.140625" style="28" bestFit="1" customWidth="1"/>
    <col min="14857" max="14857" width="7.7109375" style="28" bestFit="1" customWidth="1"/>
    <col min="14858" max="14858" width="9" style="28" bestFit="1" customWidth="1"/>
    <col min="14859" max="14859" width="14" style="28" bestFit="1" customWidth="1"/>
    <col min="14860" max="15104" width="9.140625" style="28"/>
    <col min="15105" max="15105" width="6" style="28" bestFit="1" customWidth="1"/>
    <col min="15106" max="15106" width="30.140625" style="28" bestFit="1" customWidth="1"/>
    <col min="15107" max="15107" width="8.28515625" style="28" bestFit="1" customWidth="1"/>
    <col min="15108" max="15108" width="7" style="28" bestFit="1" customWidth="1"/>
    <col min="15109" max="15109" width="7.28515625" style="28" bestFit="1" customWidth="1"/>
    <col min="15110" max="15110" width="7.5703125" style="28" bestFit="1" customWidth="1"/>
    <col min="15111" max="15111" width="8.28515625" style="28" bestFit="1" customWidth="1"/>
    <col min="15112" max="15112" width="5.140625" style="28" bestFit="1" customWidth="1"/>
    <col min="15113" max="15113" width="7.7109375" style="28" bestFit="1" customWidth="1"/>
    <col min="15114" max="15114" width="9" style="28" bestFit="1" customWidth="1"/>
    <col min="15115" max="15115" width="14" style="28" bestFit="1" customWidth="1"/>
    <col min="15116" max="15360" width="9.140625" style="28"/>
    <col min="15361" max="15361" width="6" style="28" bestFit="1" customWidth="1"/>
    <col min="15362" max="15362" width="30.140625" style="28" bestFit="1" customWidth="1"/>
    <col min="15363" max="15363" width="8.28515625" style="28" bestFit="1" customWidth="1"/>
    <col min="15364" max="15364" width="7" style="28" bestFit="1" customWidth="1"/>
    <col min="15365" max="15365" width="7.28515625" style="28" bestFit="1" customWidth="1"/>
    <col min="15366" max="15366" width="7.5703125" style="28" bestFit="1" customWidth="1"/>
    <col min="15367" max="15367" width="8.28515625" style="28" bestFit="1" customWidth="1"/>
    <col min="15368" max="15368" width="5.140625" style="28" bestFit="1" customWidth="1"/>
    <col min="15369" max="15369" width="7.7109375" style="28" bestFit="1" customWidth="1"/>
    <col min="15370" max="15370" width="9" style="28" bestFit="1" customWidth="1"/>
    <col min="15371" max="15371" width="14" style="28" bestFit="1" customWidth="1"/>
    <col min="15372" max="15616" width="9.140625" style="28"/>
    <col min="15617" max="15617" width="6" style="28" bestFit="1" customWidth="1"/>
    <col min="15618" max="15618" width="30.140625" style="28" bestFit="1" customWidth="1"/>
    <col min="15619" max="15619" width="8.28515625" style="28" bestFit="1" customWidth="1"/>
    <col min="15620" max="15620" width="7" style="28" bestFit="1" customWidth="1"/>
    <col min="15621" max="15621" width="7.28515625" style="28" bestFit="1" customWidth="1"/>
    <col min="15622" max="15622" width="7.5703125" style="28" bestFit="1" customWidth="1"/>
    <col min="15623" max="15623" width="8.28515625" style="28" bestFit="1" customWidth="1"/>
    <col min="15624" max="15624" width="5.140625" style="28" bestFit="1" customWidth="1"/>
    <col min="15625" max="15625" width="7.7109375" style="28" bestFit="1" customWidth="1"/>
    <col min="15626" max="15626" width="9" style="28" bestFit="1" customWidth="1"/>
    <col min="15627" max="15627" width="14" style="28" bestFit="1" customWidth="1"/>
    <col min="15628" max="15872" width="9.140625" style="28"/>
    <col min="15873" max="15873" width="6" style="28" bestFit="1" customWidth="1"/>
    <col min="15874" max="15874" width="30.140625" style="28" bestFit="1" customWidth="1"/>
    <col min="15875" max="15875" width="8.28515625" style="28" bestFit="1" customWidth="1"/>
    <col min="15876" max="15876" width="7" style="28" bestFit="1" customWidth="1"/>
    <col min="15877" max="15877" width="7.28515625" style="28" bestFit="1" customWidth="1"/>
    <col min="15878" max="15878" width="7.5703125" style="28" bestFit="1" customWidth="1"/>
    <col min="15879" max="15879" width="8.28515625" style="28" bestFit="1" customWidth="1"/>
    <col min="15880" max="15880" width="5.140625" style="28" bestFit="1" customWidth="1"/>
    <col min="15881" max="15881" width="7.7109375" style="28" bestFit="1" customWidth="1"/>
    <col min="15882" max="15882" width="9" style="28" bestFit="1" customWidth="1"/>
    <col min="15883" max="15883" width="14" style="28" bestFit="1" customWidth="1"/>
    <col min="15884" max="16128" width="9.140625" style="28"/>
    <col min="16129" max="16129" width="6" style="28" bestFit="1" customWidth="1"/>
    <col min="16130" max="16130" width="30.140625" style="28" bestFit="1" customWidth="1"/>
    <col min="16131" max="16131" width="8.28515625" style="28" bestFit="1" customWidth="1"/>
    <col min="16132" max="16132" width="7" style="28" bestFit="1" customWidth="1"/>
    <col min="16133" max="16133" width="7.28515625" style="28" bestFit="1" customWidth="1"/>
    <col min="16134" max="16134" width="7.5703125" style="28" bestFit="1" customWidth="1"/>
    <col min="16135" max="16135" width="8.28515625" style="28" bestFit="1" customWidth="1"/>
    <col min="16136" max="16136" width="5.140625" style="28" bestFit="1" customWidth="1"/>
    <col min="16137" max="16137" width="7.7109375" style="28" bestFit="1" customWidth="1"/>
    <col min="16138" max="16138" width="9" style="28" bestFit="1" customWidth="1"/>
    <col min="16139" max="16139" width="14" style="28" bestFit="1" customWidth="1"/>
    <col min="16140" max="16384" width="9.140625" style="28"/>
  </cols>
  <sheetData>
    <row r="1" spans="1:16" s="22" customFormat="1" ht="28.5" x14ac:dyDescent="0.45">
      <c r="A1" s="366" t="s">
        <v>387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</row>
    <row r="2" spans="1:16" s="22" customFormat="1" ht="15" x14ac:dyDescent="0.25">
      <c r="A2" s="23" t="s">
        <v>6</v>
      </c>
      <c r="B2" s="158" t="s">
        <v>0</v>
      </c>
      <c r="C2" s="158" t="s">
        <v>9</v>
      </c>
      <c r="D2" s="158" t="s">
        <v>113</v>
      </c>
      <c r="E2" s="158" t="s">
        <v>110</v>
      </c>
      <c r="F2" s="158" t="s">
        <v>111</v>
      </c>
      <c r="G2" s="158" t="s">
        <v>112</v>
      </c>
      <c r="H2" s="72" t="s">
        <v>1</v>
      </c>
      <c r="I2" s="157" t="s">
        <v>3</v>
      </c>
      <c r="J2" s="93" t="s">
        <v>10</v>
      </c>
      <c r="K2" s="158" t="s">
        <v>107</v>
      </c>
    </row>
    <row r="3" spans="1:16" ht="15" x14ac:dyDescent="0.25">
      <c r="A3" s="25">
        <v>1</v>
      </c>
      <c r="B3" s="26" t="s">
        <v>93</v>
      </c>
      <c r="C3" s="27"/>
      <c r="D3" s="27"/>
      <c r="E3" s="27"/>
      <c r="F3" s="27"/>
      <c r="G3" s="27"/>
      <c r="H3" s="73"/>
      <c r="I3" s="94"/>
      <c r="J3" s="95"/>
      <c r="K3" s="158"/>
    </row>
    <row r="4" spans="1:16" ht="15" x14ac:dyDescent="0.25">
      <c r="A4" s="23"/>
      <c r="B4" s="26" t="s">
        <v>27</v>
      </c>
      <c r="C4" s="27"/>
      <c r="D4" s="27"/>
      <c r="E4" s="27"/>
      <c r="F4" s="27"/>
      <c r="G4" s="27"/>
      <c r="H4" s="73"/>
      <c r="I4" s="94"/>
      <c r="J4" s="95"/>
      <c r="K4" s="158"/>
    </row>
    <row r="5" spans="1:16" ht="15" x14ac:dyDescent="0.25">
      <c r="A5" s="23"/>
      <c r="B5" s="29" t="s">
        <v>28</v>
      </c>
      <c r="C5" s="30"/>
      <c r="D5" s="21"/>
      <c r="E5" s="21"/>
      <c r="F5" s="27"/>
      <c r="G5" s="27"/>
      <c r="H5" s="73"/>
      <c r="I5" s="94"/>
      <c r="J5" s="95"/>
      <c r="K5" s="158"/>
      <c r="L5" s="27"/>
      <c r="M5" s="31" t="s">
        <v>109</v>
      </c>
      <c r="N5" s="32"/>
      <c r="O5" s="32"/>
      <c r="P5" s="33"/>
    </row>
    <row r="6" spans="1:16" ht="15" x14ac:dyDescent="0.25">
      <c r="A6" s="23"/>
      <c r="B6" s="34" t="s">
        <v>29</v>
      </c>
      <c r="C6" s="27">
        <v>1</v>
      </c>
      <c r="D6" s="27"/>
      <c r="E6" s="27"/>
      <c r="F6" s="27"/>
      <c r="G6" s="27">
        <f>C6</f>
        <v>1</v>
      </c>
      <c r="H6" s="74" t="s">
        <v>4</v>
      </c>
      <c r="I6" s="21">
        <v>152851.71</v>
      </c>
      <c r="J6" s="67">
        <f>G6*I6</f>
        <v>152851.71</v>
      </c>
      <c r="K6" s="158"/>
      <c r="L6" s="27"/>
      <c r="M6" s="35" t="s">
        <v>68</v>
      </c>
      <c r="N6" s="27" t="s">
        <v>195</v>
      </c>
      <c r="O6" s="27">
        <v>301</v>
      </c>
      <c r="P6" s="27" t="s">
        <v>37</v>
      </c>
    </row>
    <row r="7" spans="1:16" ht="15" x14ac:dyDescent="0.25">
      <c r="A7" s="23"/>
      <c r="B7" s="34" t="s">
        <v>30</v>
      </c>
      <c r="C7" s="27">
        <f>P7</f>
        <v>95</v>
      </c>
      <c r="D7" s="27">
        <v>18</v>
      </c>
      <c r="E7" s="27"/>
      <c r="F7" s="27"/>
      <c r="G7" s="27">
        <f>C7*D7</f>
        <v>1710</v>
      </c>
      <c r="H7" s="74" t="s">
        <v>39</v>
      </c>
      <c r="I7" s="21">
        <v>1513.23</v>
      </c>
      <c r="J7" s="67">
        <f t="shared" ref="J7:J9" si="0">G7*I7</f>
        <v>2587623.2999999998</v>
      </c>
      <c r="K7" s="158"/>
      <c r="L7" s="158" t="s">
        <v>46</v>
      </c>
      <c r="M7" s="36">
        <v>95</v>
      </c>
      <c r="N7" s="158"/>
      <c r="O7" s="158"/>
      <c r="P7" s="158">
        <f>M7</f>
        <v>95</v>
      </c>
    </row>
    <row r="8" spans="1:16" ht="15" x14ac:dyDescent="0.25">
      <c r="A8" s="23"/>
      <c r="B8" s="34" t="s">
        <v>31</v>
      </c>
      <c r="C8" s="27">
        <f>C7</f>
        <v>95</v>
      </c>
      <c r="D8" s="27"/>
      <c r="E8" s="27"/>
      <c r="F8" s="27"/>
      <c r="G8" s="27">
        <f>C8</f>
        <v>95</v>
      </c>
      <c r="H8" s="74" t="s">
        <v>94</v>
      </c>
      <c r="I8" s="21">
        <v>397.41</v>
      </c>
      <c r="J8" s="67">
        <f t="shared" si="0"/>
        <v>37753.950000000004</v>
      </c>
      <c r="K8" s="158"/>
      <c r="L8" s="158"/>
      <c r="M8" s="36"/>
      <c r="N8" s="158"/>
      <c r="O8" s="158"/>
      <c r="P8" s="158"/>
    </row>
    <row r="9" spans="1:16" ht="15" x14ac:dyDescent="0.25">
      <c r="A9" s="23"/>
      <c r="B9" s="37" t="s">
        <v>32</v>
      </c>
      <c r="C9" s="27">
        <f>C8</f>
        <v>95</v>
      </c>
      <c r="D9" s="27"/>
      <c r="E9" s="27"/>
      <c r="F9" s="27"/>
      <c r="G9" s="27">
        <f>C9</f>
        <v>95</v>
      </c>
      <c r="H9" s="74" t="s">
        <v>94</v>
      </c>
      <c r="I9" s="21">
        <v>458.56</v>
      </c>
      <c r="J9" s="67">
        <f t="shared" si="0"/>
        <v>43563.199999999997</v>
      </c>
      <c r="K9" s="158"/>
      <c r="L9" s="158"/>
      <c r="M9" s="36" t="s">
        <v>7</v>
      </c>
      <c r="N9" s="158" t="s">
        <v>8</v>
      </c>
      <c r="O9" s="158" t="s">
        <v>15</v>
      </c>
      <c r="P9" s="158" t="s">
        <v>38</v>
      </c>
    </row>
    <row r="10" spans="1:16" ht="15" x14ac:dyDescent="0.25">
      <c r="A10" s="38"/>
      <c r="B10" s="26" t="s">
        <v>194</v>
      </c>
      <c r="C10" s="27">
        <f>P10</f>
        <v>95</v>
      </c>
      <c r="D10" s="27">
        <f>M10+0.6</f>
        <v>1.4</v>
      </c>
      <c r="E10" s="27">
        <f>N10+0.6</f>
        <v>1.4</v>
      </c>
      <c r="F10" s="27">
        <f>O10+0.05+0.05+0.7+0.23</f>
        <v>1.53</v>
      </c>
      <c r="G10" s="27">
        <f t="shared" ref="G10:G17" si="1">F10*E10*D10*C10</f>
        <v>284.88599999999997</v>
      </c>
      <c r="H10" s="73"/>
      <c r="I10" s="94"/>
      <c r="J10" s="95"/>
      <c r="K10" s="158"/>
      <c r="L10" s="158" t="s">
        <v>33</v>
      </c>
      <c r="M10" s="36">
        <v>0.8</v>
      </c>
      <c r="N10" s="158">
        <v>0.8</v>
      </c>
      <c r="O10" s="158">
        <v>0.5</v>
      </c>
      <c r="P10" s="158">
        <v>95</v>
      </c>
    </row>
    <row r="11" spans="1:16" ht="15" x14ac:dyDescent="0.25">
      <c r="A11" s="38"/>
      <c r="B11" s="27"/>
      <c r="C11" s="27"/>
      <c r="D11" s="27"/>
      <c r="E11" s="27"/>
      <c r="F11" s="158" t="s">
        <v>37</v>
      </c>
      <c r="G11" s="158">
        <f>SUM(G10:G10)</f>
        <v>284.88599999999997</v>
      </c>
      <c r="H11" s="73" t="s">
        <v>51</v>
      </c>
      <c r="I11" s="94">
        <v>315.89</v>
      </c>
      <c r="J11" s="95">
        <f>G11*I11</f>
        <v>89992.638539999985</v>
      </c>
      <c r="K11" s="158"/>
      <c r="L11" s="158"/>
      <c r="M11" s="36"/>
      <c r="N11" s="158"/>
      <c r="O11" s="158"/>
      <c r="P11" s="158"/>
    </row>
    <row r="12" spans="1:16" ht="15" x14ac:dyDescent="0.25">
      <c r="A12" s="38"/>
      <c r="B12" s="27" t="s">
        <v>13</v>
      </c>
      <c r="C12" s="27">
        <f>P10</f>
        <v>95</v>
      </c>
      <c r="D12" s="27">
        <f>M10+0.3</f>
        <v>1.1000000000000001</v>
      </c>
      <c r="E12" s="27">
        <f>N10+0.3</f>
        <v>1.1000000000000001</v>
      </c>
      <c r="F12" s="27">
        <v>0.23</v>
      </c>
      <c r="G12" s="27">
        <f t="shared" si="1"/>
        <v>26.438500000000008</v>
      </c>
      <c r="H12" s="73"/>
      <c r="I12" s="94"/>
      <c r="J12" s="95"/>
      <c r="K12" s="158"/>
      <c r="L12" s="158"/>
      <c r="M12" s="36"/>
      <c r="N12" s="158"/>
      <c r="O12" s="158"/>
      <c r="P12" s="158"/>
    </row>
    <row r="13" spans="1:16" ht="15" x14ac:dyDescent="0.25">
      <c r="A13" s="38"/>
      <c r="B13" s="27"/>
      <c r="C13" s="27"/>
      <c r="D13" s="27"/>
      <c r="E13" s="27"/>
      <c r="F13" s="158" t="s">
        <v>37</v>
      </c>
      <c r="G13" s="158">
        <f>SUM(G12:G12)</f>
        <v>26.438500000000008</v>
      </c>
      <c r="H13" s="73" t="s">
        <v>51</v>
      </c>
      <c r="I13" s="94">
        <v>950</v>
      </c>
      <c r="J13" s="95">
        <f t="shared" ref="J13:J16" si="2">G13*I13</f>
        <v>25116.575000000008</v>
      </c>
      <c r="K13" s="158"/>
      <c r="L13" s="158"/>
      <c r="M13" s="36"/>
      <c r="N13" s="158"/>
      <c r="O13" s="158"/>
      <c r="P13" s="158"/>
    </row>
    <row r="14" spans="1:16" ht="15" x14ac:dyDescent="0.25">
      <c r="A14" s="38"/>
      <c r="B14" s="27" t="s">
        <v>14</v>
      </c>
      <c r="C14" s="27">
        <f>P10</f>
        <v>95</v>
      </c>
      <c r="D14" s="27">
        <f>M10+0.2</f>
        <v>1</v>
      </c>
      <c r="E14" s="27">
        <f>N10+0.2</f>
        <v>1</v>
      </c>
      <c r="F14" s="27">
        <v>0.05</v>
      </c>
      <c r="G14" s="27">
        <f t="shared" si="1"/>
        <v>4.75</v>
      </c>
      <c r="H14" s="73"/>
      <c r="I14" s="94"/>
      <c r="J14" s="95"/>
      <c r="K14" s="158"/>
      <c r="L14" s="36"/>
      <c r="M14" s="36"/>
      <c r="N14" s="158"/>
      <c r="O14" s="158"/>
      <c r="P14" s="158"/>
    </row>
    <row r="15" spans="1:16" ht="15" x14ac:dyDescent="0.25">
      <c r="A15" s="38"/>
      <c r="B15" s="27"/>
      <c r="C15" s="27"/>
      <c r="D15" s="27"/>
      <c r="E15" s="27"/>
      <c r="F15" s="158" t="s">
        <v>37</v>
      </c>
      <c r="G15" s="158">
        <f>SUM(G14:G14)</f>
        <v>4.75</v>
      </c>
      <c r="H15" s="73" t="s">
        <v>51</v>
      </c>
      <c r="I15" s="94">
        <v>3535.97</v>
      </c>
      <c r="J15" s="95">
        <f t="shared" si="2"/>
        <v>16795.857499999998</v>
      </c>
      <c r="K15" s="158"/>
      <c r="L15" s="158"/>
      <c r="M15" s="36"/>
      <c r="N15" s="158"/>
      <c r="O15" s="158"/>
      <c r="P15" s="158"/>
    </row>
    <row r="16" spans="1:16" ht="15" x14ac:dyDescent="0.25">
      <c r="A16" s="38"/>
      <c r="B16" s="27" t="s">
        <v>34</v>
      </c>
      <c r="C16" s="27">
        <f>P10</f>
        <v>95</v>
      </c>
      <c r="D16" s="27">
        <f>M10+0.2</f>
        <v>1</v>
      </c>
      <c r="E16" s="27">
        <f>N10+0.2</f>
        <v>1</v>
      </c>
      <c r="F16" s="27">
        <v>0.05</v>
      </c>
      <c r="G16" s="158">
        <f t="shared" si="1"/>
        <v>4.75</v>
      </c>
      <c r="H16" s="73" t="s">
        <v>51</v>
      </c>
      <c r="I16" s="94">
        <v>927.3</v>
      </c>
      <c r="J16" s="95">
        <f t="shared" si="2"/>
        <v>4404.6750000000002</v>
      </c>
      <c r="K16" s="158"/>
      <c r="L16" s="158"/>
      <c r="M16" s="36"/>
      <c r="N16" s="158"/>
      <c r="O16" s="158"/>
      <c r="P16" s="158"/>
    </row>
    <row r="17" spans="1:16" ht="15" x14ac:dyDescent="0.25">
      <c r="A17" s="38"/>
      <c r="B17" s="27" t="s">
        <v>35</v>
      </c>
      <c r="C17" s="27">
        <f>P10</f>
        <v>95</v>
      </c>
      <c r="D17" s="27">
        <f>M10</f>
        <v>0.8</v>
      </c>
      <c r="E17" s="27">
        <f>N10</f>
        <v>0.8</v>
      </c>
      <c r="F17" s="27">
        <f>O10</f>
        <v>0.5</v>
      </c>
      <c r="G17" s="27">
        <f t="shared" si="1"/>
        <v>30.400000000000006</v>
      </c>
      <c r="H17" s="73"/>
      <c r="I17" s="94"/>
      <c r="J17" s="95"/>
      <c r="K17" s="158"/>
      <c r="L17" s="158"/>
      <c r="M17" s="36"/>
      <c r="N17" s="158"/>
      <c r="O17" s="158"/>
      <c r="P17" s="158"/>
    </row>
    <row r="18" spans="1:16" ht="15" x14ac:dyDescent="0.25">
      <c r="A18" s="38"/>
      <c r="B18" s="27" t="s">
        <v>337</v>
      </c>
      <c r="C18" s="27"/>
      <c r="D18" s="27"/>
      <c r="E18" s="27"/>
      <c r="F18" s="158" t="s">
        <v>37</v>
      </c>
      <c r="G18" s="158">
        <f>SUM(G17:G17)</f>
        <v>30.400000000000006</v>
      </c>
      <c r="H18" s="73" t="s">
        <v>51</v>
      </c>
      <c r="I18" s="94">
        <v>5329.43</v>
      </c>
      <c r="J18" s="95">
        <f>G18*I18</f>
        <v>162014.67200000005</v>
      </c>
      <c r="K18" s="158"/>
      <c r="L18" s="36"/>
      <c r="M18" s="158"/>
      <c r="N18" s="158"/>
      <c r="O18" s="158"/>
    </row>
    <row r="19" spans="1:16" ht="15" x14ac:dyDescent="0.25">
      <c r="A19" s="38"/>
      <c r="B19" s="27" t="s">
        <v>17</v>
      </c>
      <c r="C19" s="27">
        <f>C17</f>
        <v>95</v>
      </c>
      <c r="D19" s="27">
        <f>D17+D17+E17+E17</f>
        <v>3.2</v>
      </c>
      <c r="E19" s="27"/>
      <c r="F19" s="27">
        <f>F17</f>
        <v>0.5</v>
      </c>
      <c r="G19" s="27">
        <f>C19*D19*F19</f>
        <v>152</v>
      </c>
      <c r="H19" s="73"/>
      <c r="I19" s="94"/>
      <c r="J19" s="95"/>
      <c r="K19" s="158"/>
      <c r="L19" s="36"/>
      <c r="M19" s="158"/>
      <c r="N19" s="158"/>
      <c r="O19" s="158"/>
    </row>
    <row r="20" spans="1:16" ht="15" x14ac:dyDescent="0.25">
      <c r="A20" s="38"/>
      <c r="B20" s="27"/>
      <c r="C20" s="27"/>
      <c r="D20" s="27"/>
      <c r="E20" s="27"/>
      <c r="F20" s="158" t="s">
        <v>37</v>
      </c>
      <c r="G20" s="158">
        <f>SUM(G19:G19)</f>
        <v>152</v>
      </c>
      <c r="H20" s="73" t="s">
        <v>36</v>
      </c>
      <c r="I20" s="94">
        <v>718.4</v>
      </c>
      <c r="J20" s="95">
        <f>G20*I20</f>
        <v>109196.8</v>
      </c>
      <c r="K20" s="158"/>
      <c r="L20" s="36"/>
      <c r="M20" s="158"/>
      <c r="N20" s="158"/>
      <c r="O20" s="158"/>
    </row>
    <row r="21" spans="1:16" ht="15" x14ac:dyDescent="0.25">
      <c r="A21" s="38"/>
      <c r="B21" s="27" t="s">
        <v>18</v>
      </c>
      <c r="C21" s="27">
        <v>1</v>
      </c>
      <c r="D21" s="6">
        <f>G18</f>
        <v>30.400000000000006</v>
      </c>
      <c r="E21" s="27">
        <v>100</v>
      </c>
      <c r="F21" s="27"/>
      <c r="G21" s="27">
        <f>D21*E21</f>
        <v>3040.0000000000005</v>
      </c>
      <c r="H21" s="73" t="s">
        <v>56</v>
      </c>
      <c r="I21" s="94">
        <v>66.239999999999995</v>
      </c>
      <c r="J21" s="95">
        <f t="shared" ref="J21:J22" si="3">G21*I21</f>
        <v>201369.60000000001</v>
      </c>
      <c r="K21" s="158"/>
      <c r="L21" s="36"/>
      <c r="M21" s="158"/>
      <c r="N21" s="158"/>
      <c r="O21" s="158"/>
    </row>
    <row r="22" spans="1:16" ht="15" x14ac:dyDescent="0.25">
      <c r="A22" s="38"/>
      <c r="B22" s="27" t="s">
        <v>19</v>
      </c>
      <c r="C22" s="27">
        <f>C19</f>
        <v>95</v>
      </c>
      <c r="D22" s="6">
        <v>8</v>
      </c>
      <c r="E22" s="27">
        <f>(36*36/162)+1.5</f>
        <v>9.5</v>
      </c>
      <c r="F22" s="27">
        <v>0.9</v>
      </c>
      <c r="G22" s="27">
        <f>C22*D22*E22*F22</f>
        <v>6498</v>
      </c>
      <c r="H22" s="73" t="s">
        <v>56</v>
      </c>
      <c r="I22" s="94">
        <v>125</v>
      </c>
      <c r="J22" s="95">
        <f t="shared" si="3"/>
        <v>812250</v>
      </c>
      <c r="K22" s="158"/>
      <c r="L22" s="36">
        <v>0.9</v>
      </c>
      <c r="M22" s="158">
        <v>9.5</v>
      </c>
      <c r="N22" s="158"/>
      <c r="O22" s="158">
        <f>36*8</f>
        <v>288</v>
      </c>
    </row>
    <row r="23" spans="1:16" ht="15" x14ac:dyDescent="0.25">
      <c r="A23" s="38"/>
      <c r="B23" s="27"/>
      <c r="C23" s="27"/>
      <c r="D23" s="27"/>
      <c r="E23" s="27"/>
      <c r="F23" s="158"/>
      <c r="G23" s="158"/>
      <c r="H23" s="73"/>
      <c r="I23" s="94"/>
      <c r="J23" s="95"/>
      <c r="K23" s="158"/>
    </row>
    <row r="24" spans="1:16" ht="15" x14ac:dyDescent="0.25">
      <c r="A24" s="39"/>
      <c r="B24" s="26" t="s">
        <v>49</v>
      </c>
      <c r="C24" s="40"/>
      <c r="D24" s="40"/>
      <c r="E24" s="40"/>
      <c r="F24" s="40"/>
      <c r="G24" s="40"/>
      <c r="H24" s="78"/>
      <c r="I24" s="96"/>
      <c r="J24" s="68"/>
      <c r="K24" s="158"/>
    </row>
    <row r="25" spans="1:16" ht="15" x14ac:dyDescent="0.25">
      <c r="A25" s="41"/>
      <c r="B25" s="42" t="s">
        <v>50</v>
      </c>
      <c r="C25" s="43">
        <v>4</v>
      </c>
      <c r="D25" s="43">
        <v>3.2</v>
      </c>
      <c r="E25" s="43">
        <v>1.5</v>
      </c>
      <c r="F25" s="43">
        <v>2</v>
      </c>
      <c r="G25" s="43">
        <f>F25*E25*D25*C25</f>
        <v>38.400000000000006</v>
      </c>
      <c r="H25" s="73" t="s">
        <v>51</v>
      </c>
      <c r="I25" s="94">
        <v>315.19</v>
      </c>
      <c r="J25" s="95">
        <f>I25*G25</f>
        <v>12103.296000000002</v>
      </c>
      <c r="K25" s="158"/>
    </row>
    <row r="26" spans="1:16" ht="15" x14ac:dyDescent="0.25">
      <c r="A26" s="41"/>
      <c r="B26" s="42" t="s">
        <v>52</v>
      </c>
      <c r="C26" s="43"/>
      <c r="D26" s="43"/>
      <c r="E26" s="43"/>
      <c r="F26" s="43"/>
      <c r="G26" s="43">
        <f>G25</f>
        <v>38.400000000000006</v>
      </c>
      <c r="H26" s="73" t="s">
        <v>51</v>
      </c>
      <c r="I26" s="94">
        <v>75</v>
      </c>
      <c r="J26" s="95">
        <f>I26*G26</f>
        <v>2880.0000000000005</v>
      </c>
      <c r="K26" s="158"/>
    </row>
    <row r="27" spans="1:16" ht="15" x14ac:dyDescent="0.25">
      <c r="A27" s="41"/>
      <c r="B27" s="42" t="s">
        <v>13</v>
      </c>
      <c r="C27" s="43">
        <v>3.2</v>
      </c>
      <c r="D27" s="43">
        <v>2.5</v>
      </c>
      <c r="E27" s="43">
        <v>0.23</v>
      </c>
      <c r="F27" s="43">
        <f>F25</f>
        <v>2</v>
      </c>
      <c r="G27" s="43">
        <f>F27*E27*D27*C27</f>
        <v>3.6800000000000006</v>
      </c>
      <c r="H27" s="73" t="s">
        <v>51</v>
      </c>
      <c r="I27" s="94">
        <v>950</v>
      </c>
      <c r="J27" s="95">
        <f>I27*G27</f>
        <v>3496.0000000000005</v>
      </c>
      <c r="K27" s="158"/>
    </row>
    <row r="28" spans="1:16" ht="15" x14ac:dyDescent="0.25">
      <c r="A28" s="41"/>
      <c r="B28" s="42" t="s">
        <v>53</v>
      </c>
      <c r="C28" s="43">
        <v>3.2</v>
      </c>
      <c r="D28" s="66">
        <v>2.5</v>
      </c>
      <c r="E28" s="43">
        <v>0.1</v>
      </c>
      <c r="F28" s="43">
        <f>F25</f>
        <v>2</v>
      </c>
      <c r="G28" s="43">
        <f>F28*E28*D28*C28</f>
        <v>1.6</v>
      </c>
      <c r="H28" s="73" t="s">
        <v>51</v>
      </c>
      <c r="I28" s="94">
        <v>3535.97</v>
      </c>
      <c r="J28" s="95">
        <f>I28*G28</f>
        <v>5657.5519999999997</v>
      </c>
      <c r="K28" s="158"/>
    </row>
    <row r="29" spans="1:16" ht="15" x14ac:dyDescent="0.25">
      <c r="A29" s="41"/>
      <c r="B29" s="42" t="s">
        <v>54</v>
      </c>
      <c r="C29" s="43">
        <v>3</v>
      </c>
      <c r="D29" s="66">
        <v>2.2000000000000002</v>
      </c>
      <c r="E29" s="43">
        <v>0.95</v>
      </c>
      <c r="F29" s="43">
        <f>F25</f>
        <v>2</v>
      </c>
      <c r="G29" s="43">
        <f>F29*E29*D29*C29</f>
        <v>12.54</v>
      </c>
      <c r="H29" s="73" t="s">
        <v>51</v>
      </c>
      <c r="I29" s="94"/>
      <c r="J29" s="95"/>
      <c r="K29" s="158"/>
    </row>
    <row r="30" spans="1:16" ht="15" x14ac:dyDescent="0.25">
      <c r="A30" s="41"/>
      <c r="B30" s="42"/>
      <c r="C30" s="43"/>
      <c r="D30" s="66"/>
      <c r="E30" s="43"/>
      <c r="F30" s="158" t="s">
        <v>37</v>
      </c>
      <c r="G30" s="43">
        <f>G29</f>
        <v>12.54</v>
      </c>
      <c r="H30" s="73" t="s">
        <v>51</v>
      </c>
      <c r="I30" s="94">
        <v>5329.43</v>
      </c>
      <c r="J30" s="95">
        <f>I30*G30</f>
        <v>66831.052200000006</v>
      </c>
      <c r="K30" s="158"/>
    </row>
    <row r="31" spans="1:16" ht="15" x14ac:dyDescent="0.25">
      <c r="A31" s="41"/>
      <c r="B31" s="42" t="s">
        <v>55</v>
      </c>
      <c r="C31" s="43">
        <f>G30</f>
        <v>12.54</v>
      </c>
      <c r="D31" s="66"/>
      <c r="E31" s="43"/>
      <c r="F31" s="43">
        <v>8</v>
      </c>
      <c r="G31" s="43">
        <f>F31*C31</f>
        <v>100.32</v>
      </c>
      <c r="H31" s="73" t="s">
        <v>36</v>
      </c>
      <c r="I31" s="94">
        <v>718.4</v>
      </c>
      <c r="J31" s="95">
        <f t="shared" ref="J31:J39" si="4">I31*G31</f>
        <v>72069.887999999992</v>
      </c>
      <c r="K31" s="158"/>
    </row>
    <row r="32" spans="1:16" ht="15" x14ac:dyDescent="0.25">
      <c r="A32" s="41"/>
      <c r="B32" s="42" t="s">
        <v>5</v>
      </c>
      <c r="C32" s="43">
        <f>G30</f>
        <v>12.54</v>
      </c>
      <c r="D32" s="66"/>
      <c r="E32" s="43"/>
      <c r="F32" s="43">
        <v>125</v>
      </c>
      <c r="G32" s="43">
        <f>F32*C32</f>
        <v>1567.5</v>
      </c>
      <c r="H32" s="73" t="s">
        <v>56</v>
      </c>
      <c r="I32" s="94">
        <v>66.239999999999995</v>
      </c>
      <c r="J32" s="95">
        <f t="shared" si="4"/>
        <v>103831.2</v>
      </c>
      <c r="K32" s="158"/>
    </row>
    <row r="33" spans="1:11" ht="15" x14ac:dyDescent="0.25">
      <c r="A33" s="41"/>
      <c r="B33" s="42" t="s">
        <v>44</v>
      </c>
      <c r="C33" s="43">
        <f>G25-G27-G28-G29</f>
        <v>20.580000000000005</v>
      </c>
      <c r="D33" s="66"/>
      <c r="E33" s="43"/>
      <c r="F33" s="43">
        <v>1</v>
      </c>
      <c r="G33" s="43">
        <f>F33*C33</f>
        <v>20.580000000000005</v>
      </c>
      <c r="H33" s="73" t="s">
        <v>51</v>
      </c>
      <c r="I33" s="94">
        <v>183.42</v>
      </c>
      <c r="J33" s="95">
        <f t="shared" si="4"/>
        <v>3774.7836000000007</v>
      </c>
      <c r="K33" s="158"/>
    </row>
    <row r="34" spans="1:11" ht="15" x14ac:dyDescent="0.25">
      <c r="A34" s="41"/>
      <c r="B34" s="42" t="s">
        <v>57</v>
      </c>
      <c r="C34" s="43">
        <v>8</v>
      </c>
      <c r="D34" s="66"/>
      <c r="E34" s="43"/>
      <c r="F34" s="43">
        <v>1</v>
      </c>
      <c r="G34" s="43">
        <f>F34*C34</f>
        <v>8</v>
      </c>
      <c r="H34" s="73" t="s">
        <v>9</v>
      </c>
      <c r="I34" s="94">
        <v>400</v>
      </c>
      <c r="J34" s="95">
        <f t="shared" si="4"/>
        <v>3200</v>
      </c>
      <c r="K34" s="158"/>
    </row>
    <row r="35" spans="1:11" ht="15" x14ac:dyDescent="0.25">
      <c r="A35" s="41"/>
      <c r="B35" s="42" t="s">
        <v>58</v>
      </c>
      <c r="C35" s="43">
        <v>0.15</v>
      </c>
      <c r="D35" s="66">
        <v>0.15</v>
      </c>
      <c r="E35" s="43">
        <v>0.4</v>
      </c>
      <c r="F35" s="43">
        <f>G34</f>
        <v>8</v>
      </c>
      <c r="G35" s="66">
        <f>C35*D35*E35*F35</f>
        <v>7.1999999999999995E-2</v>
      </c>
      <c r="H35" s="73" t="s">
        <v>51</v>
      </c>
      <c r="I35" s="94">
        <v>100053.2</v>
      </c>
      <c r="J35" s="95">
        <f t="shared" si="4"/>
        <v>7203.8303999999989</v>
      </c>
      <c r="K35" s="158"/>
    </row>
    <row r="36" spans="1:11" x14ac:dyDescent="0.25">
      <c r="A36" s="39"/>
      <c r="B36" s="26" t="s">
        <v>242</v>
      </c>
      <c r="C36" s="187">
        <v>1</v>
      </c>
      <c r="D36" s="188">
        <v>38</v>
      </c>
      <c r="E36" s="187">
        <v>20</v>
      </c>
      <c r="F36" s="40"/>
      <c r="G36" s="188">
        <f>C36*D36*E36</f>
        <v>760</v>
      </c>
      <c r="H36" s="78"/>
      <c r="I36" s="71">
        <v>15000</v>
      </c>
      <c r="J36" s="70">
        <f t="shared" si="4"/>
        <v>11400000</v>
      </c>
      <c r="K36" s="158"/>
    </row>
    <row r="37" spans="1:11" x14ac:dyDescent="0.25">
      <c r="A37" s="41"/>
      <c r="B37" s="42" t="s">
        <v>243</v>
      </c>
      <c r="C37" s="43">
        <v>1</v>
      </c>
      <c r="D37" s="66">
        <v>8</v>
      </c>
      <c r="E37" s="43">
        <v>20</v>
      </c>
      <c r="F37" s="43"/>
      <c r="G37" s="188">
        <f t="shared" ref="G37:G39" si="5">C37*D37*E37</f>
        <v>160</v>
      </c>
      <c r="H37" s="73"/>
      <c r="I37" s="94">
        <v>20000</v>
      </c>
      <c r="J37" s="70">
        <f t="shared" si="4"/>
        <v>3200000</v>
      </c>
      <c r="K37" s="158"/>
    </row>
    <row r="38" spans="1:11" x14ac:dyDescent="0.25">
      <c r="A38" s="41"/>
      <c r="B38" s="42" t="s">
        <v>244</v>
      </c>
      <c r="C38" s="43">
        <v>1</v>
      </c>
      <c r="D38" s="66">
        <v>38</v>
      </c>
      <c r="E38" s="43">
        <v>20</v>
      </c>
      <c r="F38" s="43"/>
      <c r="G38" s="188">
        <f t="shared" si="5"/>
        <v>760</v>
      </c>
      <c r="H38" s="73"/>
      <c r="I38" s="94">
        <v>25000</v>
      </c>
      <c r="J38" s="70">
        <f t="shared" si="4"/>
        <v>19000000</v>
      </c>
      <c r="K38" s="158"/>
    </row>
    <row r="39" spans="1:11" x14ac:dyDescent="0.25">
      <c r="A39" s="41"/>
      <c r="B39" s="42" t="s">
        <v>245</v>
      </c>
      <c r="C39" s="43">
        <v>1</v>
      </c>
      <c r="D39" s="66">
        <v>4</v>
      </c>
      <c r="E39" s="43">
        <v>3.5</v>
      </c>
      <c r="F39" s="43"/>
      <c r="G39" s="188">
        <f t="shared" si="5"/>
        <v>14</v>
      </c>
      <c r="H39" s="73"/>
      <c r="I39" s="94">
        <v>10000</v>
      </c>
      <c r="J39" s="70">
        <f t="shared" si="4"/>
        <v>140000</v>
      </c>
      <c r="K39" s="158"/>
    </row>
    <row r="40" spans="1:11" x14ac:dyDescent="0.25">
      <c r="A40" s="25">
        <v>3</v>
      </c>
      <c r="B40" s="26" t="s">
        <v>246</v>
      </c>
      <c r="C40" s="27"/>
      <c r="D40" s="27"/>
      <c r="E40" s="27"/>
      <c r="F40" s="158"/>
      <c r="G40" s="158"/>
      <c r="H40" s="73"/>
      <c r="I40" s="94"/>
      <c r="J40" s="95"/>
      <c r="K40" s="158"/>
    </row>
    <row r="41" spans="1:11" x14ac:dyDescent="0.25">
      <c r="A41" s="38"/>
      <c r="B41" s="27" t="s">
        <v>20</v>
      </c>
      <c r="C41" s="27"/>
      <c r="D41" s="27"/>
      <c r="E41" s="27">
        <f>20*20</f>
        <v>400</v>
      </c>
      <c r="F41" s="27"/>
      <c r="G41" s="27"/>
      <c r="H41" s="73" t="s">
        <v>36</v>
      </c>
      <c r="I41" s="94"/>
      <c r="J41" s="95"/>
      <c r="K41" s="158"/>
    </row>
    <row r="42" spans="1:11" x14ac:dyDescent="0.25">
      <c r="A42" s="38"/>
      <c r="B42" s="27" t="s">
        <v>21</v>
      </c>
      <c r="C42" s="27"/>
      <c r="D42" s="27"/>
      <c r="E42" s="27">
        <f>SUM(E41:E41)</f>
        <v>400</v>
      </c>
      <c r="F42" s="27">
        <v>150</v>
      </c>
      <c r="G42" s="27">
        <f>F42*E42</f>
        <v>60000</v>
      </c>
      <c r="H42" s="73" t="s">
        <v>56</v>
      </c>
      <c r="I42" s="94">
        <v>81.52</v>
      </c>
      <c r="J42" s="95">
        <f>G42*I42</f>
        <v>4891200</v>
      </c>
      <c r="K42" s="158"/>
    </row>
    <row r="43" spans="1:11" x14ac:dyDescent="0.25">
      <c r="A43" s="38"/>
      <c r="B43" s="27" t="s">
        <v>24</v>
      </c>
      <c r="C43" s="27"/>
      <c r="D43" s="27"/>
      <c r="E43" s="27">
        <f>G42</f>
        <v>60000</v>
      </c>
      <c r="F43" s="27">
        <v>0.03</v>
      </c>
      <c r="G43" s="27">
        <f>F43*E43</f>
        <v>1800</v>
      </c>
      <c r="H43" s="73" t="s">
        <v>36</v>
      </c>
      <c r="I43" s="94">
        <v>871.25</v>
      </c>
      <c r="J43" s="95">
        <f t="shared" ref="J43" si="6">G43*I43</f>
        <v>1568250</v>
      </c>
      <c r="K43" s="158"/>
    </row>
    <row r="44" spans="1:11" x14ac:dyDescent="0.25">
      <c r="A44" s="41"/>
      <c r="B44" s="27" t="s">
        <v>249</v>
      </c>
      <c r="C44" s="27">
        <v>1.25</v>
      </c>
      <c r="D44" s="6"/>
      <c r="E44" s="27">
        <f>E41</f>
        <v>400</v>
      </c>
      <c r="F44" s="27"/>
      <c r="G44" s="27">
        <f>C44*E44</f>
        <v>500</v>
      </c>
      <c r="H44" s="73" t="s">
        <v>36</v>
      </c>
      <c r="I44" s="94">
        <v>504.41</v>
      </c>
      <c r="J44" s="95">
        <f>I44*G44</f>
        <v>252205</v>
      </c>
      <c r="K44" s="158"/>
    </row>
    <row r="45" spans="1:11" x14ac:dyDescent="0.25">
      <c r="A45" s="25">
        <v>3</v>
      </c>
      <c r="B45" s="26" t="s">
        <v>248</v>
      </c>
      <c r="C45" s="27"/>
      <c r="D45" s="27"/>
      <c r="E45" s="27"/>
      <c r="F45" s="158"/>
      <c r="G45" s="158"/>
      <c r="H45" s="73"/>
      <c r="I45" s="94"/>
      <c r="J45" s="95"/>
      <c r="K45" s="158"/>
    </row>
    <row r="46" spans="1:11" x14ac:dyDescent="0.25">
      <c r="A46" s="38"/>
      <c r="B46" s="27" t="s">
        <v>20</v>
      </c>
      <c r="C46" s="27"/>
      <c r="D46" s="27"/>
      <c r="E46" s="27">
        <f>20*20</f>
        <v>400</v>
      </c>
      <c r="F46" s="27"/>
      <c r="G46" s="27"/>
      <c r="H46" s="73" t="s">
        <v>36</v>
      </c>
      <c r="I46" s="94"/>
      <c r="J46" s="95"/>
      <c r="K46" s="158"/>
    </row>
    <row r="47" spans="1:11" x14ac:dyDescent="0.25">
      <c r="A47" s="38"/>
      <c r="B47" s="27" t="s">
        <v>21</v>
      </c>
      <c r="C47" s="27"/>
      <c r="D47" s="27"/>
      <c r="E47" s="27">
        <f>SUM(E46:E46)</f>
        <v>400</v>
      </c>
      <c r="F47" s="27">
        <v>150</v>
      </c>
      <c r="G47" s="27">
        <f>F47*E47</f>
        <v>60000</v>
      </c>
      <c r="H47" s="73" t="s">
        <v>56</v>
      </c>
      <c r="I47" s="94">
        <v>81.52</v>
      </c>
      <c r="J47" s="95">
        <f>G47*I47</f>
        <v>4891200</v>
      </c>
      <c r="K47" s="158"/>
    </row>
    <row r="48" spans="1:11" x14ac:dyDescent="0.25">
      <c r="A48" s="38"/>
      <c r="B48" s="27" t="s">
        <v>24</v>
      </c>
      <c r="C48" s="27"/>
      <c r="D48" s="27"/>
      <c r="E48" s="27">
        <f>G47</f>
        <v>60000</v>
      </c>
      <c r="F48" s="27">
        <v>0.03</v>
      </c>
      <c r="G48" s="27">
        <f>F48*E48</f>
        <v>1800</v>
      </c>
      <c r="H48" s="73" t="s">
        <v>36</v>
      </c>
      <c r="I48" s="94">
        <v>871.25</v>
      </c>
      <c r="J48" s="95">
        <f t="shared" ref="J48" si="7">G48*I48</f>
        <v>1568250</v>
      </c>
      <c r="K48" s="158"/>
    </row>
    <row r="49" spans="1:11" x14ac:dyDescent="0.25">
      <c r="A49" s="41"/>
      <c r="B49" s="27" t="s">
        <v>249</v>
      </c>
      <c r="C49" s="27">
        <v>1.25</v>
      </c>
      <c r="D49" s="6"/>
      <c r="E49" s="27">
        <f>E46</f>
        <v>400</v>
      </c>
      <c r="F49" s="27"/>
      <c r="G49" s="27">
        <f>C49*E49</f>
        <v>500</v>
      </c>
      <c r="H49" s="73" t="s">
        <v>36</v>
      </c>
      <c r="I49" s="94">
        <v>504.41</v>
      </c>
      <c r="J49" s="95">
        <f>I49*G49</f>
        <v>252205</v>
      </c>
      <c r="K49" s="158"/>
    </row>
    <row r="50" spans="1:11" x14ac:dyDescent="0.25">
      <c r="A50" s="41"/>
      <c r="B50" s="26" t="s">
        <v>250</v>
      </c>
      <c r="C50" s="27"/>
      <c r="D50" s="27"/>
      <c r="E50" s="27"/>
      <c r="F50" s="158"/>
      <c r="G50" s="158"/>
      <c r="H50" s="73"/>
      <c r="I50" s="94"/>
      <c r="J50" s="95"/>
      <c r="K50" s="158"/>
    </row>
    <row r="51" spans="1:11" x14ac:dyDescent="0.25">
      <c r="A51" s="41"/>
      <c r="B51" s="27" t="s">
        <v>247</v>
      </c>
      <c r="C51" s="27">
        <v>2</v>
      </c>
      <c r="D51" s="27">
        <f>20*15</f>
        <v>300</v>
      </c>
      <c r="E51" s="27">
        <f>C51*D51</f>
        <v>600</v>
      </c>
      <c r="F51" s="27"/>
      <c r="G51" s="27"/>
      <c r="H51" s="73"/>
      <c r="I51" s="94"/>
      <c r="J51" s="95"/>
      <c r="K51" s="158"/>
    </row>
    <row r="52" spans="1:11" x14ac:dyDescent="0.25">
      <c r="A52" s="41"/>
      <c r="B52" s="27"/>
      <c r="C52" s="27">
        <v>1</v>
      </c>
      <c r="D52" s="27">
        <f>20*12</f>
        <v>240</v>
      </c>
      <c r="E52" s="27">
        <f t="shared" ref="E52:E55" si="8">C52*D52</f>
        <v>240</v>
      </c>
      <c r="F52" s="27"/>
      <c r="G52" s="27"/>
      <c r="H52" s="73"/>
      <c r="I52" s="94"/>
      <c r="J52" s="95"/>
      <c r="K52" s="158"/>
    </row>
    <row r="53" spans="1:11" x14ac:dyDescent="0.25">
      <c r="A53" s="41"/>
      <c r="B53" s="27"/>
      <c r="C53" s="27">
        <v>1</v>
      </c>
      <c r="D53" s="27">
        <f>20*10</f>
        <v>200</v>
      </c>
      <c r="E53" s="27">
        <f t="shared" si="8"/>
        <v>200</v>
      </c>
      <c r="F53" s="27"/>
      <c r="G53" s="27"/>
      <c r="H53" s="73"/>
      <c r="I53" s="94"/>
      <c r="J53" s="95"/>
      <c r="K53" s="158"/>
    </row>
    <row r="54" spans="1:11" x14ac:dyDescent="0.25">
      <c r="A54" s="41"/>
      <c r="B54" s="27"/>
      <c r="C54" s="27">
        <v>2</v>
      </c>
      <c r="D54" s="27">
        <f>20*22</f>
        <v>440</v>
      </c>
      <c r="E54" s="27">
        <f t="shared" si="8"/>
        <v>880</v>
      </c>
      <c r="F54" s="27"/>
      <c r="G54" s="27"/>
      <c r="H54" s="73"/>
      <c r="I54" s="94"/>
      <c r="J54" s="95"/>
      <c r="K54" s="158"/>
    </row>
    <row r="55" spans="1:11" x14ac:dyDescent="0.25">
      <c r="A55" s="41"/>
      <c r="B55" s="27"/>
      <c r="C55" s="27">
        <v>1</v>
      </c>
      <c r="D55" s="27">
        <f>20*22</f>
        <v>440</v>
      </c>
      <c r="E55" s="27">
        <f t="shared" si="8"/>
        <v>440</v>
      </c>
      <c r="F55" s="27"/>
      <c r="G55" s="27"/>
      <c r="H55" s="73"/>
      <c r="I55" s="94"/>
      <c r="J55" s="95"/>
      <c r="K55" s="158"/>
    </row>
    <row r="56" spans="1:11" x14ac:dyDescent="0.25">
      <c r="A56" s="38"/>
      <c r="B56" s="27" t="s">
        <v>21</v>
      </c>
      <c r="C56" s="27"/>
      <c r="D56" s="27"/>
      <c r="E56" s="27">
        <f>SUM(E51:E55)</f>
        <v>2360</v>
      </c>
      <c r="F56" s="27">
        <v>100</v>
      </c>
      <c r="G56" s="27">
        <f>F56*E56</f>
        <v>236000</v>
      </c>
      <c r="H56" s="73" t="s">
        <v>56</v>
      </c>
      <c r="I56" s="94">
        <v>81.52</v>
      </c>
      <c r="J56" s="95">
        <f>G56*I56</f>
        <v>19238720</v>
      </c>
      <c r="K56" s="158"/>
    </row>
    <row r="57" spans="1:11" x14ac:dyDescent="0.25">
      <c r="A57" s="38"/>
      <c r="B57" s="27" t="s">
        <v>24</v>
      </c>
      <c r="C57" s="27"/>
      <c r="D57" s="27"/>
      <c r="E57" s="27">
        <f>G56</f>
        <v>236000</v>
      </c>
      <c r="F57" s="27">
        <v>0.03</v>
      </c>
      <c r="G57" s="27">
        <f>F57*E57</f>
        <v>7080</v>
      </c>
      <c r="H57" s="73" t="s">
        <v>36</v>
      </c>
      <c r="I57" s="94">
        <v>871.25</v>
      </c>
      <c r="J57" s="95">
        <f t="shared" ref="J57" si="9">G57*I57</f>
        <v>6168450</v>
      </c>
      <c r="K57" s="158"/>
    </row>
    <row r="58" spans="1:11" x14ac:dyDescent="0.25">
      <c r="A58" s="41"/>
      <c r="B58" s="27" t="s">
        <v>249</v>
      </c>
      <c r="C58" s="27">
        <v>1.25</v>
      </c>
      <c r="D58" s="6"/>
      <c r="E58" s="27">
        <f>E56</f>
        <v>2360</v>
      </c>
      <c r="F58" s="27"/>
      <c r="G58" s="27">
        <f>C58*E58</f>
        <v>2950</v>
      </c>
      <c r="H58" s="73" t="s">
        <v>36</v>
      </c>
      <c r="I58" s="94">
        <v>504.41</v>
      </c>
      <c r="J58" s="95">
        <f>I58*G58</f>
        <v>1488009.5</v>
      </c>
      <c r="K58" s="158"/>
    </row>
    <row r="59" spans="1:11" x14ac:dyDescent="0.25">
      <c r="A59" s="38"/>
      <c r="B59" s="26" t="s">
        <v>251</v>
      </c>
      <c r="C59" s="13"/>
      <c r="D59" s="13"/>
      <c r="E59" s="40"/>
      <c r="F59" s="40"/>
      <c r="G59" s="13"/>
      <c r="H59" s="78"/>
      <c r="I59" s="96"/>
      <c r="J59" s="68"/>
      <c r="K59" s="44"/>
    </row>
    <row r="60" spans="1:11" x14ac:dyDescent="0.25">
      <c r="A60" s="45" t="s">
        <v>95</v>
      </c>
      <c r="B60" s="29" t="s">
        <v>69</v>
      </c>
      <c r="C60" s="181"/>
      <c r="D60" s="67"/>
      <c r="E60" s="46"/>
      <c r="F60" s="46"/>
      <c r="G60" s="46"/>
      <c r="H60" s="78"/>
      <c r="I60" s="96"/>
      <c r="J60" s="68"/>
      <c r="K60" s="44"/>
    </row>
    <row r="61" spans="1:11" x14ac:dyDescent="0.25">
      <c r="A61" s="30"/>
      <c r="B61" s="34" t="s">
        <v>324</v>
      </c>
      <c r="C61" s="6">
        <v>0</v>
      </c>
      <c r="D61" s="6"/>
      <c r="E61" s="46"/>
      <c r="F61" s="46"/>
      <c r="G61" s="70">
        <f>C61</f>
        <v>0</v>
      </c>
      <c r="H61" s="74" t="s">
        <v>4</v>
      </c>
      <c r="I61" s="21">
        <v>305703.42</v>
      </c>
      <c r="J61" s="70">
        <f>G61*I61</f>
        <v>0</v>
      </c>
      <c r="K61" s="44"/>
    </row>
    <row r="62" spans="1:11" x14ac:dyDescent="0.25">
      <c r="A62" s="30"/>
      <c r="B62" s="34" t="s">
        <v>70</v>
      </c>
      <c r="C62" s="6">
        <v>0</v>
      </c>
      <c r="D62" s="6"/>
      <c r="E62" s="46"/>
      <c r="F62" s="46"/>
      <c r="G62" s="70">
        <f>C62</f>
        <v>0</v>
      </c>
      <c r="H62" s="74" t="s">
        <v>4</v>
      </c>
      <c r="I62" s="21">
        <v>229277.57</v>
      </c>
      <c r="J62" s="70">
        <f t="shared" ref="J62:J65" si="10">G62*I62</f>
        <v>0</v>
      </c>
      <c r="K62" s="44"/>
    </row>
    <row r="63" spans="1:11" x14ac:dyDescent="0.25">
      <c r="A63" s="30"/>
      <c r="B63" s="34" t="s">
        <v>71</v>
      </c>
      <c r="C63" s="6">
        <v>2</v>
      </c>
      <c r="D63" s="6">
        <v>18</v>
      </c>
      <c r="E63" s="46"/>
      <c r="F63" s="46"/>
      <c r="G63" s="70">
        <f>C63*D63</f>
        <v>36</v>
      </c>
      <c r="H63" s="74" t="s">
        <v>39</v>
      </c>
      <c r="I63" s="21">
        <v>2394.6799999999998</v>
      </c>
      <c r="J63" s="70">
        <f t="shared" si="10"/>
        <v>86208.48</v>
      </c>
      <c r="K63" s="44"/>
    </row>
    <row r="64" spans="1:11" x14ac:dyDescent="0.25">
      <c r="A64" s="30"/>
      <c r="B64" s="34" t="s">
        <v>31</v>
      </c>
      <c r="C64" s="6">
        <f>C63</f>
        <v>2</v>
      </c>
      <c r="D64" s="6"/>
      <c r="E64" s="46"/>
      <c r="F64" s="46"/>
      <c r="G64" s="70">
        <f>C64</f>
        <v>2</v>
      </c>
      <c r="H64" s="74" t="s">
        <v>67</v>
      </c>
      <c r="I64" s="21">
        <v>509.51</v>
      </c>
      <c r="J64" s="70">
        <f t="shared" si="10"/>
        <v>1019.02</v>
      </c>
      <c r="K64" s="44"/>
    </row>
    <row r="65" spans="1:11" x14ac:dyDescent="0.25">
      <c r="A65" s="30"/>
      <c r="B65" s="37" t="s">
        <v>32</v>
      </c>
      <c r="C65" s="6">
        <f>C63</f>
        <v>2</v>
      </c>
      <c r="D65" s="6"/>
      <c r="E65" s="46"/>
      <c r="F65" s="46"/>
      <c r="G65" s="70">
        <f>C65</f>
        <v>2</v>
      </c>
      <c r="H65" s="74" t="s">
        <v>67</v>
      </c>
      <c r="I65" s="21">
        <v>1273.76</v>
      </c>
      <c r="J65" s="70">
        <f t="shared" si="10"/>
        <v>2547.52</v>
      </c>
      <c r="K65" s="44"/>
    </row>
    <row r="66" spans="1:11" x14ac:dyDescent="0.25">
      <c r="A66" s="38" t="s">
        <v>96</v>
      </c>
      <c r="B66" s="46" t="s">
        <v>221</v>
      </c>
      <c r="C66" s="14"/>
      <c r="D66" s="14"/>
      <c r="E66" s="46"/>
      <c r="F66" s="46"/>
      <c r="G66" s="68"/>
      <c r="H66" s="78"/>
      <c r="I66" s="96"/>
      <c r="J66" s="68"/>
      <c r="K66" s="44"/>
    </row>
    <row r="67" spans="1:11" x14ac:dyDescent="0.25">
      <c r="A67" s="47">
        <v>1</v>
      </c>
      <c r="B67" s="48" t="s">
        <v>60</v>
      </c>
      <c r="C67" s="8"/>
      <c r="D67" s="8">
        <f>3.12+0.5+0.5</f>
        <v>4.12</v>
      </c>
      <c r="E67" s="48">
        <f>D67</f>
        <v>4.12</v>
      </c>
      <c r="F67" s="48">
        <f>0.7+0.05+0.23</f>
        <v>0.98</v>
      </c>
      <c r="G67" s="69">
        <f>D67*E67*F67</f>
        <v>16.634912</v>
      </c>
      <c r="H67" s="75" t="s">
        <v>51</v>
      </c>
      <c r="I67" s="97">
        <v>315.89</v>
      </c>
      <c r="J67" s="69">
        <f>G67*I67</f>
        <v>5254.8023516799994</v>
      </c>
      <c r="K67" s="44"/>
    </row>
    <row r="68" spans="1:11" x14ac:dyDescent="0.25">
      <c r="A68" s="47">
        <v>2</v>
      </c>
      <c r="B68" s="48" t="s">
        <v>61</v>
      </c>
      <c r="C68" s="8"/>
      <c r="D68" s="8"/>
      <c r="E68" s="48"/>
      <c r="F68" s="48"/>
      <c r="G68" s="69">
        <f>G67</f>
        <v>16.634912</v>
      </c>
      <c r="H68" s="75" t="s">
        <v>51</v>
      </c>
      <c r="I68" s="97">
        <v>100</v>
      </c>
      <c r="J68" s="69">
        <f t="shared" ref="J68:J72" si="11">G68*I68</f>
        <v>1663.4911999999999</v>
      </c>
      <c r="K68" s="44"/>
    </row>
    <row r="69" spans="1:11" x14ac:dyDescent="0.25">
      <c r="A69" s="47">
        <v>3</v>
      </c>
      <c r="B69" s="48" t="s">
        <v>62</v>
      </c>
      <c r="C69" s="8"/>
      <c r="D69" s="8">
        <v>3.14</v>
      </c>
      <c r="E69" s="48">
        <f>1.6*1.6</f>
        <v>2.5600000000000005</v>
      </c>
      <c r="F69" s="48">
        <v>1</v>
      </c>
      <c r="G69" s="69">
        <f>D69*E69*F69</f>
        <v>8.0384000000000011</v>
      </c>
      <c r="H69" s="75" t="s">
        <v>51</v>
      </c>
      <c r="I69" s="97">
        <v>5329.43</v>
      </c>
      <c r="J69" s="69">
        <f t="shared" si="11"/>
        <v>42840.090112000005</v>
      </c>
      <c r="K69" s="44"/>
    </row>
    <row r="70" spans="1:11" x14ac:dyDescent="0.25">
      <c r="A70" s="47">
        <v>4</v>
      </c>
      <c r="B70" s="48" t="s">
        <v>72</v>
      </c>
      <c r="C70" s="8"/>
      <c r="D70" s="8">
        <v>3.14</v>
      </c>
      <c r="E70" s="48">
        <f>D67</f>
        <v>4.12</v>
      </c>
      <c r="F70" s="48">
        <v>0.1</v>
      </c>
      <c r="G70" s="69">
        <f>D70*E70*F70</f>
        <v>1.2936800000000002</v>
      </c>
      <c r="H70" s="75" t="s">
        <v>51</v>
      </c>
      <c r="I70" s="97">
        <v>927.3</v>
      </c>
      <c r="J70" s="69">
        <f t="shared" si="11"/>
        <v>1199.6294640000001</v>
      </c>
      <c r="K70" s="44"/>
    </row>
    <row r="71" spans="1:11" x14ac:dyDescent="0.25">
      <c r="A71" s="47">
        <v>5</v>
      </c>
      <c r="B71" s="48" t="s">
        <v>63</v>
      </c>
      <c r="C71" s="8"/>
      <c r="D71" s="8"/>
      <c r="E71" s="48">
        <f>G69</f>
        <v>8.0384000000000011</v>
      </c>
      <c r="F71" s="48">
        <v>100</v>
      </c>
      <c r="G71" s="69">
        <f>E71*F71</f>
        <v>803.84000000000015</v>
      </c>
      <c r="H71" s="75" t="s">
        <v>56</v>
      </c>
      <c r="I71" s="97">
        <v>66.42</v>
      </c>
      <c r="J71" s="70">
        <f t="shared" si="11"/>
        <v>53391.052800000012</v>
      </c>
      <c r="K71" s="44"/>
    </row>
    <row r="72" spans="1:11" x14ac:dyDescent="0.25">
      <c r="A72" s="47">
        <v>6</v>
      </c>
      <c r="B72" s="48" t="s">
        <v>64</v>
      </c>
      <c r="C72" s="8"/>
      <c r="D72" s="8">
        <v>1</v>
      </c>
      <c r="E72" s="48">
        <f>3.14*D67</f>
        <v>12.936800000000002</v>
      </c>
      <c r="F72" s="48">
        <v>1.5</v>
      </c>
      <c r="G72" s="69">
        <f>D72*E72*F72</f>
        <v>19.405200000000001</v>
      </c>
      <c r="H72" s="75" t="s">
        <v>36</v>
      </c>
      <c r="I72" s="97">
        <v>718.4</v>
      </c>
      <c r="J72" s="69">
        <f t="shared" si="11"/>
        <v>13940.695680000001</v>
      </c>
      <c r="K72" s="44"/>
    </row>
    <row r="73" spans="1:11" x14ac:dyDescent="0.25">
      <c r="A73" s="47">
        <v>7</v>
      </c>
      <c r="B73" s="48" t="s">
        <v>65</v>
      </c>
      <c r="C73" s="8"/>
      <c r="D73" s="8">
        <v>24</v>
      </c>
      <c r="E73" s="48">
        <v>16</v>
      </c>
      <c r="F73" s="48"/>
      <c r="G73" s="69">
        <f>D73*E73</f>
        <v>384</v>
      </c>
      <c r="H73" s="75" t="s">
        <v>56</v>
      </c>
      <c r="I73" s="97">
        <v>125</v>
      </c>
      <c r="J73" s="69">
        <f>G73*I73</f>
        <v>48000</v>
      </c>
      <c r="K73" s="44"/>
    </row>
    <row r="74" spans="1:11" x14ac:dyDescent="0.25">
      <c r="A74" s="47">
        <v>8</v>
      </c>
      <c r="B74" s="48" t="s">
        <v>73</v>
      </c>
      <c r="C74" s="8">
        <v>1</v>
      </c>
      <c r="D74" s="8">
        <f>D67</f>
        <v>4.12</v>
      </c>
      <c r="E74" s="48">
        <f>E67</f>
        <v>4.12</v>
      </c>
      <c r="F74" s="48">
        <v>0.05</v>
      </c>
      <c r="G74" s="69">
        <f>C74*D74*E74*F74</f>
        <v>0.84872000000000003</v>
      </c>
      <c r="H74" s="75" t="s">
        <v>12</v>
      </c>
      <c r="I74" s="97">
        <v>3535.97</v>
      </c>
      <c r="J74" s="69">
        <f>G74*I74</f>
        <v>3001.0484584000001</v>
      </c>
      <c r="K74" s="44"/>
    </row>
    <row r="75" spans="1:11" x14ac:dyDescent="0.25">
      <c r="A75" s="47"/>
      <c r="B75" s="48"/>
      <c r="C75" s="8"/>
      <c r="D75" s="8"/>
      <c r="E75" s="48"/>
      <c r="F75" s="48"/>
      <c r="G75" s="332" t="s">
        <v>66</v>
      </c>
      <c r="H75" s="332"/>
      <c r="I75" s="332"/>
      <c r="J75" s="68"/>
      <c r="K75" s="44"/>
    </row>
    <row r="76" spans="1:11" x14ac:dyDescent="0.25">
      <c r="A76" s="38" t="s">
        <v>96</v>
      </c>
      <c r="B76" s="46" t="s">
        <v>252</v>
      </c>
      <c r="C76" s="14"/>
      <c r="D76" s="14"/>
      <c r="E76" s="46"/>
      <c r="F76" s="46"/>
      <c r="G76" s="68"/>
      <c r="H76" s="78"/>
      <c r="I76" s="96"/>
      <c r="J76" s="68"/>
      <c r="K76" s="158"/>
    </row>
    <row r="77" spans="1:11" x14ac:dyDescent="0.25">
      <c r="A77" s="47"/>
      <c r="B77" s="42" t="s">
        <v>50</v>
      </c>
      <c r="C77" s="66">
        <v>1.6</v>
      </c>
      <c r="D77" s="66">
        <v>1.1000000000000001</v>
      </c>
      <c r="E77" s="43">
        <v>1.2</v>
      </c>
      <c r="F77" s="43">
        <v>1</v>
      </c>
      <c r="G77" s="66">
        <f>F77*E77*D77*C77</f>
        <v>2.1120000000000001</v>
      </c>
      <c r="H77" s="73" t="s">
        <v>51</v>
      </c>
      <c r="I77" s="94">
        <v>315.89</v>
      </c>
      <c r="J77" s="95">
        <f>I77*G77</f>
        <v>667.15967999999998</v>
      </c>
      <c r="K77" s="158"/>
    </row>
    <row r="78" spans="1:11" x14ac:dyDescent="0.25">
      <c r="A78" s="47"/>
      <c r="B78" s="42" t="s">
        <v>13</v>
      </c>
      <c r="C78" s="66">
        <v>1.3</v>
      </c>
      <c r="D78" s="66">
        <f>D77</f>
        <v>1.1000000000000001</v>
      </c>
      <c r="E78" s="43">
        <v>0.23</v>
      </c>
      <c r="F78" s="43">
        <f>F77</f>
        <v>1</v>
      </c>
      <c r="G78" s="66">
        <f>F78*E78*D78*C78</f>
        <v>0.32890000000000008</v>
      </c>
      <c r="H78" s="73" t="s">
        <v>51</v>
      </c>
      <c r="I78" s="94">
        <v>950</v>
      </c>
      <c r="J78" s="95">
        <f>I78*G78</f>
        <v>312.4550000000001</v>
      </c>
      <c r="K78" s="158"/>
    </row>
    <row r="79" spans="1:11" x14ac:dyDescent="0.25">
      <c r="A79" s="47"/>
      <c r="B79" s="42" t="s">
        <v>53</v>
      </c>
      <c r="C79" s="66">
        <f>C78</f>
        <v>1.3</v>
      </c>
      <c r="D79" s="66">
        <f>D77</f>
        <v>1.1000000000000001</v>
      </c>
      <c r="E79" s="43">
        <v>0.1</v>
      </c>
      <c r="F79" s="43">
        <f>F77</f>
        <v>1</v>
      </c>
      <c r="G79" s="66">
        <f>F79*E79*D79*C79</f>
        <v>0.14300000000000002</v>
      </c>
      <c r="H79" s="73" t="s">
        <v>51</v>
      </c>
      <c r="I79" s="94">
        <v>3535.97</v>
      </c>
      <c r="J79" s="95">
        <f>I79*G79</f>
        <v>505.64371000000006</v>
      </c>
      <c r="K79" s="158"/>
    </row>
    <row r="80" spans="1:11" x14ac:dyDescent="0.25">
      <c r="A80" s="47"/>
      <c r="B80" s="42" t="s">
        <v>54</v>
      </c>
      <c r="C80" s="66">
        <v>2.5</v>
      </c>
      <c r="D80" s="66">
        <v>1.5</v>
      </c>
      <c r="E80" s="43">
        <v>0.6</v>
      </c>
      <c r="F80" s="43">
        <f>F77</f>
        <v>1</v>
      </c>
      <c r="G80" s="66">
        <f>F80*E80*D80*C80</f>
        <v>2.25</v>
      </c>
      <c r="H80" s="73" t="s">
        <v>51</v>
      </c>
      <c r="I80" s="94"/>
      <c r="J80" s="95"/>
      <c r="K80" s="158"/>
    </row>
    <row r="81" spans="1:11" x14ac:dyDescent="0.25">
      <c r="A81" s="47"/>
      <c r="B81" s="42"/>
      <c r="C81" s="66">
        <v>0.9</v>
      </c>
      <c r="D81" s="66">
        <v>0.6</v>
      </c>
      <c r="E81" s="43">
        <v>0.9</v>
      </c>
      <c r="F81" s="43">
        <v>1</v>
      </c>
      <c r="G81" s="66">
        <f>F81*E81*D81*C81</f>
        <v>0.48600000000000004</v>
      </c>
      <c r="H81" s="73"/>
      <c r="I81" s="94"/>
      <c r="J81" s="95"/>
      <c r="K81" s="160"/>
    </row>
    <row r="82" spans="1:11" x14ac:dyDescent="0.25">
      <c r="A82" s="47"/>
      <c r="B82" s="42"/>
      <c r="C82" s="66"/>
      <c r="D82" s="66"/>
      <c r="E82" s="43"/>
      <c r="F82" s="43"/>
      <c r="G82" s="66">
        <f>SUM(G80:G81)</f>
        <v>2.7360000000000002</v>
      </c>
      <c r="H82" s="73" t="s">
        <v>51</v>
      </c>
      <c r="I82" s="94">
        <v>5329.43</v>
      </c>
      <c r="J82" s="95">
        <f>I82*G82</f>
        <v>14581.320480000002</v>
      </c>
      <c r="K82" s="158"/>
    </row>
    <row r="83" spans="1:11" x14ac:dyDescent="0.25">
      <c r="A83" s="47"/>
      <c r="B83" s="42" t="s">
        <v>55</v>
      </c>
      <c r="C83" s="66">
        <f>G82</f>
        <v>2.7360000000000002</v>
      </c>
      <c r="D83" s="66"/>
      <c r="E83" s="43"/>
      <c r="F83" s="43">
        <v>8</v>
      </c>
      <c r="G83" s="66">
        <f>F83*C83</f>
        <v>21.888000000000002</v>
      </c>
      <c r="H83" s="73" t="s">
        <v>36</v>
      </c>
      <c r="I83" s="94">
        <v>718.4</v>
      </c>
      <c r="J83" s="95">
        <f t="shared" ref="J83:J87" si="12">I83*G83</f>
        <v>15724.3392</v>
      </c>
      <c r="K83" s="158"/>
    </row>
    <row r="84" spans="1:11" x14ac:dyDescent="0.25">
      <c r="A84" s="47"/>
      <c r="B84" s="42" t="s">
        <v>5</v>
      </c>
      <c r="C84" s="66">
        <f>G82</f>
        <v>2.7360000000000002</v>
      </c>
      <c r="D84" s="66"/>
      <c r="E84" s="43"/>
      <c r="F84" s="43">
        <v>125</v>
      </c>
      <c r="G84" s="66">
        <f>F84*C84</f>
        <v>342</v>
      </c>
      <c r="H84" s="73" t="s">
        <v>56</v>
      </c>
      <c r="I84" s="94">
        <v>66.42</v>
      </c>
      <c r="J84" s="95">
        <f t="shared" si="12"/>
        <v>22715.64</v>
      </c>
      <c r="K84" s="158"/>
    </row>
    <row r="85" spans="1:11" x14ac:dyDescent="0.25">
      <c r="A85" s="47"/>
      <c r="B85" s="42" t="s">
        <v>44</v>
      </c>
      <c r="C85" s="66">
        <f>G77-G78-G79-G80</f>
        <v>-0.60989999999999989</v>
      </c>
      <c r="D85" s="66"/>
      <c r="E85" s="43"/>
      <c r="F85" s="43">
        <v>1</v>
      </c>
      <c r="G85" s="66">
        <f>F85*C85</f>
        <v>-0.60989999999999989</v>
      </c>
      <c r="H85" s="73" t="s">
        <v>51</v>
      </c>
      <c r="I85" s="94">
        <v>183.42</v>
      </c>
      <c r="J85" s="95">
        <f t="shared" si="12"/>
        <v>-111.86785799999997</v>
      </c>
      <c r="K85" s="158"/>
    </row>
    <row r="86" spans="1:11" x14ac:dyDescent="0.25">
      <c r="A86" s="47"/>
      <c r="B86" s="42" t="s">
        <v>57</v>
      </c>
      <c r="C86" s="66">
        <v>16</v>
      </c>
      <c r="D86" s="66"/>
      <c r="E86" s="43"/>
      <c r="F86" s="43">
        <v>1</v>
      </c>
      <c r="G86" s="66">
        <f>F86*C86</f>
        <v>16</v>
      </c>
      <c r="H86" s="73" t="s">
        <v>9</v>
      </c>
      <c r="I86" s="94">
        <v>400</v>
      </c>
      <c r="J86" s="95">
        <f t="shared" si="12"/>
        <v>6400</v>
      </c>
      <c r="K86" s="158"/>
    </row>
    <row r="87" spans="1:11" x14ac:dyDescent="0.25">
      <c r="A87" s="47"/>
      <c r="B87" s="42" t="s">
        <v>58</v>
      </c>
      <c r="C87" s="66">
        <v>0.1</v>
      </c>
      <c r="D87" s="66">
        <v>0.1</v>
      </c>
      <c r="E87" s="43">
        <v>0.3</v>
      </c>
      <c r="F87" s="43">
        <f>G86</f>
        <v>16</v>
      </c>
      <c r="G87" s="66">
        <f>C87*D87*E87*F87</f>
        <v>4.8000000000000008E-2</v>
      </c>
      <c r="H87" s="73" t="s">
        <v>51</v>
      </c>
      <c r="I87" s="94">
        <v>110053</v>
      </c>
      <c r="J87" s="95">
        <f t="shared" si="12"/>
        <v>5282.5440000000008</v>
      </c>
      <c r="K87" s="44"/>
    </row>
    <row r="88" spans="1:11" x14ac:dyDescent="0.25">
      <c r="A88" s="38" t="s">
        <v>96</v>
      </c>
      <c r="B88" s="46" t="s">
        <v>253</v>
      </c>
      <c r="C88" s="14"/>
      <c r="D88" s="14"/>
      <c r="E88" s="46"/>
      <c r="F88" s="46"/>
      <c r="G88" s="68"/>
      <c r="H88" s="78"/>
      <c r="I88" s="96"/>
      <c r="J88" s="68"/>
      <c r="K88" s="44"/>
    </row>
    <row r="89" spans="1:11" x14ac:dyDescent="0.25">
      <c r="A89" s="47"/>
      <c r="B89" s="42" t="s">
        <v>50</v>
      </c>
      <c r="C89" s="66">
        <v>1.6</v>
      </c>
      <c r="D89" s="66">
        <v>1.1000000000000001</v>
      </c>
      <c r="E89" s="43">
        <v>1.2</v>
      </c>
      <c r="F89" s="43">
        <v>2</v>
      </c>
      <c r="G89" s="66">
        <f>F89*E89*D89*C89</f>
        <v>4.2240000000000002</v>
      </c>
      <c r="H89" s="73" t="s">
        <v>51</v>
      </c>
      <c r="I89" s="94">
        <f>I77</f>
        <v>315.89</v>
      </c>
      <c r="J89" s="95">
        <f>I89*G89</f>
        <v>1334.31936</v>
      </c>
      <c r="K89" s="44"/>
    </row>
    <row r="90" spans="1:11" x14ac:dyDescent="0.25">
      <c r="A90" s="47"/>
      <c r="B90" s="42" t="s">
        <v>13</v>
      </c>
      <c r="C90" s="66">
        <v>1.3</v>
      </c>
      <c r="D90" s="66">
        <f>D89</f>
        <v>1.1000000000000001</v>
      </c>
      <c r="E90" s="43">
        <v>0.23</v>
      </c>
      <c r="F90" s="43">
        <f>F89</f>
        <v>2</v>
      </c>
      <c r="G90" s="66">
        <f>F90*E90*D90*C90</f>
        <v>0.65780000000000016</v>
      </c>
      <c r="H90" s="73" t="s">
        <v>51</v>
      </c>
      <c r="I90" s="94">
        <v>950</v>
      </c>
      <c r="J90" s="95">
        <f>I90*G90</f>
        <v>624.9100000000002</v>
      </c>
      <c r="K90" s="44"/>
    </row>
    <row r="91" spans="1:11" x14ac:dyDescent="0.25">
      <c r="A91" s="47"/>
      <c r="B91" s="42" t="s">
        <v>53</v>
      </c>
      <c r="C91" s="66">
        <f>C90</f>
        <v>1.3</v>
      </c>
      <c r="D91" s="66">
        <f>D89</f>
        <v>1.1000000000000001</v>
      </c>
      <c r="E91" s="43">
        <v>0.1</v>
      </c>
      <c r="F91" s="43">
        <f>F89</f>
        <v>2</v>
      </c>
      <c r="G91" s="66">
        <f>F91*E91*D91*C91</f>
        <v>0.28600000000000003</v>
      </c>
      <c r="H91" s="73" t="s">
        <v>51</v>
      </c>
      <c r="I91" s="94">
        <v>3535.97</v>
      </c>
      <c r="J91" s="95">
        <f>I91*G91</f>
        <v>1011.2874200000001</v>
      </c>
      <c r="K91" s="44"/>
    </row>
    <row r="92" spans="1:11" x14ac:dyDescent="0.25">
      <c r="A92" s="47"/>
      <c r="B92" s="42" t="s">
        <v>54</v>
      </c>
      <c r="C92" s="66">
        <v>1.5</v>
      </c>
      <c r="D92" s="66">
        <v>1.3</v>
      </c>
      <c r="E92" s="43">
        <v>0.3</v>
      </c>
      <c r="F92" s="43">
        <f>F89</f>
        <v>2</v>
      </c>
      <c r="G92" s="66">
        <f>F92*E92*D92*C92</f>
        <v>1.17</v>
      </c>
      <c r="H92" s="73" t="s">
        <v>51</v>
      </c>
      <c r="I92" s="94"/>
      <c r="J92" s="95"/>
      <c r="K92" s="44"/>
    </row>
    <row r="93" spans="1:11" x14ac:dyDescent="0.25">
      <c r="A93" s="47"/>
      <c r="B93" s="42"/>
      <c r="C93" s="66"/>
      <c r="D93" s="66"/>
      <c r="E93" s="43"/>
      <c r="F93" s="43"/>
      <c r="G93" s="66">
        <f>SUM(G92:G92)</f>
        <v>1.17</v>
      </c>
      <c r="H93" s="73" t="s">
        <v>51</v>
      </c>
      <c r="I93" s="94">
        <f>I82</f>
        <v>5329.43</v>
      </c>
      <c r="J93" s="95">
        <f>I93*G93</f>
        <v>6235.4331000000002</v>
      </c>
      <c r="K93" s="44"/>
    </row>
    <row r="94" spans="1:11" x14ac:dyDescent="0.25">
      <c r="A94" s="47"/>
      <c r="B94" s="42" t="s">
        <v>55</v>
      </c>
      <c r="C94" s="66">
        <f>G93</f>
        <v>1.17</v>
      </c>
      <c r="D94" s="66"/>
      <c r="E94" s="43"/>
      <c r="F94" s="43">
        <v>8</v>
      </c>
      <c r="G94" s="66">
        <f>F94*C94</f>
        <v>9.36</v>
      </c>
      <c r="H94" s="73" t="s">
        <v>36</v>
      </c>
      <c r="I94" s="94">
        <f>I83</f>
        <v>718.4</v>
      </c>
      <c r="J94" s="95">
        <f t="shared" ref="J94:J98" si="13">I94*G94</f>
        <v>6724.2239999999993</v>
      </c>
      <c r="K94" s="44"/>
    </row>
    <row r="95" spans="1:11" x14ac:dyDescent="0.25">
      <c r="A95" s="47"/>
      <c r="B95" s="42" t="s">
        <v>5</v>
      </c>
      <c r="C95" s="66">
        <f>G93</f>
        <v>1.17</v>
      </c>
      <c r="D95" s="66"/>
      <c r="E95" s="43"/>
      <c r="F95" s="43">
        <v>125</v>
      </c>
      <c r="G95" s="66">
        <f>F95*C95</f>
        <v>146.25</v>
      </c>
      <c r="H95" s="73" t="s">
        <v>56</v>
      </c>
      <c r="I95" s="94">
        <f>I84</f>
        <v>66.42</v>
      </c>
      <c r="J95" s="95">
        <f t="shared" si="13"/>
        <v>9713.9250000000011</v>
      </c>
      <c r="K95" s="44"/>
    </row>
    <row r="96" spans="1:11" x14ac:dyDescent="0.25">
      <c r="A96" s="47"/>
      <c r="B96" s="42" t="s">
        <v>44</v>
      </c>
      <c r="C96" s="66">
        <f>G89-G90-G91-G92</f>
        <v>2.1102000000000003</v>
      </c>
      <c r="D96" s="66"/>
      <c r="E96" s="43"/>
      <c r="F96" s="43">
        <v>1</v>
      </c>
      <c r="G96" s="66">
        <f>F96*C96</f>
        <v>2.1102000000000003</v>
      </c>
      <c r="H96" s="73" t="s">
        <v>51</v>
      </c>
      <c r="I96" s="94">
        <f>I85</f>
        <v>183.42</v>
      </c>
      <c r="J96" s="95">
        <f t="shared" si="13"/>
        <v>387.05288400000001</v>
      </c>
      <c r="K96" s="44"/>
    </row>
    <row r="97" spans="1:11" x14ac:dyDescent="0.25">
      <c r="A97" s="47"/>
      <c r="B97" s="42" t="s">
        <v>57</v>
      </c>
      <c r="C97" s="66">
        <v>16</v>
      </c>
      <c r="D97" s="66"/>
      <c r="E97" s="43"/>
      <c r="F97" s="43">
        <v>1</v>
      </c>
      <c r="G97" s="66">
        <f>F97*C97</f>
        <v>16</v>
      </c>
      <c r="H97" s="73" t="s">
        <v>9</v>
      </c>
      <c r="I97" s="94">
        <v>400</v>
      </c>
      <c r="J97" s="95">
        <f t="shared" si="13"/>
        <v>6400</v>
      </c>
      <c r="K97" s="44"/>
    </row>
    <row r="98" spans="1:11" x14ac:dyDescent="0.25">
      <c r="A98" s="47"/>
      <c r="B98" s="42" t="s">
        <v>58</v>
      </c>
      <c r="C98" s="66">
        <v>0.1</v>
      </c>
      <c r="D98" s="66">
        <v>0.1</v>
      </c>
      <c r="E98" s="43">
        <v>0.3</v>
      </c>
      <c r="F98" s="43">
        <f>G97</f>
        <v>16</v>
      </c>
      <c r="G98" s="66">
        <f>C98*D98*E98*F98</f>
        <v>4.8000000000000008E-2</v>
      </c>
      <c r="H98" s="73" t="s">
        <v>51</v>
      </c>
      <c r="I98" s="94">
        <v>110053</v>
      </c>
      <c r="J98" s="95">
        <f t="shared" si="13"/>
        <v>5282.5440000000008</v>
      </c>
      <c r="K98" s="44"/>
    </row>
    <row r="99" spans="1:11" x14ac:dyDescent="0.25">
      <c r="A99" s="38" t="s">
        <v>96</v>
      </c>
      <c r="B99" s="46" t="s">
        <v>252</v>
      </c>
      <c r="C99" s="14"/>
      <c r="D99" s="14"/>
      <c r="E99" s="46"/>
      <c r="F99" s="46"/>
      <c r="G99" s="68"/>
      <c r="H99" s="78"/>
      <c r="I99" s="96"/>
      <c r="J99" s="68"/>
      <c r="K99" s="44"/>
    </row>
    <row r="100" spans="1:11" x14ac:dyDescent="0.25">
      <c r="A100" s="47"/>
      <c r="B100" s="42" t="s">
        <v>50</v>
      </c>
      <c r="C100" s="66">
        <v>1.6</v>
      </c>
      <c r="D100" s="66">
        <v>1.1000000000000001</v>
      </c>
      <c r="E100" s="43">
        <v>1.2</v>
      </c>
      <c r="F100" s="43">
        <v>1</v>
      </c>
      <c r="G100" s="66">
        <f>F100*E100*D100*C100</f>
        <v>2.1120000000000001</v>
      </c>
      <c r="H100" s="73" t="s">
        <v>51</v>
      </c>
      <c r="I100" s="94">
        <v>315.89</v>
      </c>
      <c r="J100" s="95">
        <f>I100*G100</f>
        <v>667.15967999999998</v>
      </c>
      <c r="K100" s="44"/>
    </row>
    <row r="101" spans="1:11" x14ac:dyDescent="0.25">
      <c r="A101" s="47"/>
      <c r="B101" s="42" t="s">
        <v>13</v>
      </c>
      <c r="C101" s="66">
        <v>1.3</v>
      </c>
      <c r="D101" s="66">
        <f>D100</f>
        <v>1.1000000000000001</v>
      </c>
      <c r="E101" s="43">
        <v>0.23</v>
      </c>
      <c r="F101" s="43">
        <f>F100</f>
        <v>1</v>
      </c>
      <c r="G101" s="66">
        <f>F101*E101*D101*C101</f>
        <v>0.32890000000000008</v>
      </c>
      <c r="H101" s="73" t="s">
        <v>51</v>
      </c>
      <c r="I101" s="94">
        <v>950</v>
      </c>
      <c r="J101" s="95">
        <f>I101*G101</f>
        <v>312.4550000000001</v>
      </c>
      <c r="K101" s="44"/>
    </row>
    <row r="102" spans="1:11" x14ac:dyDescent="0.25">
      <c r="A102" s="47"/>
      <c r="B102" s="42" t="s">
        <v>53</v>
      </c>
      <c r="C102" s="66">
        <f>C101</f>
        <v>1.3</v>
      </c>
      <c r="D102" s="66">
        <f>D100</f>
        <v>1.1000000000000001</v>
      </c>
      <c r="E102" s="43">
        <v>0.1</v>
      </c>
      <c r="F102" s="43">
        <f>F100</f>
        <v>1</v>
      </c>
      <c r="G102" s="66">
        <f>F102*E102*D102*C102</f>
        <v>0.14300000000000002</v>
      </c>
      <c r="H102" s="73" t="s">
        <v>51</v>
      </c>
      <c r="I102" s="94">
        <f>I91</f>
        <v>3535.97</v>
      </c>
      <c r="J102" s="95">
        <f>I102*G102</f>
        <v>505.64371000000006</v>
      </c>
      <c r="K102" s="44"/>
    </row>
    <row r="103" spans="1:11" x14ac:dyDescent="0.25">
      <c r="A103" s="47"/>
      <c r="B103" s="42" t="s">
        <v>54</v>
      </c>
      <c r="C103" s="66">
        <v>1.7</v>
      </c>
      <c r="D103" s="66">
        <v>1.1000000000000001</v>
      </c>
      <c r="E103" s="43">
        <v>1.8</v>
      </c>
      <c r="F103" s="43">
        <f>F100</f>
        <v>1</v>
      </c>
      <c r="G103" s="66">
        <f>F103*E103*D103*C103</f>
        <v>3.3660000000000001</v>
      </c>
      <c r="H103" s="73"/>
      <c r="I103" s="94"/>
      <c r="J103" s="95"/>
      <c r="K103" s="44"/>
    </row>
    <row r="104" spans="1:11" x14ac:dyDescent="0.25">
      <c r="A104" s="47"/>
      <c r="B104" s="42"/>
      <c r="C104" s="66">
        <v>0.93799999999999994</v>
      </c>
      <c r="D104" s="66">
        <v>2.0259999999999998</v>
      </c>
      <c r="E104" s="43">
        <v>0.35</v>
      </c>
      <c r="F104" s="43">
        <v>2</v>
      </c>
      <c r="G104" s="66">
        <f t="shared" ref="G104:G105" si="14">F104*E104*D104*C104</f>
        <v>1.3302715999999997</v>
      </c>
      <c r="H104" s="73"/>
      <c r="I104" s="94"/>
      <c r="J104" s="95"/>
      <c r="K104" s="44"/>
    </row>
    <row r="105" spans="1:11" x14ac:dyDescent="0.25">
      <c r="A105" s="47"/>
      <c r="B105" s="42"/>
      <c r="C105" s="66">
        <v>1.9</v>
      </c>
      <c r="D105" s="66">
        <v>2.4</v>
      </c>
      <c r="E105" s="43">
        <v>0.5</v>
      </c>
      <c r="F105" s="43">
        <v>1</v>
      </c>
      <c r="G105" s="66">
        <f t="shared" si="14"/>
        <v>2.2799999999999998</v>
      </c>
      <c r="H105" s="73"/>
      <c r="I105" s="94"/>
      <c r="J105" s="95"/>
      <c r="K105" s="44"/>
    </row>
    <row r="106" spans="1:11" x14ac:dyDescent="0.25">
      <c r="A106" s="47"/>
      <c r="B106" s="42"/>
      <c r="C106" s="66"/>
      <c r="D106" s="66"/>
      <c r="E106" s="43"/>
      <c r="F106" s="43"/>
      <c r="G106" s="66">
        <f>SUM(G103:G105)</f>
        <v>6.9762715999999987</v>
      </c>
      <c r="H106" s="73" t="s">
        <v>51</v>
      </c>
      <c r="I106" s="94">
        <f>I93</f>
        <v>5329.43</v>
      </c>
      <c r="J106" s="95">
        <f>I106*G106</f>
        <v>37179.551153187997</v>
      </c>
      <c r="K106" s="44"/>
    </row>
    <row r="107" spans="1:11" x14ac:dyDescent="0.25">
      <c r="A107" s="47"/>
      <c r="B107" s="42" t="s">
        <v>55</v>
      </c>
      <c r="C107" s="66">
        <f>G106</f>
        <v>6.9762715999999987</v>
      </c>
      <c r="D107" s="66"/>
      <c r="E107" s="43"/>
      <c r="F107" s="43">
        <v>8</v>
      </c>
      <c r="G107" s="66">
        <f>F107*C107</f>
        <v>55.810172799999989</v>
      </c>
      <c r="H107" s="73" t="s">
        <v>36</v>
      </c>
      <c r="I107" s="94">
        <f>I94</f>
        <v>718.4</v>
      </c>
      <c r="J107" s="95">
        <f t="shared" ref="J107:J111" si="15">I107*G107</f>
        <v>40094.028139519993</v>
      </c>
      <c r="K107" s="44"/>
    </row>
    <row r="108" spans="1:11" x14ac:dyDescent="0.25">
      <c r="A108" s="47"/>
      <c r="B108" s="42" t="s">
        <v>5</v>
      </c>
      <c r="C108" s="66">
        <f>G106</f>
        <v>6.9762715999999987</v>
      </c>
      <c r="D108" s="66"/>
      <c r="E108" s="43"/>
      <c r="F108" s="43">
        <v>125</v>
      </c>
      <c r="G108" s="66">
        <f>F108*C108</f>
        <v>872.03394999999989</v>
      </c>
      <c r="H108" s="73" t="s">
        <v>56</v>
      </c>
      <c r="I108" s="94">
        <f>I95</f>
        <v>66.42</v>
      </c>
      <c r="J108" s="95">
        <f t="shared" si="15"/>
        <v>57920.494958999996</v>
      </c>
      <c r="K108" s="44"/>
    </row>
    <row r="109" spans="1:11" x14ac:dyDescent="0.25">
      <c r="A109" s="47"/>
      <c r="B109" s="42" t="s">
        <v>44</v>
      </c>
      <c r="C109" s="66">
        <f>G100-G101-G102-G103</f>
        <v>-1.7259</v>
      </c>
      <c r="D109" s="66"/>
      <c r="E109" s="43"/>
      <c r="F109" s="43">
        <v>1</v>
      </c>
      <c r="G109" s="66">
        <f>F109*C109</f>
        <v>-1.7259</v>
      </c>
      <c r="H109" s="73" t="s">
        <v>51</v>
      </c>
      <c r="I109" s="94">
        <f>I96</f>
        <v>183.42</v>
      </c>
      <c r="J109" s="95">
        <f t="shared" si="15"/>
        <v>-316.56457799999998</v>
      </c>
      <c r="K109" s="44"/>
    </row>
    <row r="110" spans="1:11" x14ac:dyDescent="0.25">
      <c r="A110" s="47"/>
      <c r="B110" s="42" t="s">
        <v>57</v>
      </c>
      <c r="C110" s="66">
        <v>16</v>
      </c>
      <c r="D110" s="66"/>
      <c r="E110" s="43"/>
      <c r="F110" s="43">
        <v>1</v>
      </c>
      <c r="G110" s="66">
        <f>F110*C110</f>
        <v>16</v>
      </c>
      <c r="H110" s="73" t="s">
        <v>9</v>
      </c>
      <c r="I110" s="94">
        <v>400</v>
      </c>
      <c r="J110" s="95">
        <f t="shared" si="15"/>
        <v>6400</v>
      </c>
      <c r="K110" s="44"/>
    </row>
    <row r="111" spans="1:11" x14ac:dyDescent="0.25">
      <c r="A111" s="47"/>
      <c r="B111" s="42" t="s">
        <v>58</v>
      </c>
      <c r="C111" s="66">
        <v>0.1</v>
      </c>
      <c r="D111" s="66">
        <v>0.1</v>
      </c>
      <c r="E111" s="43">
        <v>0.3</v>
      </c>
      <c r="F111" s="43">
        <f>G110</f>
        <v>16</v>
      </c>
      <c r="G111" s="66">
        <f>C111*D111*E111*F111</f>
        <v>4.8000000000000008E-2</v>
      </c>
      <c r="H111" s="73" t="s">
        <v>51</v>
      </c>
      <c r="I111" s="94">
        <v>110053</v>
      </c>
      <c r="J111" s="95">
        <f t="shared" si="15"/>
        <v>5282.5440000000008</v>
      </c>
      <c r="K111" s="44"/>
    </row>
    <row r="112" spans="1:11" x14ac:dyDescent="0.25">
      <c r="A112" s="38" t="s">
        <v>96</v>
      </c>
      <c r="B112" s="46" t="s">
        <v>254</v>
      </c>
      <c r="C112" s="14"/>
      <c r="D112" s="14"/>
      <c r="E112" s="46"/>
      <c r="F112" s="46"/>
      <c r="G112" s="68"/>
      <c r="H112" s="78"/>
      <c r="I112" s="96"/>
      <c r="J112" s="68"/>
      <c r="K112" s="44"/>
    </row>
    <row r="113" spans="1:11" x14ac:dyDescent="0.25">
      <c r="A113" s="47"/>
      <c r="B113" s="42" t="s">
        <v>50</v>
      </c>
      <c r="C113" s="66">
        <v>1.6</v>
      </c>
      <c r="D113" s="66">
        <v>1.1000000000000001</v>
      </c>
      <c r="E113" s="43">
        <v>1.2</v>
      </c>
      <c r="F113" s="43">
        <v>2</v>
      </c>
      <c r="G113" s="66">
        <f>F113*E113*D113*C113</f>
        <v>4.2240000000000002</v>
      </c>
      <c r="H113" s="73" t="s">
        <v>51</v>
      </c>
      <c r="I113" s="94">
        <v>315.89</v>
      </c>
      <c r="J113" s="95">
        <f>I113*G113</f>
        <v>1334.31936</v>
      </c>
      <c r="K113" s="44"/>
    </row>
    <row r="114" spans="1:11" x14ac:dyDescent="0.25">
      <c r="A114" s="47"/>
      <c r="B114" s="42" t="s">
        <v>13</v>
      </c>
      <c r="C114" s="66">
        <v>1.3</v>
      </c>
      <c r="D114" s="66">
        <f>D113</f>
        <v>1.1000000000000001</v>
      </c>
      <c r="E114" s="43">
        <v>0.23</v>
      </c>
      <c r="F114" s="43">
        <f>F113</f>
        <v>2</v>
      </c>
      <c r="G114" s="66">
        <f>F114*E114*D114*C114</f>
        <v>0.65780000000000016</v>
      </c>
      <c r="H114" s="73" t="s">
        <v>51</v>
      </c>
      <c r="I114" s="94">
        <v>950</v>
      </c>
      <c r="J114" s="95">
        <f>I114*G114</f>
        <v>624.9100000000002</v>
      </c>
      <c r="K114" s="44"/>
    </row>
    <row r="115" spans="1:11" x14ac:dyDescent="0.25">
      <c r="A115" s="47"/>
      <c r="B115" s="42" t="s">
        <v>53</v>
      </c>
      <c r="C115" s="66">
        <f>C114</f>
        <v>1.3</v>
      </c>
      <c r="D115" s="66">
        <f>D113</f>
        <v>1.1000000000000001</v>
      </c>
      <c r="E115" s="43">
        <v>0.1</v>
      </c>
      <c r="F115" s="43">
        <f>F113</f>
        <v>2</v>
      </c>
      <c r="G115" s="66">
        <f>F115*E115*D115*C115</f>
        <v>0.28600000000000003</v>
      </c>
      <c r="H115" s="73" t="s">
        <v>51</v>
      </c>
      <c r="I115" s="94">
        <v>3535.97</v>
      </c>
      <c r="J115" s="95">
        <f>I115*G115</f>
        <v>1011.2874200000001</v>
      </c>
      <c r="K115" s="44"/>
    </row>
    <row r="116" spans="1:11" x14ac:dyDescent="0.25">
      <c r="A116" s="47"/>
      <c r="B116" s="42" t="s">
        <v>54</v>
      </c>
      <c r="C116" s="66">
        <v>2.8849999999999998</v>
      </c>
      <c r="D116" s="66">
        <v>1.2</v>
      </c>
      <c r="E116" s="43">
        <v>0.8</v>
      </c>
      <c r="F116" s="43">
        <f>F113</f>
        <v>2</v>
      </c>
      <c r="G116" s="66">
        <f>F116*E116*D116*C116</f>
        <v>5.5391999999999992</v>
      </c>
      <c r="H116" s="73" t="s">
        <v>51</v>
      </c>
      <c r="I116" s="94"/>
      <c r="J116" s="95"/>
      <c r="K116" s="44"/>
    </row>
    <row r="117" spans="1:11" x14ac:dyDescent="0.25">
      <c r="A117" s="47"/>
      <c r="B117" s="42"/>
      <c r="C117" s="66"/>
      <c r="D117" s="66"/>
      <c r="E117" s="43"/>
      <c r="F117" s="43"/>
      <c r="G117" s="66">
        <f>SUM(G116:G116)</f>
        <v>5.5391999999999992</v>
      </c>
      <c r="H117" s="73" t="s">
        <v>51</v>
      </c>
      <c r="I117" s="94">
        <f>I106</f>
        <v>5329.43</v>
      </c>
      <c r="J117" s="95">
        <f>I117*G117</f>
        <v>29520.778655999999</v>
      </c>
      <c r="K117" s="44"/>
    </row>
    <row r="118" spans="1:11" x14ac:dyDescent="0.25">
      <c r="A118" s="47"/>
      <c r="B118" s="42" t="s">
        <v>55</v>
      </c>
      <c r="C118" s="66">
        <f>G117</f>
        <v>5.5391999999999992</v>
      </c>
      <c r="D118" s="66"/>
      <c r="E118" s="43"/>
      <c r="F118" s="43">
        <v>8</v>
      </c>
      <c r="G118" s="66">
        <f>F118*C118</f>
        <v>44.313599999999994</v>
      </c>
      <c r="H118" s="73" t="s">
        <v>36</v>
      </c>
      <c r="I118" s="94">
        <f>I107</f>
        <v>718.4</v>
      </c>
      <c r="J118" s="95">
        <f t="shared" ref="J118:J122" si="16">I118*G118</f>
        <v>31834.890239999993</v>
      </c>
      <c r="K118" s="44"/>
    </row>
    <row r="119" spans="1:11" x14ac:dyDescent="0.25">
      <c r="A119" s="47"/>
      <c r="B119" s="42" t="s">
        <v>5</v>
      </c>
      <c r="C119" s="66">
        <f>G117</f>
        <v>5.5391999999999992</v>
      </c>
      <c r="D119" s="66"/>
      <c r="E119" s="43"/>
      <c r="F119" s="43">
        <v>125</v>
      </c>
      <c r="G119" s="66">
        <f>F119*C119</f>
        <v>692.39999999999986</v>
      </c>
      <c r="H119" s="73" t="s">
        <v>56</v>
      </c>
      <c r="I119" s="94">
        <f>I108</f>
        <v>66.42</v>
      </c>
      <c r="J119" s="95">
        <f t="shared" si="16"/>
        <v>45989.207999999991</v>
      </c>
      <c r="K119" s="44"/>
    </row>
    <row r="120" spans="1:11" x14ac:dyDescent="0.25">
      <c r="A120" s="47"/>
      <c r="B120" s="42" t="s">
        <v>44</v>
      </c>
      <c r="C120" s="66">
        <f>G113-G114-G115-G116</f>
        <v>-2.258999999999999</v>
      </c>
      <c r="D120" s="66"/>
      <c r="E120" s="43"/>
      <c r="F120" s="43">
        <v>1</v>
      </c>
      <c r="G120" s="66">
        <f>F120*C120</f>
        <v>-2.258999999999999</v>
      </c>
      <c r="H120" s="73" t="s">
        <v>51</v>
      </c>
      <c r="I120" s="94">
        <f>I109</f>
        <v>183.42</v>
      </c>
      <c r="J120" s="95">
        <f t="shared" si="16"/>
        <v>-414.34577999999976</v>
      </c>
      <c r="K120" s="44"/>
    </row>
    <row r="121" spans="1:11" x14ac:dyDescent="0.25">
      <c r="A121" s="47"/>
      <c r="B121" s="42" t="s">
        <v>57</v>
      </c>
      <c r="C121" s="66">
        <v>8</v>
      </c>
      <c r="D121" s="66"/>
      <c r="E121" s="43"/>
      <c r="F121" s="43">
        <v>1</v>
      </c>
      <c r="G121" s="66">
        <f>F121*C121</f>
        <v>8</v>
      </c>
      <c r="H121" s="73" t="s">
        <v>9</v>
      </c>
      <c r="I121" s="94">
        <v>400</v>
      </c>
      <c r="J121" s="95">
        <f t="shared" si="16"/>
        <v>3200</v>
      </c>
      <c r="K121" s="44"/>
    </row>
    <row r="122" spans="1:11" x14ac:dyDescent="0.25">
      <c r="A122" s="47"/>
      <c r="B122" s="42" t="s">
        <v>58</v>
      </c>
      <c r="C122" s="66">
        <v>0.1</v>
      </c>
      <c r="D122" s="66">
        <v>0.1</v>
      </c>
      <c r="E122" s="43">
        <v>0.3</v>
      </c>
      <c r="F122" s="43">
        <f>G121</f>
        <v>8</v>
      </c>
      <c r="G122" s="66">
        <f>C122*D122*E122*F122</f>
        <v>2.4000000000000004E-2</v>
      </c>
      <c r="H122" s="73" t="s">
        <v>51</v>
      </c>
      <c r="I122" s="94">
        <v>110053</v>
      </c>
      <c r="J122" s="95">
        <f t="shared" si="16"/>
        <v>2641.2720000000004</v>
      </c>
      <c r="K122" s="44"/>
    </row>
    <row r="123" spans="1:11" x14ac:dyDescent="0.25">
      <c r="A123" s="47"/>
      <c r="B123" s="42"/>
      <c r="C123" s="66"/>
      <c r="D123" s="66"/>
      <c r="E123" s="43"/>
      <c r="F123" s="43"/>
      <c r="G123" s="66"/>
      <c r="H123" s="73"/>
      <c r="I123" s="94"/>
      <c r="J123" s="95"/>
      <c r="K123" s="44"/>
    </row>
    <row r="124" spans="1:11" x14ac:dyDescent="0.25">
      <c r="A124" s="38" t="s">
        <v>96</v>
      </c>
      <c r="B124" s="46" t="s">
        <v>255</v>
      </c>
      <c r="C124" s="14"/>
      <c r="D124" s="14"/>
      <c r="E124" s="46"/>
      <c r="F124" s="46"/>
      <c r="G124" s="68"/>
      <c r="H124" s="78"/>
      <c r="I124" s="96"/>
      <c r="J124" s="68"/>
      <c r="K124" s="44"/>
    </row>
    <row r="125" spans="1:11" x14ac:dyDescent="0.25">
      <c r="A125" s="47">
        <v>1</v>
      </c>
      <c r="B125" s="48" t="s">
        <v>60</v>
      </c>
      <c r="C125" s="8"/>
      <c r="D125" s="8">
        <f>2+0.5+0.5</f>
        <v>3</v>
      </c>
      <c r="E125" s="48">
        <f>D125</f>
        <v>3</v>
      </c>
      <c r="F125" s="48">
        <f>0.7+0.05+0.23</f>
        <v>0.98</v>
      </c>
      <c r="G125" s="69">
        <f>D125*E125*F125</f>
        <v>8.82</v>
      </c>
      <c r="H125" s="75" t="s">
        <v>51</v>
      </c>
      <c r="I125" s="97">
        <v>315.89</v>
      </c>
      <c r="J125" s="69">
        <f>G125*I125</f>
        <v>2786.1498000000001</v>
      </c>
      <c r="K125" s="44"/>
    </row>
    <row r="126" spans="1:11" x14ac:dyDescent="0.25">
      <c r="A126" s="47">
        <v>2</v>
      </c>
      <c r="B126" s="48" t="s">
        <v>61</v>
      </c>
      <c r="C126" s="8"/>
      <c r="D126" s="8"/>
      <c r="E126" s="48"/>
      <c r="F126" s="48"/>
      <c r="G126" s="69">
        <f>G125</f>
        <v>8.82</v>
      </c>
      <c r="H126" s="75" t="s">
        <v>51</v>
      </c>
      <c r="I126" s="97">
        <v>100</v>
      </c>
      <c r="J126" s="69">
        <f t="shared" ref="J126:J131" si="17">G126*I126</f>
        <v>882</v>
      </c>
      <c r="K126" s="44"/>
    </row>
    <row r="127" spans="1:11" x14ac:dyDescent="0.25">
      <c r="A127" s="47">
        <v>3</v>
      </c>
      <c r="B127" s="48" t="s">
        <v>62</v>
      </c>
      <c r="C127" s="8"/>
      <c r="D127" s="8">
        <v>3.14</v>
      </c>
      <c r="E127" s="48">
        <f>1*1</f>
        <v>1</v>
      </c>
      <c r="F127" s="48">
        <v>1</v>
      </c>
      <c r="G127" s="69">
        <f>D127*E127*F127</f>
        <v>3.14</v>
      </c>
      <c r="H127" s="75" t="s">
        <v>51</v>
      </c>
      <c r="I127" s="97">
        <v>5329.43</v>
      </c>
      <c r="J127" s="69">
        <f t="shared" si="17"/>
        <v>16734.410200000002</v>
      </c>
      <c r="K127" s="44"/>
    </row>
    <row r="128" spans="1:11" x14ac:dyDescent="0.25">
      <c r="A128" s="47"/>
      <c r="B128" s="48"/>
      <c r="C128" s="8">
        <v>3</v>
      </c>
      <c r="D128" s="8">
        <v>0.3</v>
      </c>
      <c r="E128" s="48">
        <v>0.26</v>
      </c>
      <c r="F128" s="48">
        <v>0.26</v>
      </c>
      <c r="G128" s="69">
        <f>F128*E128*D128*C128</f>
        <v>6.0840000000000005E-2</v>
      </c>
      <c r="H128" s="75" t="s">
        <v>51</v>
      </c>
      <c r="I128" s="97">
        <v>5329.43</v>
      </c>
      <c r="J128" s="69">
        <f t="shared" ref="J128" si="18">G128*I128</f>
        <v>324.24252120000006</v>
      </c>
      <c r="K128" s="44"/>
    </row>
    <row r="129" spans="1:11" x14ac:dyDescent="0.25">
      <c r="A129" s="47">
        <v>4</v>
      </c>
      <c r="B129" s="48" t="s">
        <v>72</v>
      </c>
      <c r="C129" s="8"/>
      <c r="D129" s="8">
        <v>3.14</v>
      </c>
      <c r="E129" s="48">
        <f>D125</f>
        <v>3</v>
      </c>
      <c r="F129" s="48">
        <v>0.1</v>
      </c>
      <c r="G129" s="69">
        <f>D129*E129*F129</f>
        <v>0.94200000000000006</v>
      </c>
      <c r="H129" s="75" t="s">
        <v>51</v>
      </c>
      <c r="I129" s="97">
        <v>927.3</v>
      </c>
      <c r="J129" s="69">
        <f t="shared" si="17"/>
        <v>873.51660000000004</v>
      </c>
      <c r="K129" s="44"/>
    </row>
    <row r="130" spans="1:11" x14ac:dyDescent="0.25">
      <c r="A130" s="47">
        <v>5</v>
      </c>
      <c r="B130" s="48" t="s">
        <v>63</v>
      </c>
      <c r="C130" s="8"/>
      <c r="D130" s="8"/>
      <c r="E130" s="48">
        <f>G127</f>
        <v>3.14</v>
      </c>
      <c r="F130" s="48">
        <v>100</v>
      </c>
      <c r="G130" s="69">
        <f>E130*F130</f>
        <v>314</v>
      </c>
      <c r="H130" s="75" t="s">
        <v>56</v>
      </c>
      <c r="I130" s="97">
        <v>66.42</v>
      </c>
      <c r="J130" s="70">
        <f t="shared" si="17"/>
        <v>20855.88</v>
      </c>
      <c r="K130" s="44"/>
    </row>
    <row r="131" spans="1:11" x14ac:dyDescent="0.25">
      <c r="A131" s="47">
        <v>6</v>
      </c>
      <c r="B131" s="48" t="s">
        <v>64</v>
      </c>
      <c r="C131" s="8"/>
      <c r="D131" s="8">
        <v>1</v>
      </c>
      <c r="E131" s="48">
        <f>3.14*D125</f>
        <v>9.42</v>
      </c>
      <c r="F131" s="48">
        <v>1.5</v>
      </c>
      <c r="G131" s="69">
        <f>D131*E131*F131</f>
        <v>14.129999999999999</v>
      </c>
      <c r="H131" s="75" t="s">
        <v>36</v>
      </c>
      <c r="I131" s="97">
        <v>718.4</v>
      </c>
      <c r="J131" s="69">
        <f t="shared" si="17"/>
        <v>10150.991999999998</v>
      </c>
      <c r="K131" s="44"/>
    </row>
    <row r="132" spans="1:11" x14ac:dyDescent="0.25">
      <c r="A132" s="47">
        <v>7</v>
      </c>
      <c r="B132" s="48" t="s">
        <v>65</v>
      </c>
      <c r="C132" s="8"/>
      <c r="D132" s="8">
        <v>6</v>
      </c>
      <c r="E132" s="48">
        <v>16</v>
      </c>
      <c r="F132" s="48"/>
      <c r="G132" s="69">
        <f>D132*E132</f>
        <v>96</v>
      </c>
      <c r="H132" s="75" t="s">
        <v>56</v>
      </c>
      <c r="I132" s="97">
        <v>125</v>
      </c>
      <c r="J132" s="69">
        <f>G132*I132</f>
        <v>12000</v>
      </c>
      <c r="K132" s="44"/>
    </row>
    <row r="133" spans="1:11" x14ac:dyDescent="0.25">
      <c r="A133" s="47">
        <v>8</v>
      </c>
      <c r="B133" s="48" t="s">
        <v>73</v>
      </c>
      <c r="C133" s="8">
        <v>1</v>
      </c>
      <c r="D133" s="8">
        <f>D125</f>
        <v>3</v>
      </c>
      <c r="E133" s="48">
        <f>E125</f>
        <v>3</v>
      </c>
      <c r="F133" s="48">
        <v>0.05</v>
      </c>
      <c r="G133" s="69">
        <f>C133*D133*E133*F133</f>
        <v>0.45</v>
      </c>
      <c r="H133" s="75" t="s">
        <v>12</v>
      </c>
      <c r="I133" s="97">
        <v>3535.97</v>
      </c>
      <c r="J133" s="69">
        <f>G133*I133</f>
        <v>1591.1865</v>
      </c>
      <c r="K133" s="44"/>
    </row>
    <row r="134" spans="1:11" x14ac:dyDescent="0.25">
      <c r="A134" s="38" t="s">
        <v>96</v>
      </c>
      <c r="B134" s="46" t="s">
        <v>256</v>
      </c>
      <c r="C134" s="14"/>
      <c r="D134" s="14"/>
      <c r="E134" s="46"/>
      <c r="F134" s="46"/>
      <c r="G134" s="68"/>
      <c r="H134" s="78"/>
      <c r="I134" s="96"/>
      <c r="J134" s="68"/>
      <c r="K134" s="44"/>
    </row>
    <row r="135" spans="1:11" x14ac:dyDescent="0.25">
      <c r="A135" s="47"/>
      <c r="B135" s="42" t="s">
        <v>50</v>
      </c>
      <c r="C135" s="66">
        <v>1.6</v>
      </c>
      <c r="D135" s="66">
        <v>1.1000000000000001</v>
      </c>
      <c r="E135" s="43">
        <v>1.2</v>
      </c>
      <c r="F135" s="43">
        <v>4</v>
      </c>
      <c r="G135" s="66">
        <f>F135*E135*D135*C135</f>
        <v>8.4480000000000004</v>
      </c>
      <c r="H135" s="73" t="s">
        <v>51</v>
      </c>
      <c r="I135" s="94">
        <v>315.89</v>
      </c>
      <c r="J135" s="95">
        <f>I135*G135</f>
        <v>2668.6387199999999</v>
      </c>
      <c r="K135" s="44"/>
    </row>
    <row r="136" spans="1:11" x14ac:dyDescent="0.25">
      <c r="A136" s="47"/>
      <c r="B136" s="42" t="s">
        <v>13</v>
      </c>
      <c r="C136" s="66">
        <v>1.3</v>
      </c>
      <c r="D136" s="66">
        <f>D135</f>
        <v>1.1000000000000001</v>
      </c>
      <c r="E136" s="43">
        <v>0.23</v>
      </c>
      <c r="F136" s="43">
        <f>F135</f>
        <v>4</v>
      </c>
      <c r="G136" s="66">
        <f>F136*E136*D136*C136</f>
        <v>1.3156000000000003</v>
      </c>
      <c r="H136" s="73" t="s">
        <v>51</v>
      </c>
      <c r="I136" s="94">
        <v>950</v>
      </c>
      <c r="J136" s="95">
        <f>I136*G136</f>
        <v>1249.8200000000004</v>
      </c>
      <c r="K136" s="44"/>
    </row>
    <row r="137" spans="1:11" x14ac:dyDescent="0.25">
      <c r="A137" s="47"/>
      <c r="B137" s="42" t="s">
        <v>53</v>
      </c>
      <c r="C137" s="66">
        <f>C136</f>
        <v>1.3</v>
      </c>
      <c r="D137" s="66">
        <f>D135</f>
        <v>1.1000000000000001</v>
      </c>
      <c r="E137" s="43">
        <v>0.1</v>
      </c>
      <c r="F137" s="43">
        <f>F135</f>
        <v>4</v>
      </c>
      <c r="G137" s="66">
        <f>F137*E137*D137*C137</f>
        <v>0.57200000000000006</v>
      </c>
      <c r="H137" s="73" t="s">
        <v>51</v>
      </c>
      <c r="I137" s="94">
        <v>3535.97</v>
      </c>
      <c r="J137" s="95">
        <f>I137*G137</f>
        <v>2022.5748400000002</v>
      </c>
      <c r="K137" s="44"/>
    </row>
    <row r="138" spans="1:11" x14ac:dyDescent="0.25">
      <c r="A138" s="47"/>
      <c r="B138" s="42" t="s">
        <v>54</v>
      </c>
      <c r="C138" s="66">
        <v>0.6</v>
      </c>
      <c r="D138" s="66">
        <v>0.6</v>
      </c>
      <c r="E138" s="43">
        <v>0.6</v>
      </c>
      <c r="F138" s="43">
        <f>F135</f>
        <v>4</v>
      </c>
      <c r="G138" s="66">
        <f>F138*E138*D138*C138</f>
        <v>0.86399999999999999</v>
      </c>
      <c r="H138" s="73" t="s">
        <v>51</v>
      </c>
      <c r="I138" s="94"/>
      <c r="J138" s="95"/>
      <c r="K138" s="44"/>
    </row>
    <row r="139" spans="1:11" x14ac:dyDescent="0.25">
      <c r="A139" s="47"/>
      <c r="B139" s="42"/>
      <c r="C139" s="66"/>
      <c r="D139" s="66"/>
      <c r="E139" s="43"/>
      <c r="F139" s="43"/>
      <c r="G139" s="66">
        <f>SUM(G138:G138)</f>
        <v>0.86399999999999999</v>
      </c>
      <c r="H139" s="73" t="s">
        <v>51</v>
      </c>
      <c r="I139" s="94">
        <f>I128</f>
        <v>5329.43</v>
      </c>
      <c r="J139" s="95">
        <f>I139*G139</f>
        <v>4604.62752</v>
      </c>
      <c r="K139" s="44"/>
    </row>
    <row r="140" spans="1:11" x14ac:dyDescent="0.25">
      <c r="A140" s="47"/>
      <c r="B140" s="42" t="s">
        <v>55</v>
      </c>
      <c r="C140" s="66">
        <f>G139</f>
        <v>0.86399999999999999</v>
      </c>
      <c r="D140" s="66"/>
      <c r="E140" s="43"/>
      <c r="F140" s="43">
        <v>8</v>
      </c>
      <c r="G140" s="66">
        <f>F140*C140</f>
        <v>6.9119999999999999</v>
      </c>
      <c r="H140" s="73" t="s">
        <v>36</v>
      </c>
      <c r="I140" s="94">
        <v>718.4</v>
      </c>
      <c r="J140" s="95">
        <f t="shared" ref="J140:J144" si="19">I140*G140</f>
        <v>4965.5807999999997</v>
      </c>
      <c r="K140" s="44"/>
    </row>
    <row r="141" spans="1:11" x14ac:dyDescent="0.25">
      <c r="A141" s="47"/>
      <c r="B141" s="42" t="s">
        <v>5</v>
      </c>
      <c r="C141" s="66">
        <f>G139</f>
        <v>0.86399999999999999</v>
      </c>
      <c r="D141" s="66"/>
      <c r="E141" s="43"/>
      <c r="F141" s="43">
        <v>125</v>
      </c>
      <c r="G141" s="66">
        <f>F141*C141</f>
        <v>108</v>
      </c>
      <c r="H141" s="73" t="s">
        <v>56</v>
      </c>
      <c r="I141" s="94">
        <f>I130</f>
        <v>66.42</v>
      </c>
      <c r="J141" s="95">
        <f t="shared" si="19"/>
        <v>7173.3600000000006</v>
      </c>
      <c r="K141" s="44"/>
    </row>
    <row r="142" spans="1:11" x14ac:dyDescent="0.25">
      <c r="A142" s="47"/>
      <c r="B142" s="42" t="s">
        <v>44</v>
      </c>
      <c r="C142" s="66">
        <f>G135-G136-G137-G138</f>
        <v>5.6964000000000006</v>
      </c>
      <c r="D142" s="66"/>
      <c r="E142" s="43"/>
      <c r="F142" s="43">
        <v>1</v>
      </c>
      <c r="G142" s="66">
        <f>F142*C142</f>
        <v>5.6964000000000006</v>
      </c>
      <c r="H142" s="73" t="s">
        <v>51</v>
      </c>
      <c r="I142" s="94">
        <v>183.42</v>
      </c>
      <c r="J142" s="95">
        <f t="shared" si="19"/>
        <v>1044.8336879999999</v>
      </c>
      <c r="K142" s="44"/>
    </row>
    <row r="143" spans="1:11" x14ac:dyDescent="0.25">
      <c r="A143" s="47"/>
      <c r="B143" s="42" t="s">
        <v>57</v>
      </c>
      <c r="C143" s="66">
        <v>8</v>
      </c>
      <c r="D143" s="66"/>
      <c r="E143" s="43"/>
      <c r="F143" s="43">
        <v>1</v>
      </c>
      <c r="G143" s="66">
        <f>F143*C143</f>
        <v>8</v>
      </c>
      <c r="H143" s="73" t="s">
        <v>9</v>
      </c>
      <c r="I143" s="94">
        <v>400</v>
      </c>
      <c r="J143" s="95">
        <f t="shared" si="19"/>
        <v>3200</v>
      </c>
      <c r="K143" s="44"/>
    </row>
    <row r="144" spans="1:11" x14ac:dyDescent="0.25">
      <c r="A144" s="47"/>
      <c r="B144" s="42" t="s">
        <v>58</v>
      </c>
      <c r="C144" s="66">
        <v>0.1</v>
      </c>
      <c r="D144" s="66">
        <v>0.1</v>
      </c>
      <c r="E144" s="43">
        <v>0.3</v>
      </c>
      <c r="F144" s="43">
        <f>G143</f>
        <v>8</v>
      </c>
      <c r="G144" s="66">
        <f>C144*D144*E144*F144</f>
        <v>2.4000000000000004E-2</v>
      </c>
      <c r="H144" s="73" t="s">
        <v>51</v>
      </c>
      <c r="I144" s="94">
        <v>110053</v>
      </c>
      <c r="J144" s="95">
        <f t="shared" si="19"/>
        <v>2641.2720000000004</v>
      </c>
      <c r="K144" s="44"/>
    </row>
    <row r="145" spans="1:11" x14ac:dyDescent="0.25">
      <c r="A145" s="38" t="s">
        <v>96</v>
      </c>
      <c r="B145" s="46" t="s">
        <v>257</v>
      </c>
      <c r="C145" s="14"/>
      <c r="D145" s="14"/>
      <c r="E145" s="46"/>
      <c r="F145" s="46"/>
      <c r="G145" s="68"/>
      <c r="H145" s="78"/>
      <c r="I145" s="96"/>
      <c r="J145" s="68"/>
      <c r="K145" s="44"/>
    </row>
    <row r="146" spans="1:11" x14ac:dyDescent="0.25">
      <c r="A146" s="47"/>
      <c r="B146" s="42" t="s">
        <v>50</v>
      </c>
      <c r="C146" s="66">
        <v>1.6</v>
      </c>
      <c r="D146" s="66">
        <v>1.1000000000000001</v>
      </c>
      <c r="E146" s="43">
        <v>1.2</v>
      </c>
      <c r="F146" s="43">
        <v>11</v>
      </c>
      <c r="G146" s="66">
        <f>F146*E146*D146*C146</f>
        <v>23.231999999999999</v>
      </c>
      <c r="H146" s="73" t="s">
        <v>51</v>
      </c>
      <c r="I146" s="94">
        <v>315.89</v>
      </c>
      <c r="J146" s="95">
        <f>I146*G146</f>
        <v>7338.7564799999991</v>
      </c>
      <c r="K146" s="44"/>
    </row>
    <row r="147" spans="1:11" x14ac:dyDescent="0.25">
      <c r="A147" s="47"/>
      <c r="B147" s="42" t="s">
        <v>13</v>
      </c>
      <c r="C147" s="66">
        <v>1.3</v>
      </c>
      <c r="D147" s="66">
        <f>D146</f>
        <v>1.1000000000000001</v>
      </c>
      <c r="E147" s="43">
        <v>0.23</v>
      </c>
      <c r="F147" s="43">
        <f>F146</f>
        <v>11</v>
      </c>
      <c r="G147" s="66">
        <f>F147*E147*D147*C147</f>
        <v>3.6179000000000006</v>
      </c>
      <c r="H147" s="73" t="s">
        <v>51</v>
      </c>
      <c r="I147" s="94">
        <v>950</v>
      </c>
      <c r="J147" s="95">
        <f>I147*G147</f>
        <v>3437.0050000000006</v>
      </c>
      <c r="K147" s="44"/>
    </row>
    <row r="148" spans="1:11" x14ac:dyDescent="0.25">
      <c r="A148" s="47"/>
      <c r="B148" s="42" t="s">
        <v>53</v>
      </c>
      <c r="C148" s="66">
        <f>C147</f>
        <v>1.3</v>
      </c>
      <c r="D148" s="66">
        <f>D146</f>
        <v>1.1000000000000001</v>
      </c>
      <c r="E148" s="43">
        <v>0.1</v>
      </c>
      <c r="F148" s="43">
        <f>F146</f>
        <v>11</v>
      </c>
      <c r="G148" s="66">
        <f>F148*E148*D148*C148</f>
        <v>1.5730000000000004</v>
      </c>
      <c r="H148" s="73" t="s">
        <v>51</v>
      </c>
      <c r="I148" s="94">
        <f>I137</f>
        <v>3535.97</v>
      </c>
      <c r="J148" s="95">
        <f>I148*G148</f>
        <v>5562.0808100000013</v>
      </c>
      <c r="K148" s="44"/>
    </row>
    <row r="149" spans="1:11" x14ac:dyDescent="0.25">
      <c r="A149" s="47"/>
      <c r="B149" s="42" t="s">
        <v>54</v>
      </c>
      <c r="C149" s="66">
        <v>0.45</v>
      </c>
      <c r="D149" s="66">
        <v>0.45</v>
      </c>
      <c r="E149" s="43">
        <v>0.55000000000000004</v>
      </c>
      <c r="F149" s="43">
        <f>F146</f>
        <v>11</v>
      </c>
      <c r="G149" s="66">
        <f>F149*E149*D149*C149</f>
        <v>1.2251250000000002</v>
      </c>
      <c r="H149" s="73" t="s">
        <v>51</v>
      </c>
      <c r="I149" s="94"/>
      <c r="J149" s="95"/>
      <c r="K149" s="44"/>
    </row>
    <row r="150" spans="1:11" x14ac:dyDescent="0.25">
      <c r="A150" s="47"/>
      <c r="B150" s="42"/>
      <c r="C150" s="66"/>
      <c r="D150" s="66"/>
      <c r="E150" s="43"/>
      <c r="F150" s="43"/>
      <c r="G150" s="66">
        <f>SUM(G149:G149)</f>
        <v>1.2251250000000002</v>
      </c>
      <c r="H150" s="73" t="s">
        <v>51</v>
      </c>
      <c r="I150" s="94">
        <f>I139</f>
        <v>5329.43</v>
      </c>
      <c r="J150" s="95">
        <f>I150*G150</f>
        <v>6529.2179287500012</v>
      </c>
      <c r="K150" s="44"/>
    </row>
    <row r="151" spans="1:11" x14ac:dyDescent="0.25">
      <c r="A151" s="47"/>
      <c r="B151" s="42" t="s">
        <v>55</v>
      </c>
      <c r="C151" s="66">
        <f>G150</f>
        <v>1.2251250000000002</v>
      </c>
      <c r="D151" s="66"/>
      <c r="E151" s="43"/>
      <c r="F151" s="43">
        <v>8</v>
      </c>
      <c r="G151" s="66">
        <f>F151*C151</f>
        <v>9.8010000000000019</v>
      </c>
      <c r="H151" s="73" t="s">
        <v>36</v>
      </c>
      <c r="I151" s="94">
        <f>I140</f>
        <v>718.4</v>
      </c>
      <c r="J151" s="95">
        <f t="shared" ref="J151:J155" si="20">I151*G151</f>
        <v>7041.0384000000013</v>
      </c>
      <c r="K151" s="44"/>
    </row>
    <row r="152" spans="1:11" x14ac:dyDescent="0.25">
      <c r="A152" s="47"/>
      <c r="B152" s="42" t="s">
        <v>5</v>
      </c>
      <c r="C152" s="66">
        <f>G150</f>
        <v>1.2251250000000002</v>
      </c>
      <c r="D152" s="66"/>
      <c r="E152" s="43"/>
      <c r="F152" s="43">
        <v>125</v>
      </c>
      <c r="G152" s="66">
        <f>F152*C152</f>
        <v>153.14062500000003</v>
      </c>
      <c r="H152" s="73" t="s">
        <v>56</v>
      </c>
      <c r="I152" s="94">
        <f>I141</f>
        <v>66.42</v>
      </c>
      <c r="J152" s="95">
        <f t="shared" si="20"/>
        <v>10171.600312500002</v>
      </c>
      <c r="K152" s="44"/>
    </row>
    <row r="153" spans="1:11" x14ac:dyDescent="0.25">
      <c r="A153" s="47"/>
      <c r="B153" s="42" t="s">
        <v>44</v>
      </c>
      <c r="C153" s="66">
        <f>G146-G147-G148-G149</f>
        <v>16.815975000000002</v>
      </c>
      <c r="D153" s="66"/>
      <c r="E153" s="43"/>
      <c r="F153" s="43">
        <v>1</v>
      </c>
      <c r="G153" s="66">
        <f>F153*C153</f>
        <v>16.815975000000002</v>
      </c>
      <c r="H153" s="73" t="s">
        <v>51</v>
      </c>
      <c r="I153" s="94">
        <f>I142</f>
        <v>183.42</v>
      </c>
      <c r="J153" s="95">
        <f t="shared" si="20"/>
        <v>3084.3861345</v>
      </c>
      <c r="K153" s="44"/>
    </row>
    <row r="154" spans="1:11" x14ac:dyDescent="0.25">
      <c r="A154" s="47"/>
      <c r="B154" s="42" t="s">
        <v>57</v>
      </c>
      <c r="C154" s="66">
        <v>8</v>
      </c>
      <c r="D154" s="66"/>
      <c r="E154" s="43"/>
      <c r="F154" s="43">
        <v>1</v>
      </c>
      <c r="G154" s="66">
        <f>F154*C154</f>
        <v>8</v>
      </c>
      <c r="H154" s="73" t="s">
        <v>9</v>
      </c>
      <c r="I154" s="94">
        <v>400</v>
      </c>
      <c r="J154" s="95">
        <f t="shared" si="20"/>
        <v>3200</v>
      </c>
      <c r="K154" s="44"/>
    </row>
    <row r="155" spans="1:11" x14ac:dyDescent="0.25">
      <c r="A155" s="47"/>
      <c r="B155" s="42" t="s">
        <v>58</v>
      </c>
      <c r="C155" s="66">
        <v>0.1</v>
      </c>
      <c r="D155" s="66">
        <v>0.1</v>
      </c>
      <c r="E155" s="43">
        <v>0.3</v>
      </c>
      <c r="F155" s="43">
        <f>G154</f>
        <v>8</v>
      </c>
      <c r="G155" s="66">
        <f>C155*D155*E155*F155</f>
        <v>2.4000000000000004E-2</v>
      </c>
      <c r="H155" s="73" t="s">
        <v>51</v>
      </c>
      <c r="I155" s="94">
        <v>110053</v>
      </c>
      <c r="J155" s="95">
        <f t="shared" si="20"/>
        <v>2641.2720000000004</v>
      </c>
      <c r="K155" s="44"/>
    </row>
    <row r="156" spans="1:11" ht="18.75" x14ac:dyDescent="0.3">
      <c r="A156" s="38"/>
      <c r="B156" s="138" t="s">
        <v>328</v>
      </c>
      <c r="C156" s="40"/>
      <c r="D156" s="13"/>
      <c r="E156" s="40"/>
      <c r="F156" s="40"/>
      <c r="G156" s="40"/>
      <c r="H156" s="78"/>
      <c r="I156" s="96"/>
      <c r="J156" s="68"/>
      <c r="K156" s="40"/>
    </row>
    <row r="157" spans="1:11" x14ac:dyDescent="0.25">
      <c r="A157" s="50">
        <v>1</v>
      </c>
      <c r="B157" s="51" t="s">
        <v>60</v>
      </c>
      <c r="C157" s="48"/>
      <c r="D157" s="333">
        <f>20*20</f>
        <v>400</v>
      </c>
      <c r="E157" s="333"/>
      <c r="F157" s="48">
        <v>0.5</v>
      </c>
      <c r="G157" s="48">
        <f>D157*F157</f>
        <v>200</v>
      </c>
      <c r="H157" s="75" t="s">
        <v>51</v>
      </c>
      <c r="I157" s="97">
        <v>315.89</v>
      </c>
      <c r="J157" s="69">
        <f t="shared" ref="J157:J162" si="21">G157*I157</f>
        <v>63178</v>
      </c>
      <c r="K157" s="44"/>
    </row>
    <row r="158" spans="1:11" x14ac:dyDescent="0.25">
      <c r="A158" s="50">
        <v>2</v>
      </c>
      <c r="B158" s="51" t="s">
        <v>75</v>
      </c>
      <c r="C158" s="48"/>
      <c r="D158" s="48"/>
      <c r="E158" s="48"/>
      <c r="F158" s="48"/>
      <c r="G158" s="48">
        <f>G157</f>
        <v>200</v>
      </c>
      <c r="H158" s="75" t="s">
        <v>51</v>
      </c>
      <c r="I158" s="97">
        <v>100</v>
      </c>
      <c r="J158" s="69">
        <f t="shared" si="21"/>
        <v>20000</v>
      </c>
      <c r="K158" s="44"/>
    </row>
    <row r="159" spans="1:11" x14ac:dyDescent="0.25">
      <c r="A159" s="50">
        <v>3</v>
      </c>
      <c r="B159" s="51" t="s">
        <v>76</v>
      </c>
      <c r="C159" s="48"/>
      <c r="D159" s="333">
        <f>D157</f>
        <v>400</v>
      </c>
      <c r="E159" s="333"/>
      <c r="F159" s="48">
        <v>0.23</v>
      </c>
      <c r="G159" s="48">
        <f>D159*F159</f>
        <v>92</v>
      </c>
      <c r="H159" s="75" t="s">
        <v>51</v>
      </c>
      <c r="I159" s="97">
        <v>1500</v>
      </c>
      <c r="J159" s="69">
        <f t="shared" si="21"/>
        <v>138000</v>
      </c>
      <c r="K159" s="44"/>
    </row>
    <row r="160" spans="1:11" x14ac:dyDescent="0.25">
      <c r="A160" s="50">
        <v>4</v>
      </c>
      <c r="B160" s="51" t="s">
        <v>77</v>
      </c>
      <c r="C160" s="48"/>
      <c r="D160" s="333">
        <f>D157</f>
        <v>400</v>
      </c>
      <c r="E160" s="333"/>
      <c r="F160" s="48">
        <v>7.4999999999999997E-2</v>
      </c>
      <c r="G160" s="48">
        <f>D160*F160</f>
        <v>30</v>
      </c>
      <c r="H160" s="75" t="s">
        <v>36</v>
      </c>
      <c r="I160" s="97">
        <v>3535.97</v>
      </c>
      <c r="J160" s="69">
        <f t="shared" si="21"/>
        <v>106079.09999999999</v>
      </c>
      <c r="K160" s="44"/>
    </row>
    <row r="161" spans="1:11" x14ac:dyDescent="0.25">
      <c r="A161" s="50">
        <v>5</v>
      </c>
      <c r="B161" s="51" t="s">
        <v>78</v>
      </c>
      <c r="C161" s="48"/>
      <c r="D161" s="333">
        <f>D157</f>
        <v>400</v>
      </c>
      <c r="E161" s="333"/>
      <c r="F161" s="48">
        <v>0.15</v>
      </c>
      <c r="G161" s="48">
        <f>D161*F161</f>
        <v>60</v>
      </c>
      <c r="H161" s="75" t="s">
        <v>36</v>
      </c>
      <c r="I161" s="97">
        <v>5329.43</v>
      </c>
      <c r="J161" s="69">
        <f t="shared" si="21"/>
        <v>319765.80000000005</v>
      </c>
      <c r="K161" s="44"/>
    </row>
    <row r="162" spans="1:11" x14ac:dyDescent="0.25">
      <c r="A162" s="50">
        <v>6</v>
      </c>
      <c r="B162" s="51" t="s">
        <v>63</v>
      </c>
      <c r="C162" s="48"/>
      <c r="D162" s="48">
        <f>G161</f>
        <v>60</v>
      </c>
      <c r="E162" s="48">
        <v>100</v>
      </c>
      <c r="F162" s="48"/>
      <c r="G162" s="48">
        <f>D162*E162</f>
        <v>6000</v>
      </c>
      <c r="H162" s="75" t="s">
        <v>56</v>
      </c>
      <c r="I162" s="97">
        <v>66.42</v>
      </c>
      <c r="J162" s="69">
        <f t="shared" si="21"/>
        <v>398520</v>
      </c>
      <c r="K162" s="44"/>
    </row>
    <row r="163" spans="1:11" x14ac:dyDescent="0.25">
      <c r="A163" s="50"/>
      <c r="B163" s="51"/>
      <c r="C163" s="48"/>
      <c r="D163" s="48"/>
      <c r="E163" s="48"/>
      <c r="F163" s="48"/>
      <c r="G163" s="109"/>
      <c r="H163" s="146"/>
      <c r="I163" s="110"/>
      <c r="J163" s="68"/>
      <c r="K163" s="44"/>
    </row>
    <row r="164" spans="1:11" x14ac:dyDescent="0.25">
      <c r="A164" s="38"/>
      <c r="B164" s="27"/>
      <c r="C164" s="27"/>
      <c r="D164" s="27"/>
      <c r="E164" s="27"/>
      <c r="F164" s="27"/>
      <c r="G164" s="365" t="s">
        <v>26</v>
      </c>
      <c r="H164" s="365"/>
      <c r="I164" s="365"/>
      <c r="J164" s="310">
        <f>SUM(J6:J163)</f>
        <v>80399431.814496711</v>
      </c>
      <c r="K164" s="311">
        <f>J164</f>
        <v>80399431.814496711</v>
      </c>
    </row>
    <row r="167" spans="1:11" x14ac:dyDescent="0.25">
      <c r="D167" s="145"/>
    </row>
  </sheetData>
  <mergeCells count="7">
    <mergeCell ref="G164:I164"/>
    <mergeCell ref="A1:K1"/>
    <mergeCell ref="D157:E157"/>
    <mergeCell ref="D159:E159"/>
    <mergeCell ref="D160:E160"/>
    <mergeCell ref="D161:E161"/>
    <mergeCell ref="G75:I7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2" workbookViewId="0">
      <selection activeCell="M11" sqref="M11"/>
    </sheetView>
  </sheetViews>
  <sheetFormatPr defaultRowHeight="15" x14ac:dyDescent="0.25"/>
  <cols>
    <col min="1" max="1" width="2.140625" bestFit="1" customWidth="1"/>
    <col min="2" max="2" width="62.85546875" bestFit="1" customWidth="1"/>
    <col min="3" max="3" width="6.7109375" bestFit="1" customWidth="1"/>
    <col min="4" max="4" width="6.140625" bestFit="1" customWidth="1"/>
    <col min="5" max="5" width="5.5703125" bestFit="1" customWidth="1"/>
    <col min="6" max="6" width="6" bestFit="1" customWidth="1"/>
    <col min="7" max="7" width="9" bestFit="1" customWidth="1"/>
    <col min="8" max="8" width="5.140625" bestFit="1" customWidth="1"/>
    <col min="9" max="9" width="11.28515625" bestFit="1" customWidth="1"/>
    <col min="10" max="10" width="12" bestFit="1" customWidth="1"/>
  </cols>
  <sheetData>
    <row r="1" spans="1:10" ht="18" x14ac:dyDescent="0.25">
      <c r="A1" s="369" t="s">
        <v>269</v>
      </c>
      <c r="B1" s="369"/>
      <c r="C1" s="369"/>
      <c r="D1" s="369"/>
      <c r="E1" s="369"/>
      <c r="F1" s="369"/>
      <c r="G1" s="369"/>
      <c r="H1" s="369"/>
      <c r="I1" s="369"/>
      <c r="J1" s="370"/>
    </row>
    <row r="2" spans="1:10" ht="15.75" x14ac:dyDescent="0.25">
      <c r="A2" s="45" t="s">
        <v>95</v>
      </c>
      <c r="B2" s="29" t="s">
        <v>69</v>
      </c>
      <c r="C2" s="181"/>
      <c r="D2" s="67"/>
      <c r="E2" s="46"/>
      <c r="F2" s="46"/>
      <c r="G2" s="46"/>
      <c r="H2" s="78"/>
      <c r="I2" s="96"/>
      <c r="J2" s="68"/>
    </row>
    <row r="3" spans="1:10" ht="15.75" x14ac:dyDescent="0.25">
      <c r="A3" s="30"/>
      <c r="B3" s="34" t="s">
        <v>324</v>
      </c>
      <c r="C3" s="6">
        <v>0</v>
      </c>
      <c r="D3" s="6"/>
      <c r="E3" s="46"/>
      <c r="F3" s="46"/>
      <c r="G3" s="70">
        <f>C3</f>
        <v>0</v>
      </c>
      <c r="H3" s="74" t="s">
        <v>4</v>
      </c>
      <c r="I3" s="21">
        <v>305703.42</v>
      </c>
      <c r="J3" s="70">
        <f>G3*I3</f>
        <v>0</v>
      </c>
    </row>
    <row r="4" spans="1:10" ht="15.75" x14ac:dyDescent="0.25">
      <c r="A4" s="30"/>
      <c r="B4" s="34" t="s">
        <v>70</v>
      </c>
      <c r="C4" s="6">
        <v>0</v>
      </c>
      <c r="D4" s="6"/>
      <c r="E4" s="46"/>
      <c r="F4" s="46"/>
      <c r="G4" s="70">
        <f>C4</f>
        <v>0</v>
      </c>
      <c r="H4" s="74" t="s">
        <v>4</v>
      </c>
      <c r="I4" s="21">
        <v>229277.57</v>
      </c>
      <c r="J4" s="70">
        <f t="shared" ref="J4:J7" si="0">G4*I4</f>
        <v>0</v>
      </c>
    </row>
    <row r="5" spans="1:10" ht="15.75" x14ac:dyDescent="0.25">
      <c r="A5" s="30"/>
      <c r="B5" s="34" t="s">
        <v>71</v>
      </c>
      <c r="C5" s="6">
        <v>36</v>
      </c>
      <c r="D5" s="6">
        <v>18</v>
      </c>
      <c r="E5" s="46"/>
      <c r="F5" s="46"/>
      <c r="G5" s="70">
        <f>C5*D5</f>
        <v>648</v>
      </c>
      <c r="H5" s="74" t="s">
        <v>39</v>
      </c>
      <c r="I5" s="21">
        <v>2394.6799999999998</v>
      </c>
      <c r="J5" s="70">
        <f t="shared" si="0"/>
        <v>1551752.64</v>
      </c>
    </row>
    <row r="6" spans="1:10" ht="15.75" x14ac:dyDescent="0.25">
      <c r="A6" s="30"/>
      <c r="B6" s="34" t="s">
        <v>31</v>
      </c>
      <c r="C6" s="6">
        <f>C5</f>
        <v>36</v>
      </c>
      <c r="D6" s="6"/>
      <c r="E6" s="46"/>
      <c r="F6" s="46"/>
      <c r="G6" s="70">
        <f>C6</f>
        <v>36</v>
      </c>
      <c r="H6" s="74" t="s">
        <v>67</v>
      </c>
      <c r="I6" s="21">
        <v>509.51</v>
      </c>
      <c r="J6" s="70">
        <f t="shared" si="0"/>
        <v>18342.36</v>
      </c>
    </row>
    <row r="7" spans="1:10" ht="15.75" x14ac:dyDescent="0.25">
      <c r="A7" s="30"/>
      <c r="B7" s="37" t="s">
        <v>32</v>
      </c>
      <c r="C7" s="6">
        <f>C5</f>
        <v>36</v>
      </c>
      <c r="D7" s="6"/>
      <c r="E7" s="46"/>
      <c r="F7" s="46"/>
      <c r="G7" s="70">
        <f>C7</f>
        <v>36</v>
      </c>
      <c r="H7" s="74" t="s">
        <v>67</v>
      </c>
      <c r="I7" s="21">
        <v>1273.76</v>
      </c>
      <c r="J7" s="70">
        <f t="shared" si="0"/>
        <v>45855.360000000001</v>
      </c>
    </row>
    <row r="8" spans="1:10" ht="16.5" customHeight="1" x14ac:dyDescent="0.25">
      <c r="A8" s="190"/>
      <c r="B8" s="189" t="s">
        <v>258</v>
      </c>
      <c r="C8" s="189"/>
      <c r="D8" s="189"/>
      <c r="E8" s="189"/>
      <c r="F8" s="189"/>
      <c r="G8" s="189"/>
      <c r="H8" s="189"/>
      <c r="I8" s="189"/>
      <c r="J8" s="189"/>
    </row>
    <row r="9" spans="1:10" x14ac:dyDescent="0.25">
      <c r="A9" s="189"/>
      <c r="B9" s="189" t="s">
        <v>259</v>
      </c>
      <c r="C9" s="189">
        <v>3</v>
      </c>
      <c r="D9" s="189">
        <v>5.5</v>
      </c>
      <c r="E9" s="189">
        <v>5.5</v>
      </c>
      <c r="F9" s="189">
        <f>2+0.23+0.1</f>
        <v>2.33</v>
      </c>
      <c r="G9" s="189">
        <f t="shared" ref="G9" si="1">C9*D9*E9*F9</f>
        <v>211.44750000000002</v>
      </c>
      <c r="H9" s="189"/>
      <c r="I9" s="189"/>
      <c r="J9" s="189"/>
    </row>
    <row r="10" spans="1:10" x14ac:dyDescent="0.25">
      <c r="A10" s="189"/>
      <c r="B10" s="189"/>
      <c r="C10" s="189"/>
      <c r="D10" s="189"/>
      <c r="E10" s="189"/>
      <c r="F10" s="189" t="s">
        <v>37</v>
      </c>
      <c r="G10" s="191">
        <f>SUM(G9:G9)</f>
        <v>211.44750000000002</v>
      </c>
      <c r="H10" s="189" t="s">
        <v>51</v>
      </c>
      <c r="I10" s="189">
        <v>300</v>
      </c>
      <c r="J10" s="189">
        <f>G10*I10</f>
        <v>63434.250000000007</v>
      </c>
    </row>
    <row r="11" spans="1:10" x14ac:dyDescent="0.25">
      <c r="A11" s="190"/>
      <c r="B11" s="189" t="s">
        <v>260</v>
      </c>
      <c r="C11" s="189"/>
      <c r="D11" s="189"/>
      <c r="E11" s="189"/>
      <c r="F11" s="189"/>
      <c r="G11" s="189"/>
      <c r="H11" s="189"/>
      <c r="I11" s="189"/>
      <c r="J11" s="189">
        <f t="shared" ref="J11:J40" si="2">G11*I11</f>
        <v>0</v>
      </c>
    </row>
    <row r="12" spans="1:10" x14ac:dyDescent="0.25">
      <c r="A12" s="189"/>
      <c r="B12" s="189" t="s">
        <v>259</v>
      </c>
      <c r="C12" s="189">
        <v>3</v>
      </c>
      <c r="D12" s="189">
        <v>5.5</v>
      </c>
      <c r="E12" s="189">
        <v>5.5</v>
      </c>
      <c r="F12" s="189">
        <v>0.23</v>
      </c>
      <c r="G12" s="189">
        <f t="shared" ref="G12" si="3">C12*D12*E12*F12</f>
        <v>20.872500000000002</v>
      </c>
      <c r="H12" s="189"/>
      <c r="I12" s="189"/>
      <c r="J12" s="189">
        <f t="shared" si="2"/>
        <v>0</v>
      </c>
    </row>
    <row r="13" spans="1:10" x14ac:dyDescent="0.25">
      <c r="A13" s="189"/>
      <c r="B13" s="189"/>
      <c r="C13" s="189"/>
      <c r="D13" s="189"/>
      <c r="E13" s="189"/>
      <c r="F13" s="189" t="s">
        <v>37</v>
      </c>
      <c r="G13" s="191">
        <f>SUM(G12:G12)</f>
        <v>20.872500000000002</v>
      </c>
      <c r="H13" s="189" t="s">
        <v>51</v>
      </c>
      <c r="I13" s="189">
        <v>950</v>
      </c>
      <c r="J13" s="189">
        <f t="shared" si="2"/>
        <v>19828.875000000004</v>
      </c>
    </row>
    <row r="14" spans="1:10" x14ac:dyDescent="0.25">
      <c r="A14" s="190"/>
      <c r="B14" s="189" t="s">
        <v>53</v>
      </c>
      <c r="C14" s="189"/>
      <c r="D14" s="189"/>
      <c r="E14" s="189"/>
      <c r="F14" s="189"/>
      <c r="G14" s="189"/>
      <c r="H14" s="189"/>
      <c r="I14" s="189"/>
      <c r="J14" s="189">
        <f t="shared" si="2"/>
        <v>0</v>
      </c>
    </row>
    <row r="15" spans="1:10" x14ac:dyDescent="0.25">
      <c r="A15" s="190"/>
      <c r="B15" s="189" t="s">
        <v>259</v>
      </c>
      <c r="C15" s="189">
        <v>3</v>
      </c>
      <c r="D15" s="189">
        <v>5.5</v>
      </c>
      <c r="E15" s="189">
        <v>5.5</v>
      </c>
      <c r="F15" s="189">
        <v>0.1</v>
      </c>
      <c r="G15" s="189">
        <f t="shared" ref="G15" si="4">C15*D15*E15*F15</f>
        <v>9.0750000000000011</v>
      </c>
      <c r="H15" s="189"/>
      <c r="I15" s="189"/>
      <c r="J15" s="189">
        <f t="shared" si="2"/>
        <v>0</v>
      </c>
    </row>
    <row r="16" spans="1:10" x14ac:dyDescent="0.25">
      <c r="A16" s="189"/>
      <c r="B16" s="189"/>
      <c r="C16" s="189"/>
      <c r="D16" s="189"/>
      <c r="E16" s="189"/>
      <c r="F16" s="189" t="s">
        <v>37</v>
      </c>
      <c r="G16" s="191">
        <f>SUM(G15:G15)</f>
        <v>9.0750000000000011</v>
      </c>
      <c r="H16" s="189" t="s">
        <v>51</v>
      </c>
      <c r="I16" s="189">
        <v>5000</v>
      </c>
      <c r="J16" s="189">
        <f t="shared" si="2"/>
        <v>45375.000000000007</v>
      </c>
    </row>
    <row r="17" spans="1:10" x14ac:dyDescent="0.25">
      <c r="A17" s="190"/>
      <c r="B17" s="189" t="s">
        <v>261</v>
      </c>
      <c r="C17" s="189"/>
      <c r="D17" s="189"/>
      <c r="E17" s="189"/>
      <c r="F17" s="189"/>
      <c r="G17" s="189"/>
      <c r="H17" s="189"/>
      <c r="I17" s="189"/>
      <c r="J17" s="189">
        <f t="shared" si="2"/>
        <v>0</v>
      </c>
    </row>
    <row r="18" spans="1:10" x14ac:dyDescent="0.25">
      <c r="A18" s="190"/>
      <c r="B18" s="189" t="s">
        <v>259</v>
      </c>
      <c r="C18" s="189">
        <v>3</v>
      </c>
      <c r="D18" s="189">
        <v>4.5</v>
      </c>
      <c r="E18" s="189">
        <v>4.5</v>
      </c>
      <c r="F18" s="189">
        <v>0.75</v>
      </c>
      <c r="G18" s="189">
        <f t="shared" ref="G18:G20" si="5">C18*D18*E18*F18</f>
        <v>45.5625</v>
      </c>
      <c r="H18" s="189"/>
      <c r="I18" s="189"/>
      <c r="J18" s="189">
        <f t="shared" si="2"/>
        <v>0</v>
      </c>
    </row>
    <row r="19" spans="1:10" x14ac:dyDescent="0.25">
      <c r="A19" s="190"/>
      <c r="B19" s="189" t="s">
        <v>262</v>
      </c>
      <c r="C19" s="189">
        <v>12</v>
      </c>
      <c r="D19" s="189">
        <v>4.5</v>
      </c>
      <c r="E19" s="189">
        <v>0.25</v>
      </c>
      <c r="F19" s="189">
        <v>2</v>
      </c>
      <c r="G19" s="189">
        <f t="shared" si="5"/>
        <v>27</v>
      </c>
      <c r="H19" s="189"/>
      <c r="I19" s="189"/>
      <c r="J19" s="189">
        <f t="shared" si="2"/>
        <v>0</v>
      </c>
    </row>
    <row r="20" spans="1:10" x14ac:dyDescent="0.25">
      <c r="A20" s="190"/>
      <c r="B20" s="189" t="s">
        <v>263</v>
      </c>
      <c r="C20" s="189">
        <v>18</v>
      </c>
      <c r="D20" s="189">
        <v>0.5</v>
      </c>
      <c r="E20" s="189">
        <v>0.5</v>
      </c>
      <c r="F20" s="189">
        <v>1.5</v>
      </c>
      <c r="G20" s="189">
        <f t="shared" si="5"/>
        <v>6.75</v>
      </c>
      <c r="H20" s="189"/>
      <c r="I20" s="189"/>
      <c r="J20" s="189">
        <f t="shared" si="2"/>
        <v>0</v>
      </c>
    </row>
    <row r="21" spans="1:10" x14ac:dyDescent="0.25">
      <c r="A21" s="189"/>
      <c r="B21" s="189"/>
      <c r="C21" s="189"/>
      <c r="D21" s="189"/>
      <c r="E21" s="367" t="s">
        <v>264</v>
      </c>
      <c r="F21" s="367"/>
      <c r="G21" s="191">
        <f>SUM(G18:G20)</f>
        <v>79.3125</v>
      </c>
      <c r="H21" s="189" t="s">
        <v>51</v>
      </c>
      <c r="I21" s="189">
        <v>7000</v>
      </c>
      <c r="J21" s="189">
        <f t="shared" si="2"/>
        <v>555187.5</v>
      </c>
    </row>
    <row r="22" spans="1:10" x14ac:dyDescent="0.25">
      <c r="A22" s="190"/>
      <c r="B22" s="189" t="s">
        <v>265</v>
      </c>
      <c r="C22" s="189">
        <v>1</v>
      </c>
      <c r="D22" s="192">
        <f>G21</f>
        <v>79.3125</v>
      </c>
      <c r="E22" s="189">
        <v>100</v>
      </c>
      <c r="F22" s="189"/>
      <c r="G22" s="189">
        <f>C22*D22*E22</f>
        <v>7931.25</v>
      </c>
      <c r="H22" s="189" t="s">
        <v>56</v>
      </c>
      <c r="I22" s="189">
        <v>10</v>
      </c>
      <c r="J22" s="189">
        <f t="shared" si="2"/>
        <v>79312.5</v>
      </c>
    </row>
    <row r="23" spans="1:10" x14ac:dyDescent="0.25">
      <c r="A23" s="190"/>
      <c r="B23" s="189" t="s">
        <v>266</v>
      </c>
      <c r="C23" s="189"/>
      <c r="D23" s="189"/>
      <c r="E23" s="189"/>
      <c r="F23" s="189"/>
      <c r="G23" s="189"/>
      <c r="H23" s="189"/>
      <c r="I23" s="189"/>
      <c r="J23" s="189">
        <f t="shared" si="2"/>
        <v>0</v>
      </c>
    </row>
    <row r="24" spans="1:10" x14ac:dyDescent="0.25">
      <c r="A24" s="190"/>
      <c r="B24" s="189" t="s">
        <v>259</v>
      </c>
      <c r="C24" s="189">
        <v>6</v>
      </c>
      <c r="D24" s="189">
        <v>4.5</v>
      </c>
      <c r="E24" s="189"/>
      <c r="F24" s="189">
        <v>0.75</v>
      </c>
      <c r="G24" s="189">
        <f t="shared" ref="G24:G26" si="6">C24*D24*F24</f>
        <v>20.25</v>
      </c>
      <c r="H24" s="189"/>
      <c r="I24" s="189"/>
      <c r="J24" s="189">
        <f t="shared" si="2"/>
        <v>0</v>
      </c>
    </row>
    <row r="25" spans="1:10" x14ac:dyDescent="0.25">
      <c r="A25" s="189"/>
      <c r="B25" s="189" t="s">
        <v>267</v>
      </c>
      <c r="C25" s="189">
        <v>24</v>
      </c>
      <c r="D25" s="189">
        <v>4.5</v>
      </c>
      <c r="E25" s="189"/>
      <c r="F25" s="189">
        <v>2</v>
      </c>
      <c r="G25" s="189">
        <f t="shared" si="6"/>
        <v>216</v>
      </c>
      <c r="H25" s="189"/>
      <c r="I25" s="189"/>
      <c r="J25" s="189">
        <f t="shared" si="2"/>
        <v>0</v>
      </c>
    </row>
    <row r="26" spans="1:10" x14ac:dyDescent="0.25">
      <c r="A26" s="189"/>
      <c r="B26" s="189" t="s">
        <v>263</v>
      </c>
      <c r="C26" s="189">
        <v>72</v>
      </c>
      <c r="D26" s="189">
        <v>0.5</v>
      </c>
      <c r="E26" s="189"/>
      <c r="F26" s="189">
        <v>1.5</v>
      </c>
      <c r="G26" s="189">
        <f t="shared" si="6"/>
        <v>54</v>
      </c>
      <c r="H26" s="189"/>
      <c r="I26" s="189"/>
      <c r="J26" s="189">
        <f t="shared" si="2"/>
        <v>0</v>
      </c>
    </row>
    <row r="27" spans="1:10" x14ac:dyDescent="0.25">
      <c r="A27" s="189"/>
      <c r="B27" s="189"/>
      <c r="C27" s="189"/>
      <c r="D27" s="189"/>
      <c r="E27" s="367" t="s">
        <v>264</v>
      </c>
      <c r="F27" s="367"/>
      <c r="G27" s="191">
        <f>SUM(G25:G26)</f>
        <v>270</v>
      </c>
      <c r="H27" s="189" t="s">
        <v>51</v>
      </c>
      <c r="I27" s="189">
        <v>450</v>
      </c>
      <c r="J27" s="189">
        <f t="shared" si="2"/>
        <v>121500</v>
      </c>
    </row>
    <row r="28" spans="1:10" x14ac:dyDescent="0.25">
      <c r="A28" s="190"/>
      <c r="B28" s="189" t="s">
        <v>268</v>
      </c>
      <c r="C28" s="189"/>
      <c r="D28" s="189"/>
      <c r="E28" s="189"/>
      <c r="F28" s="189"/>
      <c r="G28" s="192">
        <f>G10-G13-G16-G21</f>
        <v>102.18750000000003</v>
      </c>
      <c r="H28" s="189" t="s">
        <v>51</v>
      </c>
      <c r="I28" s="189">
        <v>350</v>
      </c>
      <c r="J28" s="189">
        <f t="shared" si="2"/>
        <v>35765.625000000007</v>
      </c>
    </row>
    <row r="29" spans="1:10" ht="15.75" x14ac:dyDescent="0.25">
      <c r="A29" s="39"/>
      <c r="B29" s="40" t="s">
        <v>49</v>
      </c>
      <c r="C29" s="40"/>
      <c r="D29" s="40"/>
      <c r="E29" s="40"/>
      <c r="F29" s="40"/>
      <c r="G29" s="40"/>
      <c r="H29" s="78"/>
      <c r="I29" s="96"/>
      <c r="J29" s="189">
        <f t="shared" si="2"/>
        <v>0</v>
      </c>
    </row>
    <row r="30" spans="1:10" ht="15.75" x14ac:dyDescent="0.25">
      <c r="A30" s="41"/>
      <c r="B30" s="42" t="s">
        <v>50</v>
      </c>
      <c r="C30" s="43">
        <v>4</v>
      </c>
      <c r="D30" s="43">
        <v>3.2</v>
      </c>
      <c r="E30" s="43">
        <v>1.5</v>
      </c>
      <c r="F30" s="43">
        <v>4</v>
      </c>
      <c r="G30" s="43">
        <f>F30*E30*D30*C30</f>
        <v>76.800000000000011</v>
      </c>
      <c r="H30" s="73" t="s">
        <v>51</v>
      </c>
      <c r="I30" s="94">
        <v>315.19</v>
      </c>
      <c r="J30" s="189">
        <f t="shared" si="2"/>
        <v>24206.592000000004</v>
      </c>
    </row>
    <row r="31" spans="1:10" ht="15.75" x14ac:dyDescent="0.25">
      <c r="A31" s="41"/>
      <c r="B31" s="42" t="s">
        <v>52</v>
      </c>
      <c r="C31" s="43"/>
      <c r="D31" s="43"/>
      <c r="E31" s="43"/>
      <c r="F31" s="43"/>
      <c r="G31" s="43">
        <f>G30</f>
        <v>76.800000000000011</v>
      </c>
      <c r="H31" s="73" t="s">
        <v>51</v>
      </c>
      <c r="I31" s="94">
        <v>75</v>
      </c>
      <c r="J31" s="189">
        <f t="shared" si="2"/>
        <v>5760.0000000000009</v>
      </c>
    </row>
    <row r="32" spans="1:10" ht="15.75" x14ac:dyDescent="0.25">
      <c r="A32" s="41"/>
      <c r="B32" s="42" t="s">
        <v>13</v>
      </c>
      <c r="C32" s="43">
        <v>3.2</v>
      </c>
      <c r="D32" s="43">
        <v>2.5</v>
      </c>
      <c r="E32" s="43">
        <v>0.23</v>
      </c>
      <c r="F32" s="43">
        <f>F30</f>
        <v>4</v>
      </c>
      <c r="G32" s="43">
        <f>F32*E32*D32*C32</f>
        <v>7.3600000000000012</v>
      </c>
      <c r="H32" s="73" t="s">
        <v>51</v>
      </c>
      <c r="I32" s="94">
        <v>950</v>
      </c>
      <c r="J32" s="189">
        <f t="shared" si="2"/>
        <v>6992.0000000000009</v>
      </c>
    </row>
    <row r="33" spans="1:10" ht="15.75" x14ac:dyDescent="0.25">
      <c r="A33" s="41"/>
      <c r="B33" s="42" t="s">
        <v>53</v>
      </c>
      <c r="C33" s="43">
        <v>3.2</v>
      </c>
      <c r="D33" s="66">
        <v>2.5</v>
      </c>
      <c r="E33" s="43">
        <v>0.1</v>
      </c>
      <c r="F33" s="43">
        <f>F30</f>
        <v>4</v>
      </c>
      <c r="G33" s="43">
        <f>F33*E33*D33*C33</f>
        <v>3.2</v>
      </c>
      <c r="H33" s="73" t="s">
        <v>51</v>
      </c>
      <c r="I33" s="94">
        <v>3535.97</v>
      </c>
      <c r="J33" s="189">
        <f t="shared" si="2"/>
        <v>11315.103999999999</v>
      </c>
    </row>
    <row r="34" spans="1:10" ht="15.75" x14ac:dyDescent="0.25">
      <c r="A34" s="41"/>
      <c r="B34" s="42" t="s">
        <v>54</v>
      </c>
      <c r="C34" s="43">
        <v>3</v>
      </c>
      <c r="D34" s="66">
        <v>2.2000000000000002</v>
      </c>
      <c r="E34" s="43">
        <v>0.95</v>
      </c>
      <c r="F34" s="43">
        <f>F30</f>
        <v>4</v>
      </c>
      <c r="G34" s="43">
        <f>F34*E34*D34*C34</f>
        <v>25.08</v>
      </c>
      <c r="H34" s="73" t="s">
        <v>51</v>
      </c>
      <c r="I34" s="94"/>
      <c r="J34" s="189">
        <f t="shared" si="2"/>
        <v>0</v>
      </c>
    </row>
    <row r="35" spans="1:10" ht="15.75" x14ac:dyDescent="0.25">
      <c r="A35" s="41"/>
      <c r="B35" s="42"/>
      <c r="C35" s="43"/>
      <c r="D35" s="66"/>
      <c r="E35" s="43"/>
      <c r="F35" s="160" t="s">
        <v>37</v>
      </c>
      <c r="G35" s="43">
        <f>G34</f>
        <v>25.08</v>
      </c>
      <c r="H35" s="73" t="s">
        <v>51</v>
      </c>
      <c r="I35" s="94">
        <v>5329.43</v>
      </c>
      <c r="J35" s="189">
        <f t="shared" si="2"/>
        <v>133662.10440000001</v>
      </c>
    </row>
    <row r="36" spans="1:10" ht="15.75" x14ac:dyDescent="0.25">
      <c r="A36" s="41"/>
      <c r="B36" s="42" t="s">
        <v>55</v>
      </c>
      <c r="C36" s="43">
        <f>G35</f>
        <v>25.08</v>
      </c>
      <c r="D36" s="66"/>
      <c r="E36" s="43"/>
      <c r="F36" s="43">
        <v>8</v>
      </c>
      <c r="G36" s="43">
        <f>F36*C36</f>
        <v>200.64</v>
      </c>
      <c r="H36" s="73" t="s">
        <v>36</v>
      </c>
      <c r="I36" s="94">
        <v>529.89</v>
      </c>
      <c r="J36" s="189">
        <f t="shared" si="2"/>
        <v>106317.12959999999</v>
      </c>
    </row>
    <row r="37" spans="1:10" ht="15.75" x14ac:dyDescent="0.25">
      <c r="A37" s="41"/>
      <c r="B37" s="42" t="s">
        <v>5</v>
      </c>
      <c r="C37" s="43">
        <f>G35</f>
        <v>25.08</v>
      </c>
      <c r="D37" s="66"/>
      <c r="E37" s="43"/>
      <c r="F37" s="43">
        <v>125</v>
      </c>
      <c r="G37" s="43">
        <f>F37*C37</f>
        <v>3135</v>
      </c>
      <c r="H37" s="73" t="s">
        <v>56</v>
      </c>
      <c r="I37" s="94">
        <v>66.239999999999995</v>
      </c>
      <c r="J37" s="189">
        <f t="shared" si="2"/>
        <v>207662.4</v>
      </c>
    </row>
    <row r="38" spans="1:10" ht="15.75" x14ac:dyDescent="0.25">
      <c r="A38" s="41"/>
      <c r="B38" s="42" t="s">
        <v>44</v>
      </c>
      <c r="C38" s="43">
        <f>G30-G32-G33-G34</f>
        <v>41.160000000000011</v>
      </c>
      <c r="D38" s="66"/>
      <c r="E38" s="43"/>
      <c r="F38" s="43">
        <v>1</v>
      </c>
      <c r="G38" s="43">
        <f>F38*C38</f>
        <v>41.160000000000011</v>
      </c>
      <c r="H38" s="73" t="s">
        <v>51</v>
      </c>
      <c r="I38" s="94">
        <v>183.42</v>
      </c>
      <c r="J38" s="189">
        <f t="shared" si="2"/>
        <v>7549.5672000000013</v>
      </c>
    </row>
    <row r="39" spans="1:10" ht="15.75" x14ac:dyDescent="0.25">
      <c r="A39" s="41"/>
      <c r="B39" s="42" t="s">
        <v>57</v>
      </c>
      <c r="C39" s="43">
        <v>8</v>
      </c>
      <c r="D39" s="66"/>
      <c r="E39" s="43"/>
      <c r="F39" s="43">
        <v>1</v>
      </c>
      <c r="G39" s="43">
        <f>F39*C39</f>
        <v>8</v>
      </c>
      <c r="H39" s="73" t="s">
        <v>9</v>
      </c>
      <c r="I39" s="94">
        <v>400</v>
      </c>
      <c r="J39" s="189">
        <f t="shared" si="2"/>
        <v>3200</v>
      </c>
    </row>
    <row r="40" spans="1:10" ht="15.75" x14ac:dyDescent="0.25">
      <c r="A40" s="41"/>
      <c r="B40" s="42" t="s">
        <v>58</v>
      </c>
      <c r="C40" s="43">
        <v>0.15</v>
      </c>
      <c r="D40" s="66">
        <v>0.15</v>
      </c>
      <c r="E40" s="43">
        <v>0.4</v>
      </c>
      <c r="F40" s="43">
        <f>G39</f>
        <v>8</v>
      </c>
      <c r="G40" s="66">
        <f>C40*D40*E40*F40</f>
        <v>7.1999999999999995E-2</v>
      </c>
      <c r="H40" s="73" t="s">
        <v>51</v>
      </c>
      <c r="I40" s="94">
        <v>110053</v>
      </c>
      <c r="J40" s="189">
        <f t="shared" si="2"/>
        <v>7923.8159999999998</v>
      </c>
    </row>
    <row r="41" spans="1:10" ht="15.75" x14ac:dyDescent="0.25">
      <c r="A41" s="41"/>
      <c r="B41" s="42"/>
      <c r="C41" s="43"/>
      <c r="D41" s="66"/>
      <c r="E41" s="43"/>
      <c r="F41" s="43"/>
      <c r="G41" s="368" t="s">
        <v>144</v>
      </c>
      <c r="H41" s="368"/>
      <c r="I41" s="368"/>
      <c r="J41" s="312">
        <f>SUM(J3:J40)</f>
        <v>3050942.8232000005</v>
      </c>
    </row>
  </sheetData>
  <mergeCells count="4">
    <mergeCell ref="E21:F21"/>
    <mergeCell ref="E27:F27"/>
    <mergeCell ref="G41:I41"/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0" sqref="C20"/>
    </sheetView>
  </sheetViews>
  <sheetFormatPr defaultRowHeight="15" x14ac:dyDescent="0.25"/>
  <cols>
    <col min="1" max="1" width="6.42578125" bestFit="1" customWidth="1"/>
    <col min="2" max="2" width="62.85546875" bestFit="1" customWidth="1"/>
    <col min="3" max="3" width="7" bestFit="1" customWidth="1"/>
    <col min="4" max="4" width="7.28515625" bestFit="1" customWidth="1"/>
    <col min="5" max="5" width="6.28515625" bestFit="1" customWidth="1"/>
    <col min="6" max="6" width="6.85546875" bestFit="1" customWidth="1"/>
    <col min="7" max="7" width="14.140625" bestFit="1" customWidth="1"/>
    <col min="8" max="8" width="5.28515625" bestFit="1" customWidth="1"/>
    <col min="9" max="9" width="11.28515625" bestFit="1" customWidth="1"/>
    <col min="10" max="10" width="11.85546875" bestFit="1" customWidth="1"/>
  </cols>
  <sheetData>
    <row r="1" spans="1:10" ht="26.25" x14ac:dyDescent="0.4">
      <c r="A1" s="374" t="s">
        <v>273</v>
      </c>
      <c r="B1" s="375"/>
      <c r="C1" s="375"/>
      <c r="D1" s="375"/>
      <c r="E1" s="375"/>
      <c r="F1" s="375"/>
      <c r="G1" s="375"/>
      <c r="H1" s="375"/>
      <c r="I1" s="375"/>
      <c r="J1" s="376"/>
    </row>
    <row r="2" spans="1:10" x14ac:dyDescent="0.25">
      <c r="A2" s="207" t="s">
        <v>274</v>
      </c>
      <c r="B2" s="208" t="s">
        <v>0</v>
      </c>
      <c r="C2" s="207" t="s">
        <v>9</v>
      </c>
      <c r="D2" s="207" t="s">
        <v>113</v>
      </c>
      <c r="E2" s="207" t="s">
        <v>110</v>
      </c>
      <c r="F2" s="207" t="s">
        <v>111</v>
      </c>
      <c r="G2" s="207" t="s">
        <v>112</v>
      </c>
      <c r="H2" s="207" t="s">
        <v>1</v>
      </c>
      <c r="I2" s="207" t="s">
        <v>3</v>
      </c>
      <c r="J2" s="207" t="s">
        <v>10</v>
      </c>
    </row>
    <row r="3" spans="1:10" s="28" customFormat="1" ht="15.75" x14ac:dyDescent="0.25">
      <c r="A3" s="45" t="s">
        <v>95</v>
      </c>
      <c r="B3" s="29" t="s">
        <v>69</v>
      </c>
      <c r="C3" s="181"/>
      <c r="D3" s="67"/>
      <c r="E3" s="46"/>
      <c r="F3" s="46"/>
      <c r="G3" s="46"/>
      <c r="H3" s="78"/>
      <c r="I3" s="96"/>
      <c r="J3" s="68"/>
    </row>
    <row r="4" spans="1:10" s="28" customFormat="1" ht="15.75" x14ac:dyDescent="0.25">
      <c r="A4" s="30"/>
      <c r="B4" s="34" t="s">
        <v>324</v>
      </c>
      <c r="C4" s="6">
        <v>0</v>
      </c>
      <c r="D4" s="6"/>
      <c r="E4" s="46"/>
      <c r="F4" s="46"/>
      <c r="G4" s="70">
        <f>C4</f>
        <v>0</v>
      </c>
      <c r="H4" s="74" t="s">
        <v>4</v>
      </c>
      <c r="I4" s="21">
        <v>305703.42</v>
      </c>
      <c r="J4" s="70">
        <f>G4*I4</f>
        <v>0</v>
      </c>
    </row>
    <row r="5" spans="1:10" s="28" customFormat="1" ht="15.75" x14ac:dyDescent="0.25">
      <c r="A5" s="30"/>
      <c r="B5" s="34" t="s">
        <v>70</v>
      </c>
      <c r="C5" s="6">
        <v>0</v>
      </c>
      <c r="D5" s="6"/>
      <c r="E5" s="46"/>
      <c r="F5" s="46"/>
      <c r="G5" s="70">
        <f>C5</f>
        <v>0</v>
      </c>
      <c r="H5" s="74" t="s">
        <v>4</v>
      </c>
      <c r="I5" s="21">
        <v>229277.57</v>
      </c>
      <c r="J5" s="70">
        <f t="shared" ref="J5:J16" si="0">G5*I5</f>
        <v>0</v>
      </c>
    </row>
    <row r="6" spans="1:10" s="28" customFormat="1" ht="15.75" x14ac:dyDescent="0.25">
      <c r="A6" s="30"/>
      <c r="B6" s="34" t="s">
        <v>71</v>
      </c>
      <c r="C6" s="6">
        <v>0</v>
      </c>
      <c r="D6" s="6">
        <v>18</v>
      </c>
      <c r="E6" s="46"/>
      <c r="F6" s="46"/>
      <c r="G6" s="70">
        <f>C6*D6</f>
        <v>0</v>
      </c>
      <c r="H6" s="74" t="s">
        <v>39</v>
      </c>
      <c r="I6" s="21">
        <v>2394.6799999999998</v>
      </c>
      <c r="J6" s="70">
        <f t="shared" si="0"/>
        <v>0</v>
      </c>
    </row>
    <row r="7" spans="1:10" s="28" customFormat="1" ht="15.75" x14ac:dyDescent="0.25">
      <c r="A7" s="30"/>
      <c r="B7" s="34" t="s">
        <v>31</v>
      </c>
      <c r="C7" s="6">
        <f>C6</f>
        <v>0</v>
      </c>
      <c r="D7" s="6"/>
      <c r="E7" s="46"/>
      <c r="F7" s="46"/>
      <c r="G7" s="70">
        <f>C7</f>
        <v>0</v>
      </c>
      <c r="H7" s="74" t="s">
        <v>67</v>
      </c>
      <c r="I7" s="21">
        <v>509.51</v>
      </c>
      <c r="J7" s="70">
        <f t="shared" si="0"/>
        <v>0</v>
      </c>
    </row>
    <row r="8" spans="1:10" s="28" customFormat="1" ht="15.75" x14ac:dyDescent="0.25">
      <c r="A8" s="30"/>
      <c r="B8" s="37" t="s">
        <v>32</v>
      </c>
      <c r="C8" s="6">
        <f>C6</f>
        <v>0</v>
      </c>
      <c r="D8" s="6"/>
      <c r="E8" s="46"/>
      <c r="F8" s="46"/>
      <c r="G8" s="70">
        <f>C8</f>
        <v>0</v>
      </c>
      <c r="H8" s="74" t="s">
        <v>67</v>
      </c>
      <c r="I8" s="21">
        <v>1273.76</v>
      </c>
      <c r="J8" s="70">
        <f t="shared" si="0"/>
        <v>0</v>
      </c>
    </row>
    <row r="9" spans="1:10" ht="15.75" x14ac:dyDescent="0.25">
      <c r="A9" s="212">
        <v>1</v>
      </c>
      <c r="B9" s="211" t="s">
        <v>338</v>
      </c>
      <c r="C9" s="207"/>
      <c r="D9" s="207"/>
      <c r="E9" s="207"/>
      <c r="F9" s="207"/>
      <c r="G9" s="207"/>
      <c r="H9" s="207"/>
      <c r="I9" s="207"/>
      <c r="J9" s="70">
        <f t="shared" si="0"/>
        <v>0</v>
      </c>
    </row>
    <row r="10" spans="1:10" ht="15.75" x14ac:dyDescent="0.25">
      <c r="A10" s="213"/>
      <c r="B10" s="206" t="s">
        <v>263</v>
      </c>
      <c r="C10" s="206">
        <v>45</v>
      </c>
      <c r="D10" s="209">
        <v>2</v>
      </c>
      <c r="E10" s="210"/>
      <c r="F10" s="2"/>
      <c r="G10" s="209">
        <f>C10*D10</f>
        <v>90</v>
      </c>
      <c r="H10" s="206" t="s">
        <v>67</v>
      </c>
      <c r="I10" s="206">
        <v>35000</v>
      </c>
      <c r="J10" s="70">
        <f t="shared" si="0"/>
        <v>3150000</v>
      </c>
    </row>
    <row r="11" spans="1:10" ht="15.75" x14ac:dyDescent="0.25">
      <c r="A11" s="213"/>
      <c r="B11" s="206" t="s">
        <v>275</v>
      </c>
      <c r="C11" s="206">
        <f>29.5+21+20.25+62+46.5+6.7+20.64</f>
        <v>206.58999999999997</v>
      </c>
      <c r="D11" s="209">
        <v>3</v>
      </c>
      <c r="E11" s="210">
        <v>150</v>
      </c>
      <c r="F11" s="2"/>
      <c r="G11" s="209">
        <f>C11*D11*E11</f>
        <v>92965.5</v>
      </c>
      <c r="H11" s="206" t="s">
        <v>56</v>
      </c>
      <c r="I11" s="206">
        <v>81.52</v>
      </c>
      <c r="J11" s="70">
        <f t="shared" si="0"/>
        <v>7578547.5599999996</v>
      </c>
    </row>
    <row r="12" spans="1:10" ht="15.75" x14ac:dyDescent="0.25">
      <c r="A12" s="213"/>
      <c r="B12" s="206" t="s">
        <v>276</v>
      </c>
      <c r="C12" s="206"/>
      <c r="D12" s="209">
        <v>35</v>
      </c>
      <c r="E12" s="210">
        <f>G11/1000</f>
        <v>92.965500000000006</v>
      </c>
      <c r="F12" s="2"/>
      <c r="G12" s="209">
        <f>D12*E12</f>
        <v>3253.7925</v>
      </c>
      <c r="H12" s="206" t="s">
        <v>36</v>
      </c>
      <c r="I12" s="206">
        <v>870</v>
      </c>
      <c r="J12" s="70">
        <f t="shared" si="0"/>
        <v>2830799.4750000001</v>
      </c>
    </row>
    <row r="13" spans="1:10" ht="15.75" x14ac:dyDescent="0.25">
      <c r="A13" s="214">
        <v>2</v>
      </c>
      <c r="B13" s="215" t="s">
        <v>339</v>
      </c>
      <c r="C13" s="206"/>
      <c r="D13" s="209"/>
      <c r="E13" s="210"/>
      <c r="F13" s="2"/>
      <c r="G13" s="209"/>
      <c r="H13" s="206"/>
      <c r="I13" s="206"/>
      <c r="J13" s="70">
        <f t="shared" si="0"/>
        <v>0</v>
      </c>
    </row>
    <row r="14" spans="1:10" ht="15.75" x14ac:dyDescent="0.25">
      <c r="A14" s="213"/>
      <c r="B14" s="206" t="s">
        <v>263</v>
      </c>
      <c r="C14" s="206">
        <v>6</v>
      </c>
      <c r="D14" s="209">
        <v>2</v>
      </c>
      <c r="E14" s="210"/>
      <c r="F14" s="2"/>
      <c r="G14" s="209">
        <f>C14*D14</f>
        <v>12</v>
      </c>
      <c r="H14" s="206" t="s">
        <v>67</v>
      </c>
      <c r="I14" s="206">
        <v>25000</v>
      </c>
      <c r="J14" s="70">
        <f t="shared" si="0"/>
        <v>300000</v>
      </c>
    </row>
    <row r="15" spans="1:10" ht="15.75" x14ac:dyDescent="0.25">
      <c r="A15" s="213"/>
      <c r="B15" s="206" t="s">
        <v>275</v>
      </c>
      <c r="C15" s="206">
        <v>30</v>
      </c>
      <c r="D15" s="209">
        <v>3</v>
      </c>
      <c r="E15" s="210">
        <v>75</v>
      </c>
      <c r="F15" s="2"/>
      <c r="G15" s="209">
        <f>C15*D15*E15</f>
        <v>6750</v>
      </c>
      <c r="H15" s="206" t="s">
        <v>56</v>
      </c>
      <c r="I15" s="206">
        <v>81.52</v>
      </c>
      <c r="J15" s="70">
        <f t="shared" si="0"/>
        <v>550260</v>
      </c>
    </row>
    <row r="16" spans="1:10" ht="15.75" x14ac:dyDescent="0.25">
      <c r="A16" s="206"/>
      <c r="B16" s="206" t="s">
        <v>276</v>
      </c>
      <c r="C16" s="206"/>
      <c r="D16" s="209">
        <v>35</v>
      </c>
      <c r="E16" s="210">
        <f>G15/1000</f>
        <v>6.75</v>
      </c>
      <c r="F16" s="2"/>
      <c r="G16" s="209">
        <f>D16*E16</f>
        <v>236.25</v>
      </c>
      <c r="H16" s="206" t="s">
        <v>36</v>
      </c>
      <c r="I16" s="206">
        <v>870</v>
      </c>
      <c r="J16" s="70">
        <f t="shared" si="0"/>
        <v>205537.5</v>
      </c>
    </row>
    <row r="17" spans="1:10" x14ac:dyDescent="0.25">
      <c r="A17" s="2"/>
      <c r="B17" s="2"/>
      <c r="C17" s="2"/>
      <c r="D17" s="2"/>
      <c r="E17" s="2"/>
      <c r="F17" s="2"/>
      <c r="G17" s="371" t="s">
        <v>66</v>
      </c>
      <c r="H17" s="372"/>
      <c r="I17" s="373"/>
      <c r="J17" s="313">
        <f>SUM(J4:J16)</f>
        <v>14615144.534999998</v>
      </c>
    </row>
  </sheetData>
  <mergeCells count="2">
    <mergeCell ref="G17:I17"/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7" sqref="E17"/>
    </sheetView>
  </sheetViews>
  <sheetFormatPr defaultRowHeight="15" x14ac:dyDescent="0.25"/>
  <cols>
    <col min="1" max="1" width="7.42578125" bestFit="1" customWidth="1"/>
    <col min="2" max="2" width="53.5703125" bestFit="1" customWidth="1"/>
    <col min="4" max="4" width="7.7109375" bestFit="1" customWidth="1"/>
    <col min="10" max="10" width="13.140625" bestFit="1" customWidth="1"/>
  </cols>
  <sheetData>
    <row r="1" spans="1:11" ht="26.25" x14ac:dyDescent="0.4">
      <c r="A1" s="377" t="s">
        <v>394</v>
      </c>
      <c r="B1" s="377"/>
      <c r="C1" s="377"/>
      <c r="D1" s="377"/>
      <c r="E1" s="377"/>
      <c r="F1" s="377"/>
      <c r="G1" s="377"/>
      <c r="H1" s="377"/>
      <c r="I1" s="377"/>
      <c r="J1" s="377"/>
    </row>
    <row r="2" spans="1:11" ht="15.75" x14ac:dyDescent="0.25">
      <c r="A2" s="222" t="s">
        <v>277</v>
      </c>
      <c r="B2" s="222" t="s">
        <v>0</v>
      </c>
      <c r="C2" s="222" t="s">
        <v>278</v>
      </c>
      <c r="D2" s="222" t="s">
        <v>113</v>
      </c>
      <c r="E2" s="222" t="s">
        <v>110</v>
      </c>
      <c r="F2" s="222" t="s">
        <v>111</v>
      </c>
      <c r="G2" s="222" t="s">
        <v>112</v>
      </c>
      <c r="H2" s="222" t="s">
        <v>1</v>
      </c>
      <c r="I2" s="222" t="s">
        <v>3</v>
      </c>
      <c r="J2" s="222" t="s">
        <v>10</v>
      </c>
      <c r="K2" s="225"/>
    </row>
    <row r="3" spans="1:11" s="28" customFormat="1" ht="15.75" x14ac:dyDescent="0.25">
      <c r="A3" s="216" t="s">
        <v>95</v>
      </c>
      <c r="B3" s="29" t="s">
        <v>69</v>
      </c>
      <c r="C3" s="217"/>
      <c r="D3" s="218"/>
      <c r="E3" s="46"/>
      <c r="F3" s="46"/>
      <c r="G3" s="46"/>
      <c r="H3" s="224"/>
      <c r="I3" s="96"/>
      <c r="J3" s="68"/>
      <c r="K3" s="202"/>
    </row>
    <row r="4" spans="1:11" s="28" customFormat="1" ht="15.75" x14ac:dyDescent="0.25">
      <c r="A4" s="219"/>
      <c r="B4" s="34" t="s">
        <v>324</v>
      </c>
      <c r="C4" s="188">
        <v>0</v>
      </c>
      <c r="D4" s="188"/>
      <c r="E4" s="46"/>
      <c r="F4" s="46"/>
      <c r="G4" s="70">
        <f>C4</f>
        <v>0</v>
      </c>
      <c r="H4" s="216" t="s">
        <v>4</v>
      </c>
      <c r="I4" s="220">
        <v>305703.42</v>
      </c>
      <c r="J4" s="70">
        <f>G4*I4</f>
        <v>0</v>
      </c>
      <c r="K4" s="202"/>
    </row>
    <row r="5" spans="1:11" s="28" customFormat="1" ht="15.75" x14ac:dyDescent="0.25">
      <c r="A5" s="219"/>
      <c r="B5" s="34" t="s">
        <v>70</v>
      </c>
      <c r="C5" s="188">
        <v>0</v>
      </c>
      <c r="D5" s="188"/>
      <c r="E5" s="46"/>
      <c r="F5" s="46"/>
      <c r="G5" s="70">
        <f>C5</f>
        <v>0</v>
      </c>
      <c r="H5" s="216" t="s">
        <v>4</v>
      </c>
      <c r="I5" s="220">
        <v>229277.57</v>
      </c>
      <c r="J5" s="70">
        <f t="shared" ref="J5:J8" si="0">G5*I5</f>
        <v>0</v>
      </c>
      <c r="K5" s="202"/>
    </row>
    <row r="6" spans="1:11" s="28" customFormat="1" ht="15.75" x14ac:dyDescent="0.25">
      <c r="A6" s="219"/>
      <c r="B6" s="34" t="s">
        <v>71</v>
      </c>
      <c r="C6" s="188">
        <v>25</v>
      </c>
      <c r="D6" s="188">
        <v>18</v>
      </c>
      <c r="E6" s="46"/>
      <c r="F6" s="46"/>
      <c r="G6" s="70">
        <f>C6*D6</f>
        <v>450</v>
      </c>
      <c r="H6" s="216" t="s">
        <v>39</v>
      </c>
      <c r="I6" s="220">
        <v>2394.6799999999998</v>
      </c>
      <c r="J6" s="70">
        <f t="shared" si="0"/>
        <v>1077606</v>
      </c>
      <c r="K6" s="202"/>
    </row>
    <row r="7" spans="1:11" s="28" customFormat="1" ht="15.75" x14ac:dyDescent="0.25">
      <c r="A7" s="219"/>
      <c r="B7" s="34" t="s">
        <v>31</v>
      </c>
      <c r="C7" s="188">
        <f>C6</f>
        <v>25</v>
      </c>
      <c r="D7" s="188"/>
      <c r="E7" s="46"/>
      <c r="F7" s="46"/>
      <c r="G7" s="70">
        <f>C7</f>
        <v>25</v>
      </c>
      <c r="H7" s="216" t="s">
        <v>67</v>
      </c>
      <c r="I7" s="220">
        <v>509.51</v>
      </c>
      <c r="J7" s="70">
        <f t="shared" si="0"/>
        <v>12737.75</v>
      </c>
      <c r="K7" s="202"/>
    </row>
    <row r="8" spans="1:11" s="28" customFormat="1" ht="15.75" x14ac:dyDescent="0.25">
      <c r="A8" s="219"/>
      <c r="B8" s="221" t="s">
        <v>32</v>
      </c>
      <c r="C8" s="188">
        <f>C6</f>
        <v>25</v>
      </c>
      <c r="D8" s="188"/>
      <c r="E8" s="46"/>
      <c r="F8" s="46"/>
      <c r="G8" s="70">
        <f>C8</f>
        <v>25</v>
      </c>
      <c r="H8" s="216" t="s">
        <v>67</v>
      </c>
      <c r="I8" s="220">
        <v>1273.76</v>
      </c>
      <c r="J8" s="70">
        <f t="shared" si="0"/>
        <v>31844</v>
      </c>
      <c r="K8" s="202"/>
    </row>
    <row r="9" spans="1:11" ht="15.75" x14ac:dyDescent="0.25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5"/>
    </row>
    <row r="10" spans="1:11" ht="15.75" x14ac:dyDescent="0.25">
      <c r="A10" s="225"/>
      <c r="B10" s="225" t="s">
        <v>280</v>
      </c>
      <c r="C10" s="225">
        <v>1</v>
      </c>
      <c r="D10" s="225">
        <v>34</v>
      </c>
      <c r="E10" s="225">
        <v>33.200000000000003</v>
      </c>
      <c r="F10" s="225"/>
      <c r="G10" s="225">
        <f>C10*D10*E10</f>
        <v>1128.8000000000002</v>
      </c>
      <c r="H10" s="225" t="s">
        <v>36</v>
      </c>
      <c r="I10" s="225">
        <v>15000</v>
      </c>
      <c r="J10" s="225">
        <f t="shared" ref="J10:J15" si="1">G10*I10</f>
        <v>16932000.000000004</v>
      </c>
      <c r="K10" s="225"/>
    </row>
    <row r="11" spans="1:11" ht="15.75" x14ac:dyDescent="0.25">
      <c r="A11" s="225"/>
      <c r="B11" s="225" t="s">
        <v>281</v>
      </c>
      <c r="C11" s="225">
        <v>1</v>
      </c>
      <c r="D11" s="225">
        <v>48</v>
      </c>
      <c r="E11" s="225">
        <v>18</v>
      </c>
      <c r="F11" s="225"/>
      <c r="G11" s="225">
        <f>C11*D11*E11</f>
        <v>864</v>
      </c>
      <c r="H11" s="225" t="s">
        <v>36</v>
      </c>
      <c r="I11" s="225">
        <v>10000</v>
      </c>
      <c r="J11" s="225">
        <f t="shared" si="1"/>
        <v>8640000</v>
      </c>
      <c r="K11" s="225"/>
    </row>
    <row r="12" spans="1:11" ht="15.75" x14ac:dyDescent="0.25">
      <c r="A12" s="225"/>
      <c r="B12" s="225" t="s">
        <v>282</v>
      </c>
      <c r="C12" s="225">
        <v>3</v>
      </c>
      <c r="D12" s="225">
        <v>3</v>
      </c>
      <c r="E12" s="225">
        <v>5</v>
      </c>
      <c r="F12" s="225"/>
      <c r="G12" s="225">
        <f t="shared" ref="G12:G15" si="2">C12*D12*E12</f>
        <v>45</v>
      </c>
      <c r="H12" s="225" t="s">
        <v>36</v>
      </c>
      <c r="I12" s="225">
        <v>10000</v>
      </c>
      <c r="J12" s="225">
        <f t="shared" si="1"/>
        <v>450000</v>
      </c>
      <c r="K12" s="225"/>
    </row>
    <row r="13" spans="1:11" ht="15.75" x14ac:dyDescent="0.25">
      <c r="A13" s="225"/>
      <c r="B13" s="225" t="s">
        <v>283</v>
      </c>
      <c r="C13" s="225">
        <v>1</v>
      </c>
      <c r="D13" s="225">
        <v>10</v>
      </c>
      <c r="E13" s="225">
        <v>5</v>
      </c>
      <c r="F13" s="225"/>
      <c r="G13" s="225">
        <f t="shared" si="2"/>
        <v>50</v>
      </c>
      <c r="H13" s="225" t="s">
        <v>36</v>
      </c>
      <c r="I13" s="225">
        <v>15000</v>
      </c>
      <c r="J13" s="225">
        <f t="shared" si="1"/>
        <v>750000</v>
      </c>
      <c r="K13" s="225"/>
    </row>
    <row r="14" spans="1:11" ht="15.75" x14ac:dyDescent="0.25">
      <c r="A14" s="225"/>
      <c r="B14" s="225" t="s">
        <v>284</v>
      </c>
      <c r="C14" s="225">
        <v>4</v>
      </c>
      <c r="D14" s="225"/>
      <c r="E14" s="225"/>
      <c r="F14" s="226"/>
      <c r="G14" s="225">
        <f>C14</f>
        <v>4</v>
      </c>
      <c r="H14" s="227" t="s">
        <v>67</v>
      </c>
      <c r="I14" s="227">
        <v>50000</v>
      </c>
      <c r="J14" s="225">
        <f t="shared" si="1"/>
        <v>200000</v>
      </c>
      <c r="K14" s="225"/>
    </row>
    <row r="15" spans="1:11" ht="15.75" x14ac:dyDescent="0.25">
      <c r="A15" s="225"/>
      <c r="B15" s="229" t="s">
        <v>285</v>
      </c>
      <c r="C15" s="225">
        <v>1</v>
      </c>
      <c r="D15" s="225">
        <v>31</v>
      </c>
      <c r="E15" s="225">
        <v>17</v>
      </c>
      <c r="F15" s="228"/>
      <c r="G15" s="225">
        <f t="shared" si="2"/>
        <v>527</v>
      </c>
      <c r="H15" s="225" t="s">
        <v>36</v>
      </c>
      <c r="I15" s="225">
        <v>15000</v>
      </c>
      <c r="J15" s="225">
        <f t="shared" si="1"/>
        <v>7905000</v>
      </c>
      <c r="K15" s="225"/>
    </row>
    <row r="16" spans="1:11" ht="15.75" x14ac:dyDescent="0.25">
      <c r="A16" s="225"/>
      <c r="B16" s="225"/>
      <c r="C16" s="225"/>
      <c r="D16" s="225"/>
      <c r="E16" s="225"/>
      <c r="F16" s="314" t="s">
        <v>279</v>
      </c>
      <c r="G16" s="314"/>
      <c r="H16" s="314"/>
      <c r="I16" s="314"/>
      <c r="J16" s="315">
        <f>SUM(J4:J15)</f>
        <v>35999187.75</v>
      </c>
      <c r="K16" s="316"/>
    </row>
  </sheetData>
  <mergeCells count="1">
    <mergeCell ref="A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0" sqref="B20"/>
    </sheetView>
  </sheetViews>
  <sheetFormatPr defaultRowHeight="15" x14ac:dyDescent="0.25"/>
  <cols>
    <col min="1" max="1" width="6.28515625" bestFit="1" customWidth="1"/>
    <col min="2" max="2" width="62.85546875" bestFit="1" customWidth="1"/>
    <col min="4" max="4" width="7" bestFit="1" customWidth="1"/>
    <col min="5" max="5" width="6.5703125" bestFit="1" customWidth="1"/>
    <col min="6" max="6" width="6.85546875" bestFit="1" customWidth="1"/>
    <col min="7" max="7" width="7.28515625" bestFit="1" customWidth="1"/>
    <col min="8" max="8" width="5" bestFit="1" customWidth="1"/>
    <col min="9" max="9" width="11.42578125" bestFit="1" customWidth="1"/>
    <col min="10" max="11" width="15" bestFit="1" customWidth="1"/>
  </cols>
  <sheetData>
    <row r="1" spans="1:11" ht="26.25" x14ac:dyDescent="0.4">
      <c r="A1" s="378" t="s">
        <v>395</v>
      </c>
      <c r="B1" s="378"/>
      <c r="C1" s="378"/>
      <c r="D1" s="378"/>
      <c r="E1" s="378"/>
      <c r="F1" s="378"/>
      <c r="G1" s="378"/>
      <c r="H1" s="378"/>
    </row>
    <row r="2" spans="1:11" x14ac:dyDescent="0.25">
      <c r="A2" s="1" t="s">
        <v>115</v>
      </c>
      <c r="B2" s="1" t="s">
        <v>294</v>
      </c>
      <c r="C2" s="1" t="s">
        <v>278</v>
      </c>
      <c r="D2" s="1" t="s">
        <v>113</v>
      </c>
      <c r="E2" s="1" t="s">
        <v>110</v>
      </c>
      <c r="F2" s="1" t="s">
        <v>111</v>
      </c>
      <c r="G2" s="1" t="s">
        <v>2</v>
      </c>
      <c r="H2" s="1" t="s">
        <v>1</v>
      </c>
      <c r="I2" s="239" t="s">
        <v>3</v>
      </c>
      <c r="J2" s="239" t="s">
        <v>10</v>
      </c>
      <c r="K2" s="2" t="s">
        <v>107</v>
      </c>
    </row>
    <row r="3" spans="1:11" ht="15.75" x14ac:dyDescent="0.25">
      <c r="A3" s="216" t="s">
        <v>95</v>
      </c>
      <c r="B3" s="29" t="s">
        <v>69</v>
      </c>
      <c r="C3" s="217"/>
      <c r="D3" s="218"/>
      <c r="E3" s="46"/>
      <c r="F3" s="46"/>
      <c r="G3" s="46"/>
      <c r="H3" s="224"/>
      <c r="I3" s="96"/>
      <c r="J3" s="68"/>
      <c r="K3" s="2"/>
    </row>
    <row r="4" spans="1:11" ht="15.75" x14ac:dyDescent="0.25">
      <c r="A4" s="219"/>
      <c r="B4" s="34" t="s">
        <v>324</v>
      </c>
      <c r="C4" s="188">
        <v>0</v>
      </c>
      <c r="D4" s="188"/>
      <c r="E4" s="46"/>
      <c r="F4" s="46"/>
      <c r="G4" s="70">
        <f>C4</f>
        <v>0</v>
      </c>
      <c r="H4" s="216" t="s">
        <v>4</v>
      </c>
      <c r="I4" s="220">
        <v>305703.42</v>
      </c>
      <c r="J4" s="70">
        <f>G4*I4</f>
        <v>0</v>
      </c>
      <c r="K4" s="251"/>
    </row>
    <row r="5" spans="1:11" ht="15.75" x14ac:dyDescent="0.25">
      <c r="A5" s="219"/>
      <c r="B5" s="34" t="s">
        <v>70</v>
      </c>
      <c r="C5" s="188">
        <v>0</v>
      </c>
      <c r="D5" s="188"/>
      <c r="E5" s="46"/>
      <c r="F5" s="46"/>
      <c r="G5" s="70">
        <f>C5</f>
        <v>0</v>
      </c>
      <c r="H5" s="216" t="s">
        <v>4</v>
      </c>
      <c r="I5" s="220">
        <v>229277.57</v>
      </c>
      <c r="J5" s="70">
        <f t="shared" ref="J5:J8" si="0">G5*I5</f>
        <v>0</v>
      </c>
      <c r="K5" s="251"/>
    </row>
    <row r="6" spans="1:11" ht="15.75" x14ac:dyDescent="0.25">
      <c r="A6" s="219"/>
      <c r="B6" s="34" t="s">
        <v>71</v>
      </c>
      <c r="C6" s="188">
        <v>6</v>
      </c>
      <c r="D6" s="188">
        <v>18</v>
      </c>
      <c r="E6" s="46"/>
      <c r="F6" s="46"/>
      <c r="G6" s="70">
        <f>C6*D6</f>
        <v>108</v>
      </c>
      <c r="H6" s="216" t="s">
        <v>39</v>
      </c>
      <c r="I6" s="220">
        <v>2394.6799999999998</v>
      </c>
      <c r="J6" s="70">
        <f t="shared" si="0"/>
        <v>258625.43999999997</v>
      </c>
      <c r="K6" s="251"/>
    </row>
    <row r="7" spans="1:11" ht="15.75" x14ac:dyDescent="0.25">
      <c r="A7" s="219"/>
      <c r="B7" s="34" t="s">
        <v>31</v>
      </c>
      <c r="C7" s="188">
        <f>C6</f>
        <v>6</v>
      </c>
      <c r="D7" s="188"/>
      <c r="E7" s="46"/>
      <c r="F7" s="46"/>
      <c r="G7" s="70">
        <f>C7</f>
        <v>6</v>
      </c>
      <c r="H7" s="216" t="s">
        <v>67</v>
      </c>
      <c r="I7" s="220">
        <v>509.51</v>
      </c>
      <c r="J7" s="70">
        <f t="shared" si="0"/>
        <v>3057.06</v>
      </c>
      <c r="K7" s="251"/>
    </row>
    <row r="8" spans="1:11" ht="15.75" x14ac:dyDescent="0.25">
      <c r="A8" s="219"/>
      <c r="B8" s="221" t="s">
        <v>32</v>
      </c>
      <c r="C8" s="188">
        <f>C6</f>
        <v>6</v>
      </c>
      <c r="D8" s="188"/>
      <c r="E8" s="46"/>
      <c r="F8" s="46"/>
      <c r="G8" s="70">
        <f>C8</f>
        <v>6</v>
      </c>
      <c r="H8" s="216" t="s">
        <v>67</v>
      </c>
      <c r="I8" s="220">
        <v>1273.76</v>
      </c>
      <c r="J8" s="70">
        <f t="shared" si="0"/>
        <v>7642.5599999999995</v>
      </c>
      <c r="K8" s="251"/>
    </row>
    <row r="9" spans="1:11" x14ac:dyDescent="0.25">
      <c r="A9" s="2">
        <v>3</v>
      </c>
      <c r="B9" s="2" t="s">
        <v>295</v>
      </c>
      <c r="C9" s="2">
        <v>1</v>
      </c>
      <c r="D9" s="2"/>
      <c r="E9" s="2"/>
      <c r="F9" s="2"/>
      <c r="G9" s="2">
        <f>30*4.5*1.5</f>
        <v>202.5</v>
      </c>
      <c r="H9" s="2" t="s">
        <v>85</v>
      </c>
      <c r="I9" s="2">
        <v>950</v>
      </c>
      <c r="J9" s="251">
        <f t="shared" ref="J9:J17" si="1">G9*I9</f>
        <v>192375</v>
      </c>
      <c r="K9" s="251"/>
    </row>
    <row r="10" spans="1:11" x14ac:dyDescent="0.25">
      <c r="A10" s="2">
        <v>4</v>
      </c>
      <c r="B10" s="2" t="s">
        <v>341</v>
      </c>
      <c r="C10" s="2">
        <v>1</v>
      </c>
      <c r="D10" s="2"/>
      <c r="E10" s="2"/>
      <c r="F10" s="2"/>
      <c r="G10" s="2">
        <f>9.9*1.1</f>
        <v>10.89</v>
      </c>
      <c r="H10" s="2" t="s">
        <v>40</v>
      </c>
      <c r="I10" s="2">
        <v>3535.97</v>
      </c>
      <c r="J10" s="251">
        <f t="shared" si="1"/>
        <v>38506.713300000003</v>
      </c>
      <c r="K10" s="251"/>
    </row>
    <row r="11" spans="1:11" x14ac:dyDescent="0.25">
      <c r="A11" s="2">
        <v>5</v>
      </c>
      <c r="B11" s="2" t="s">
        <v>296</v>
      </c>
      <c r="C11" s="2">
        <v>1</v>
      </c>
      <c r="D11" s="2"/>
      <c r="E11" s="2"/>
      <c r="F11" s="2"/>
      <c r="G11" s="2">
        <f>44*1.2</f>
        <v>52.8</v>
      </c>
      <c r="H11" s="2" t="s">
        <v>40</v>
      </c>
      <c r="I11" s="2">
        <v>5329.43</v>
      </c>
      <c r="J11" s="251">
        <f t="shared" si="1"/>
        <v>281393.90399999998</v>
      </c>
      <c r="K11" s="251"/>
    </row>
    <row r="12" spans="1:11" x14ac:dyDescent="0.25">
      <c r="A12" s="2">
        <v>6</v>
      </c>
      <c r="B12" s="2" t="s">
        <v>342</v>
      </c>
      <c r="C12" s="2">
        <v>1</v>
      </c>
      <c r="D12" s="2"/>
      <c r="E12" s="2"/>
      <c r="F12" s="2"/>
      <c r="G12" s="2">
        <v>1800</v>
      </c>
      <c r="H12" s="2" t="s">
        <v>56</v>
      </c>
      <c r="I12" s="2">
        <v>66.42</v>
      </c>
      <c r="J12" s="251">
        <f t="shared" si="1"/>
        <v>119556</v>
      </c>
      <c r="K12" s="251"/>
    </row>
    <row r="13" spans="1:11" x14ac:dyDescent="0.25">
      <c r="A13" s="2">
        <v>7</v>
      </c>
      <c r="B13" s="2" t="s">
        <v>343</v>
      </c>
      <c r="C13" s="2">
        <v>1</v>
      </c>
      <c r="D13" s="2"/>
      <c r="E13" s="2"/>
      <c r="F13" s="2"/>
      <c r="G13" s="2">
        <f>64*8</f>
        <v>512</v>
      </c>
      <c r="H13" s="2" t="s">
        <v>85</v>
      </c>
      <c r="I13" s="2">
        <v>718.4</v>
      </c>
      <c r="J13" s="251">
        <f t="shared" si="1"/>
        <v>367820.79999999999</v>
      </c>
      <c r="K13" s="251"/>
    </row>
    <row r="14" spans="1:11" x14ac:dyDescent="0.25">
      <c r="A14" s="2">
        <v>8</v>
      </c>
      <c r="B14" s="2" t="s">
        <v>297</v>
      </c>
      <c r="C14" s="2">
        <v>1</v>
      </c>
      <c r="D14" s="2"/>
      <c r="E14" s="2"/>
      <c r="F14" s="2"/>
      <c r="G14" s="2">
        <v>100</v>
      </c>
      <c r="H14" s="2" t="s">
        <v>56</v>
      </c>
      <c r="I14" s="2">
        <v>81.52</v>
      </c>
      <c r="J14" s="251">
        <f t="shared" si="1"/>
        <v>8152</v>
      </c>
      <c r="K14" s="251"/>
    </row>
    <row r="15" spans="1:11" x14ac:dyDescent="0.25">
      <c r="A15" s="2">
        <v>9</v>
      </c>
      <c r="B15" s="2" t="s">
        <v>340</v>
      </c>
      <c r="C15" s="2">
        <v>1</v>
      </c>
      <c r="D15" s="2"/>
      <c r="E15" s="2"/>
      <c r="F15" s="2"/>
      <c r="G15" s="2">
        <v>0.2</v>
      </c>
      <c r="H15" s="2" t="s">
        <v>40</v>
      </c>
      <c r="I15" s="2">
        <v>100053.2</v>
      </c>
      <c r="J15" s="251">
        <f t="shared" si="1"/>
        <v>20010.64</v>
      </c>
      <c r="K15" s="251"/>
    </row>
    <row r="16" spans="1:11" x14ac:dyDescent="0.25">
      <c r="A16" s="2">
        <v>10</v>
      </c>
      <c r="B16" s="2" t="s">
        <v>298</v>
      </c>
      <c r="C16" s="2">
        <v>1</v>
      </c>
      <c r="D16" s="2"/>
      <c r="E16" s="2"/>
      <c r="F16" s="2"/>
      <c r="G16" s="2">
        <f>D8-G10-G11</f>
        <v>-63.69</v>
      </c>
      <c r="H16" s="2" t="s">
        <v>40</v>
      </c>
      <c r="I16" s="2">
        <v>183.42</v>
      </c>
      <c r="J16" s="251">
        <f t="shared" si="1"/>
        <v>-11682.019799999998</v>
      </c>
      <c r="K16" s="251"/>
    </row>
    <row r="17" spans="1:11" x14ac:dyDescent="0.25">
      <c r="A17" s="2">
        <v>11</v>
      </c>
      <c r="B17" s="2" t="s">
        <v>299</v>
      </c>
      <c r="C17" s="2">
        <v>1</v>
      </c>
      <c r="D17" s="2"/>
      <c r="E17" s="2"/>
      <c r="F17" s="2"/>
      <c r="G17" s="2">
        <v>32</v>
      </c>
      <c r="H17" s="2" t="s">
        <v>67</v>
      </c>
      <c r="I17" s="2">
        <v>400</v>
      </c>
      <c r="J17" s="251">
        <f t="shared" si="1"/>
        <v>12800</v>
      </c>
      <c r="K17" s="251"/>
    </row>
    <row r="18" spans="1:11" ht="18.75" x14ac:dyDescent="0.3">
      <c r="A18" s="2"/>
      <c r="B18" s="2"/>
      <c r="C18" s="2"/>
      <c r="D18" s="2"/>
      <c r="E18" s="2"/>
      <c r="F18" s="379" t="s">
        <v>66</v>
      </c>
      <c r="G18" s="380"/>
      <c r="H18" s="381"/>
      <c r="I18" s="317">
        <v>2</v>
      </c>
      <c r="J18" s="318">
        <f>SUM(J4:J17)</f>
        <v>1298258.0974999999</v>
      </c>
      <c r="K18" s="318">
        <f>I18*J18</f>
        <v>2596516.1949999998</v>
      </c>
    </row>
  </sheetData>
  <mergeCells count="2">
    <mergeCell ref="A1:H1"/>
    <mergeCell ref="F18:H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workbookViewId="0">
      <selection activeCell="L18" sqref="L18"/>
    </sheetView>
  </sheetViews>
  <sheetFormatPr defaultRowHeight="15" x14ac:dyDescent="0.25"/>
  <cols>
    <col min="1" max="1" width="6" bestFit="1" customWidth="1"/>
    <col min="2" max="2" width="56.5703125" bestFit="1" customWidth="1"/>
    <col min="3" max="3" width="6.42578125" bestFit="1" customWidth="1"/>
    <col min="5" max="5" width="6.28515625" bestFit="1" customWidth="1"/>
    <col min="6" max="6" width="6.85546875" bestFit="1" customWidth="1"/>
    <col min="7" max="7" width="8" bestFit="1" customWidth="1"/>
    <col min="8" max="9" width="5.140625" bestFit="1" customWidth="1"/>
    <col min="10" max="10" width="8.85546875" bestFit="1" customWidth="1"/>
  </cols>
  <sheetData>
    <row r="1" spans="1:10" ht="26.25" x14ac:dyDescent="0.4">
      <c r="A1" s="382" t="s">
        <v>346</v>
      </c>
      <c r="B1" s="382"/>
      <c r="C1" s="382"/>
      <c r="D1" s="382"/>
      <c r="E1" s="382"/>
      <c r="F1" s="382"/>
      <c r="G1" s="382"/>
      <c r="H1" s="382"/>
      <c r="I1" s="382"/>
    </row>
    <row r="2" spans="1:10" x14ac:dyDescent="0.25">
      <c r="A2" s="2" t="s">
        <v>67</v>
      </c>
      <c r="B2" s="2" t="s">
        <v>113</v>
      </c>
      <c r="C2" s="2" t="s">
        <v>110</v>
      </c>
      <c r="D2" s="2" t="s">
        <v>345</v>
      </c>
      <c r="E2" s="2" t="s">
        <v>1</v>
      </c>
      <c r="F2" s="2"/>
      <c r="G2" s="2"/>
      <c r="H2" s="2"/>
      <c r="I2" s="2"/>
    </row>
    <row r="3" spans="1:10" x14ac:dyDescent="0.25">
      <c r="A3" s="2">
        <v>1</v>
      </c>
      <c r="B3" s="2">
        <v>151</v>
      </c>
      <c r="C3" s="2">
        <v>6</v>
      </c>
      <c r="D3" s="2">
        <f>A3*B3*C3</f>
        <v>906</v>
      </c>
      <c r="E3" s="2"/>
      <c r="F3" s="2"/>
      <c r="G3" s="2"/>
      <c r="H3" s="2"/>
      <c r="I3" s="2"/>
    </row>
    <row r="4" spans="1:10" x14ac:dyDescent="0.25">
      <c r="A4" s="2">
        <v>1</v>
      </c>
      <c r="B4" s="2">
        <v>76</v>
      </c>
      <c r="C4" s="2">
        <v>10</v>
      </c>
      <c r="D4" s="2">
        <f t="shared" ref="D4:D12" si="0">A4*B4*C4</f>
        <v>760</v>
      </c>
      <c r="E4" s="2"/>
      <c r="F4" s="2"/>
      <c r="G4" s="2"/>
      <c r="H4" s="2"/>
      <c r="I4" s="2"/>
    </row>
    <row r="5" spans="1:10" x14ac:dyDescent="0.25">
      <c r="A5" s="2">
        <v>2</v>
      </c>
      <c r="B5" s="2">
        <v>140</v>
      </c>
      <c r="C5" s="2">
        <v>10</v>
      </c>
      <c r="D5" s="2">
        <f t="shared" si="0"/>
        <v>2800</v>
      </c>
      <c r="E5" s="2"/>
      <c r="F5" s="2"/>
      <c r="G5" s="2"/>
      <c r="H5" s="2"/>
      <c r="I5" s="2"/>
    </row>
    <row r="6" spans="1:10" x14ac:dyDescent="0.25">
      <c r="A6" s="2">
        <v>1</v>
      </c>
      <c r="B6" s="2">
        <v>223</v>
      </c>
      <c r="C6" s="2">
        <v>6</v>
      </c>
      <c r="D6" s="2">
        <f t="shared" si="0"/>
        <v>1338</v>
      </c>
      <c r="E6" s="2"/>
      <c r="F6" s="2"/>
      <c r="G6" s="2"/>
      <c r="H6" s="2"/>
      <c r="I6" s="2"/>
    </row>
    <row r="7" spans="1:10" x14ac:dyDescent="0.25">
      <c r="A7" s="2">
        <v>1</v>
      </c>
      <c r="B7" s="2">
        <v>75</v>
      </c>
      <c r="C7" s="2">
        <v>6</v>
      </c>
      <c r="D7" s="2">
        <f t="shared" si="0"/>
        <v>450</v>
      </c>
      <c r="E7" s="2"/>
      <c r="F7" s="2"/>
      <c r="G7" s="2"/>
      <c r="H7" s="2"/>
      <c r="I7" s="2"/>
    </row>
    <row r="8" spans="1:10" x14ac:dyDescent="0.25">
      <c r="A8" s="2">
        <v>1</v>
      </c>
      <c r="B8" s="2">
        <v>180</v>
      </c>
      <c r="C8" s="2">
        <v>10</v>
      </c>
      <c r="D8" s="2">
        <f t="shared" si="0"/>
        <v>1800</v>
      </c>
      <c r="E8" s="2"/>
      <c r="F8" s="2"/>
      <c r="G8" s="2"/>
      <c r="H8" s="2"/>
      <c r="I8" s="2"/>
    </row>
    <row r="9" spans="1:10" x14ac:dyDescent="0.25">
      <c r="A9" s="2">
        <v>1</v>
      </c>
      <c r="B9" s="2">
        <v>76</v>
      </c>
      <c r="C9" s="2">
        <v>10</v>
      </c>
      <c r="D9" s="2">
        <f t="shared" si="0"/>
        <v>760</v>
      </c>
      <c r="E9" s="2"/>
      <c r="F9" s="2"/>
      <c r="G9" s="2"/>
      <c r="H9" s="2"/>
      <c r="I9" s="2"/>
    </row>
    <row r="10" spans="1:10" x14ac:dyDescent="0.25">
      <c r="A10" s="2">
        <v>1</v>
      </c>
      <c r="B10" s="2">
        <v>52</v>
      </c>
      <c r="C10" s="2">
        <v>12</v>
      </c>
      <c r="D10" s="2">
        <f t="shared" si="0"/>
        <v>624</v>
      </c>
      <c r="E10" s="2"/>
      <c r="F10" s="2"/>
      <c r="G10" s="2"/>
      <c r="H10" s="2"/>
      <c r="I10" s="2"/>
    </row>
    <row r="11" spans="1:10" x14ac:dyDescent="0.25">
      <c r="A11" s="2">
        <v>1</v>
      </c>
      <c r="B11" s="2">
        <v>50</v>
      </c>
      <c r="C11" s="2">
        <v>10</v>
      </c>
      <c r="D11" s="2">
        <f t="shared" si="0"/>
        <v>500</v>
      </c>
      <c r="E11" s="2"/>
      <c r="F11" s="2"/>
      <c r="G11" s="2"/>
      <c r="H11" s="2"/>
      <c r="I11" s="2"/>
    </row>
    <row r="12" spans="1:10" x14ac:dyDescent="0.25">
      <c r="A12" s="2">
        <v>1</v>
      </c>
      <c r="B12" s="2">
        <v>65</v>
      </c>
      <c r="C12" s="2">
        <v>10</v>
      </c>
      <c r="D12" s="2">
        <f t="shared" si="0"/>
        <v>650</v>
      </c>
      <c r="E12" s="2"/>
      <c r="F12" s="2"/>
      <c r="G12" s="2"/>
      <c r="H12" s="2"/>
      <c r="I12" s="2"/>
    </row>
    <row r="13" spans="1:10" x14ac:dyDescent="0.25">
      <c r="A13" s="2"/>
      <c r="B13" s="2"/>
      <c r="C13" s="2" t="s">
        <v>344</v>
      </c>
      <c r="D13" s="2">
        <f>SUM(D3:D12)</f>
        <v>10588</v>
      </c>
      <c r="E13" s="2" t="s">
        <v>201</v>
      </c>
      <c r="F13" s="2"/>
      <c r="G13" s="2"/>
      <c r="H13" s="2"/>
      <c r="I13" s="2"/>
    </row>
    <row r="15" spans="1:10" ht="15.75" x14ac:dyDescent="0.25">
      <c r="A15" s="383" t="s">
        <v>347</v>
      </c>
      <c r="B15" s="383"/>
      <c r="C15" s="383"/>
      <c r="D15" s="383"/>
      <c r="E15" s="383"/>
      <c r="F15" s="383"/>
      <c r="G15" s="383"/>
      <c r="H15" s="383"/>
      <c r="I15" s="383"/>
      <c r="J15" s="383"/>
    </row>
    <row r="16" spans="1:10" x14ac:dyDescent="0.25">
      <c r="A16" s="252" t="s">
        <v>6</v>
      </c>
      <c r="B16" s="252" t="s">
        <v>348</v>
      </c>
      <c r="C16" s="252" t="s">
        <v>9</v>
      </c>
      <c r="D16" s="252" t="s">
        <v>113</v>
      </c>
      <c r="E16" s="252" t="s">
        <v>110</v>
      </c>
      <c r="F16" s="252" t="s">
        <v>111</v>
      </c>
      <c r="G16" s="252" t="s">
        <v>2</v>
      </c>
      <c r="H16" s="252" t="s">
        <v>1</v>
      </c>
      <c r="I16" s="252" t="s">
        <v>3</v>
      </c>
      <c r="J16" s="252" t="s">
        <v>10</v>
      </c>
    </row>
    <row r="17" spans="1:10" x14ac:dyDescent="0.25">
      <c r="A17" s="2">
        <v>1</v>
      </c>
      <c r="B17" s="2" t="s">
        <v>60</v>
      </c>
      <c r="C17" s="2"/>
      <c r="D17" s="2">
        <v>10588</v>
      </c>
      <c r="E17" s="2">
        <v>1</v>
      </c>
      <c r="F17" s="2">
        <v>0.85</v>
      </c>
      <c r="G17" s="2">
        <f>D17*E17*F17</f>
        <v>8999.7999999999993</v>
      </c>
      <c r="H17" s="2" t="s">
        <v>51</v>
      </c>
      <c r="I17" s="2">
        <v>315.89</v>
      </c>
      <c r="J17" s="2">
        <f>G17*I17</f>
        <v>2842946.8219999997</v>
      </c>
    </row>
    <row r="18" spans="1:10" ht="38.25" customHeight="1" x14ac:dyDescent="0.25">
      <c r="A18" s="2">
        <v>4</v>
      </c>
      <c r="B18" s="2" t="s">
        <v>349</v>
      </c>
      <c r="C18" s="2"/>
      <c r="D18" s="2">
        <f>D17</f>
        <v>10588</v>
      </c>
      <c r="E18" s="2">
        <v>1</v>
      </c>
      <c r="F18" s="2"/>
      <c r="G18" s="2">
        <f>D18*E18</f>
        <v>10588</v>
      </c>
      <c r="H18" s="2" t="s">
        <v>36</v>
      </c>
      <c r="I18" s="2">
        <f>225*2</f>
        <v>450</v>
      </c>
      <c r="J18" s="2">
        <f t="shared" ref="J18:J22" si="1">G18*I18</f>
        <v>4764600</v>
      </c>
    </row>
    <row r="19" spans="1:10" x14ac:dyDescent="0.25">
      <c r="A19" s="2">
        <v>5</v>
      </c>
      <c r="B19" s="2" t="s">
        <v>350</v>
      </c>
      <c r="C19" s="2"/>
      <c r="D19" s="2">
        <f>D17</f>
        <v>10588</v>
      </c>
      <c r="E19" s="2">
        <v>1</v>
      </c>
      <c r="F19" s="2"/>
      <c r="G19" s="2">
        <f>D19*E19</f>
        <v>10588</v>
      </c>
      <c r="H19" s="2" t="s">
        <v>36</v>
      </c>
      <c r="I19" s="2">
        <v>180</v>
      </c>
      <c r="J19" s="2">
        <f t="shared" si="1"/>
        <v>1905840</v>
      </c>
    </row>
    <row r="20" spans="1:10" x14ac:dyDescent="0.25">
      <c r="A20" s="2"/>
      <c r="B20" s="2" t="s">
        <v>351</v>
      </c>
      <c r="C20" s="2"/>
      <c r="D20" s="2">
        <f>D17</f>
        <v>10588</v>
      </c>
      <c r="E20" s="2">
        <v>1</v>
      </c>
      <c r="F20" s="2"/>
      <c r="G20" s="2">
        <f>D20*E20</f>
        <v>10588</v>
      </c>
      <c r="H20" s="2" t="s">
        <v>36</v>
      </c>
      <c r="I20" s="2">
        <v>350</v>
      </c>
      <c r="J20" s="2">
        <f t="shared" si="1"/>
        <v>3705800</v>
      </c>
    </row>
    <row r="21" spans="1:10" x14ac:dyDescent="0.25">
      <c r="A21" s="2">
        <v>6</v>
      </c>
      <c r="B21" s="2" t="s">
        <v>352</v>
      </c>
      <c r="C21" s="2"/>
      <c r="D21" s="2">
        <f>D17</f>
        <v>10588</v>
      </c>
      <c r="E21" s="2">
        <v>1</v>
      </c>
      <c r="F21" s="2"/>
      <c r="G21" s="2">
        <f>D21*E21</f>
        <v>10588</v>
      </c>
      <c r="H21" s="2" t="s">
        <v>36</v>
      </c>
      <c r="I21" s="2">
        <v>550</v>
      </c>
      <c r="J21" s="2">
        <f t="shared" si="1"/>
        <v>5823400</v>
      </c>
    </row>
    <row r="22" spans="1:10" x14ac:dyDescent="0.25">
      <c r="A22" s="2">
        <v>7</v>
      </c>
      <c r="B22" s="2" t="s">
        <v>353</v>
      </c>
      <c r="C22" s="2"/>
      <c r="D22" s="2">
        <f>D17</f>
        <v>10588</v>
      </c>
      <c r="E22" s="2">
        <v>1</v>
      </c>
      <c r="F22" s="2"/>
      <c r="G22" s="2">
        <f>D22*E22</f>
        <v>10588</v>
      </c>
      <c r="H22" s="2" t="s">
        <v>36</v>
      </c>
      <c r="I22" s="2">
        <v>325</v>
      </c>
      <c r="J22" s="2">
        <f t="shared" si="1"/>
        <v>3441100</v>
      </c>
    </row>
    <row r="23" spans="1:10" x14ac:dyDescent="0.25">
      <c r="G23" s="319"/>
      <c r="H23" s="384" t="s">
        <v>344</v>
      </c>
      <c r="I23" s="384"/>
      <c r="J23" s="320">
        <f>SUM(J17:J22)</f>
        <v>22483686.822000001</v>
      </c>
    </row>
  </sheetData>
  <mergeCells count="3">
    <mergeCell ref="A1:I1"/>
    <mergeCell ref="A15:J15"/>
    <mergeCell ref="H23:I2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4" sqref="C14"/>
    </sheetView>
  </sheetViews>
  <sheetFormatPr defaultRowHeight="15" x14ac:dyDescent="0.25"/>
  <cols>
    <col min="2" max="2" width="33.42578125" bestFit="1" customWidth="1"/>
    <col min="9" max="9" width="11.5703125" bestFit="1" customWidth="1"/>
  </cols>
  <sheetData>
    <row r="1" spans="1:10" ht="18" x14ac:dyDescent="0.25">
      <c r="A1" s="385" t="s">
        <v>396</v>
      </c>
      <c r="B1" s="385"/>
      <c r="C1" s="385"/>
      <c r="D1" s="385"/>
      <c r="E1" s="385"/>
      <c r="F1" s="385"/>
      <c r="G1" s="385"/>
      <c r="H1" s="385"/>
      <c r="I1" s="385"/>
    </row>
    <row r="2" spans="1:10" x14ac:dyDescent="0.25">
      <c r="A2" s="252" t="s">
        <v>6</v>
      </c>
      <c r="B2" s="252" t="s">
        <v>348</v>
      </c>
      <c r="C2" s="252" t="s">
        <v>113</v>
      </c>
      <c r="D2" s="252" t="s">
        <v>110</v>
      </c>
      <c r="E2" s="252" t="s">
        <v>111</v>
      </c>
      <c r="F2" s="252" t="s">
        <v>2</v>
      </c>
      <c r="G2" s="252" t="s">
        <v>1</v>
      </c>
      <c r="H2" s="252" t="s">
        <v>3</v>
      </c>
      <c r="I2" s="252" t="s">
        <v>10</v>
      </c>
      <c r="J2" s="254" t="s">
        <v>107</v>
      </c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1</v>
      </c>
      <c r="B4" s="2" t="s">
        <v>60</v>
      </c>
      <c r="C4" s="2">
        <f>151+76+140+140+223+75+180+76+52+50+65</f>
        <v>1228</v>
      </c>
      <c r="D4" s="2">
        <f>D5+0.6</f>
        <v>1.6</v>
      </c>
      <c r="E4" s="2">
        <f>1+0.23+0.075</f>
        <v>1.3049999999999999</v>
      </c>
      <c r="F4" s="2">
        <f>C4*D4*E4</f>
        <v>2564.0640000000003</v>
      </c>
      <c r="G4" s="2" t="s">
        <v>51</v>
      </c>
      <c r="H4" s="2">
        <v>315.89</v>
      </c>
      <c r="I4" s="251">
        <f>F4*H4</f>
        <v>809962.17696000007</v>
      </c>
      <c r="J4" s="2"/>
    </row>
    <row r="5" spans="1:10" x14ac:dyDescent="0.25">
      <c r="A5" s="2">
        <v>2</v>
      </c>
      <c r="B5" s="2" t="s">
        <v>357</v>
      </c>
      <c r="C5" s="2">
        <f>C4</f>
        <v>1228</v>
      </c>
      <c r="D5" s="2">
        <v>1</v>
      </c>
      <c r="E5" s="2">
        <v>0.15</v>
      </c>
      <c r="F5" s="2">
        <f>C5*D5*E5</f>
        <v>184.2</v>
      </c>
      <c r="G5" s="2" t="s">
        <v>51</v>
      </c>
      <c r="H5" s="2">
        <v>950</v>
      </c>
      <c r="I5" s="251">
        <f t="shared" ref="I5:I10" si="0">F5*H5</f>
        <v>174990</v>
      </c>
      <c r="J5" s="2"/>
    </row>
    <row r="6" spans="1:10" x14ac:dyDescent="0.25">
      <c r="A6" s="2">
        <v>3</v>
      </c>
      <c r="B6" s="2" t="s">
        <v>88</v>
      </c>
      <c r="C6" s="2">
        <f>C4</f>
        <v>1228</v>
      </c>
      <c r="D6" s="2">
        <v>1</v>
      </c>
      <c r="E6" s="2">
        <v>7.4999999999999997E-2</v>
      </c>
      <c r="F6" s="2">
        <f>C6*D6*E6</f>
        <v>92.1</v>
      </c>
      <c r="G6" s="2" t="s">
        <v>51</v>
      </c>
      <c r="H6" s="2">
        <v>3535</v>
      </c>
      <c r="I6" s="251">
        <f t="shared" si="0"/>
        <v>325573.5</v>
      </c>
      <c r="J6" s="2"/>
    </row>
    <row r="7" spans="1:10" x14ac:dyDescent="0.25">
      <c r="A7" s="2">
        <v>4</v>
      </c>
      <c r="B7" s="2" t="s">
        <v>81</v>
      </c>
      <c r="C7" s="2">
        <f>C4</f>
        <v>1228</v>
      </c>
      <c r="D7" s="2">
        <v>1</v>
      </c>
      <c r="E7" s="2">
        <v>0.15</v>
      </c>
      <c r="F7" s="2">
        <f>C7*D7*E7</f>
        <v>184.2</v>
      </c>
      <c r="G7" s="2" t="s">
        <v>51</v>
      </c>
      <c r="H7" s="2">
        <v>5335</v>
      </c>
      <c r="I7" s="251">
        <f t="shared" si="0"/>
        <v>982706.99999999988</v>
      </c>
      <c r="J7" s="2"/>
    </row>
    <row r="8" spans="1:10" x14ac:dyDescent="0.25">
      <c r="A8" s="2">
        <v>5</v>
      </c>
      <c r="B8" s="2" t="s">
        <v>89</v>
      </c>
      <c r="C8" s="2">
        <f>C4*2</f>
        <v>2456</v>
      </c>
      <c r="D8" s="2">
        <v>1</v>
      </c>
      <c r="E8" s="2">
        <v>0.15</v>
      </c>
      <c r="F8" s="2">
        <f>C8*D8*E8</f>
        <v>368.4</v>
      </c>
      <c r="G8" s="2" t="s">
        <v>51</v>
      </c>
      <c r="H8" s="2">
        <v>5335</v>
      </c>
      <c r="I8" s="251">
        <f t="shared" si="0"/>
        <v>1965413.9999999998</v>
      </c>
      <c r="J8" s="2"/>
    </row>
    <row r="9" spans="1:10" x14ac:dyDescent="0.25">
      <c r="A9" s="2">
        <v>6</v>
      </c>
      <c r="B9" s="2" t="s">
        <v>356</v>
      </c>
      <c r="C9" s="2"/>
      <c r="D9" s="2">
        <f>F7+F8</f>
        <v>552.59999999999991</v>
      </c>
      <c r="E9" s="2">
        <v>80</v>
      </c>
      <c r="F9" s="2">
        <f>D9*E9</f>
        <v>44207.999999999993</v>
      </c>
      <c r="G9" s="255" t="s">
        <v>56</v>
      </c>
      <c r="H9" s="255">
        <v>66.42</v>
      </c>
      <c r="I9" s="251">
        <f t="shared" si="0"/>
        <v>2936295.3599999994</v>
      </c>
      <c r="J9" s="2"/>
    </row>
    <row r="10" spans="1:10" x14ac:dyDescent="0.25">
      <c r="A10" s="2">
        <v>7</v>
      </c>
      <c r="B10" s="2" t="s">
        <v>91</v>
      </c>
      <c r="C10" s="2">
        <f>C4*4</f>
        <v>4912</v>
      </c>
      <c r="D10" s="2">
        <v>1</v>
      </c>
      <c r="E10" s="2">
        <v>1</v>
      </c>
      <c r="F10" s="2">
        <f>C10*D10*E10</f>
        <v>4912</v>
      </c>
      <c r="G10" s="2" t="s">
        <v>36</v>
      </c>
      <c r="H10" s="255">
        <v>718.4</v>
      </c>
      <c r="I10" s="251">
        <f t="shared" si="0"/>
        <v>3528780.8</v>
      </c>
      <c r="J10" s="2"/>
    </row>
    <row r="11" spans="1:10" x14ac:dyDescent="0.25">
      <c r="A11" s="2"/>
      <c r="B11" s="2"/>
      <c r="C11" s="2"/>
      <c r="D11" s="2"/>
      <c r="E11" s="2"/>
      <c r="F11" s="386" t="s">
        <v>66</v>
      </c>
      <c r="G11" s="386"/>
      <c r="H11" s="386"/>
      <c r="I11" s="321">
        <f>SUM(I4:I10)</f>
        <v>10723722.836959999</v>
      </c>
      <c r="J11" s="252" t="s">
        <v>47</v>
      </c>
    </row>
  </sheetData>
  <mergeCells count="2">
    <mergeCell ref="A1:I1"/>
    <mergeCell ref="F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0" workbookViewId="0">
      <selection activeCell="G17" sqref="G17"/>
    </sheetView>
  </sheetViews>
  <sheetFormatPr defaultRowHeight="18.75" x14ac:dyDescent="0.3"/>
  <cols>
    <col min="1" max="1" width="9.140625" style="234"/>
    <col min="2" max="2" width="83.5703125" style="234" bestFit="1" customWidth="1"/>
    <col min="3" max="3" width="18" style="234" bestFit="1" customWidth="1"/>
    <col min="4" max="4" width="38.140625" style="237" customWidth="1"/>
    <col min="5" max="16384" width="9.140625" style="234"/>
  </cols>
  <sheetData>
    <row r="1" spans="1:4" x14ac:dyDescent="0.3">
      <c r="A1" s="235"/>
    </row>
    <row r="2" spans="1:4" ht="23.25" x14ac:dyDescent="0.35">
      <c r="A2" s="328" t="s">
        <v>397</v>
      </c>
      <c r="B2" s="328"/>
      <c r="C2" s="328"/>
      <c r="D2" s="328"/>
    </row>
    <row r="3" spans="1:4" s="236" customFormat="1" ht="19.5" x14ac:dyDescent="0.3">
      <c r="A3" s="248" t="s">
        <v>115</v>
      </c>
      <c r="B3" s="248" t="s">
        <v>288</v>
      </c>
      <c r="C3" s="248" t="s">
        <v>10</v>
      </c>
      <c r="D3" s="238" t="s">
        <v>107</v>
      </c>
    </row>
    <row r="4" spans="1:4" s="223" customFormat="1" ht="65.25" x14ac:dyDescent="0.3">
      <c r="A4" s="243">
        <v>1</v>
      </c>
      <c r="B4" s="244" t="s">
        <v>398</v>
      </c>
      <c r="C4" s="249">
        <f>'Tankform &amp; RW tank'!K285</f>
        <v>38989469.568457462</v>
      </c>
      <c r="D4" s="240" t="s">
        <v>300</v>
      </c>
    </row>
    <row r="5" spans="1:4" s="223" customFormat="1" ht="27" x14ac:dyDescent="0.3">
      <c r="A5" s="243">
        <v>2</v>
      </c>
      <c r="B5" s="245" t="s">
        <v>399</v>
      </c>
      <c r="C5" s="250">
        <f>'Spitting Plant'!K215</f>
        <v>88637364.012458682</v>
      </c>
      <c r="D5" s="241" t="s">
        <v>290</v>
      </c>
    </row>
    <row r="6" spans="1:4" s="223" customFormat="1" ht="27" x14ac:dyDescent="0.3">
      <c r="A6" s="243">
        <v>3</v>
      </c>
      <c r="B6" s="245" t="s">
        <v>400</v>
      </c>
      <c r="C6" s="245">
        <f>'Sweet Water Plant'!K150</f>
        <v>36371003.787863664</v>
      </c>
      <c r="D6" s="241" t="s">
        <v>289</v>
      </c>
    </row>
    <row r="7" spans="1:4" s="223" customFormat="1" ht="27" x14ac:dyDescent="0.3">
      <c r="A7" s="243">
        <v>4</v>
      </c>
      <c r="B7" s="245" t="s">
        <v>401</v>
      </c>
      <c r="C7" s="250">
        <f>ETP!K30</f>
        <v>32130690.876672</v>
      </c>
      <c r="D7" s="241" t="s">
        <v>301</v>
      </c>
    </row>
    <row r="8" spans="1:4" s="223" customFormat="1" ht="27" x14ac:dyDescent="0.3">
      <c r="A8" s="243">
        <v>5</v>
      </c>
      <c r="B8" s="245" t="s">
        <v>376</v>
      </c>
      <c r="C8" s="245">
        <f>'DM,RO &amp;Fire water'!K69</f>
        <v>3328482.398823</v>
      </c>
      <c r="D8" s="241" t="s">
        <v>302</v>
      </c>
    </row>
    <row r="9" spans="1:4" s="223" customFormat="1" x14ac:dyDescent="0.3">
      <c r="A9" s="243">
        <v>6</v>
      </c>
      <c r="B9" s="246" t="s">
        <v>402</v>
      </c>
      <c r="C9" s="245">
        <f>'Soft water '!K118</f>
        <v>1653144.6425167716</v>
      </c>
      <c r="D9" s="241" t="s">
        <v>303</v>
      </c>
    </row>
    <row r="10" spans="1:4" s="223" customFormat="1" ht="27" x14ac:dyDescent="0.3">
      <c r="A10" s="243">
        <v>7</v>
      </c>
      <c r="B10" s="244" t="s">
        <v>382</v>
      </c>
      <c r="C10" s="244">
        <f>'FO Storage '!K133</f>
        <v>4747870.5058213957</v>
      </c>
      <c r="D10" s="240" t="s">
        <v>291</v>
      </c>
    </row>
    <row r="11" spans="1:4" s="223" customFormat="1" ht="27" x14ac:dyDescent="0.3">
      <c r="A11" s="243">
        <v>8</v>
      </c>
      <c r="B11" s="245" t="s">
        <v>403</v>
      </c>
      <c r="C11" s="250">
        <f>'MP HP Boiler'!J235</f>
        <v>15379232.167947281</v>
      </c>
      <c r="D11" s="241" t="s">
        <v>304</v>
      </c>
    </row>
    <row r="12" spans="1:4" s="223" customFormat="1" ht="39.75" x14ac:dyDescent="0.3">
      <c r="A12" s="243">
        <v>9</v>
      </c>
      <c r="B12" s="245" t="s">
        <v>404</v>
      </c>
      <c r="C12" s="245">
        <f>CPP!K164</f>
        <v>80399431.814496711</v>
      </c>
      <c r="D12" s="241" t="s">
        <v>305</v>
      </c>
    </row>
    <row r="13" spans="1:4" s="223" customFormat="1" ht="27" x14ac:dyDescent="0.3">
      <c r="A13" s="243">
        <v>10</v>
      </c>
      <c r="B13" s="247" t="s">
        <v>405</v>
      </c>
      <c r="C13" s="249">
        <f>'Cooling Towers'!J41</f>
        <v>3050942.8232000005</v>
      </c>
      <c r="D13" s="242" t="s">
        <v>292</v>
      </c>
    </row>
    <row r="14" spans="1:4" s="223" customFormat="1" ht="27" x14ac:dyDescent="0.3">
      <c r="A14" s="243">
        <v>11</v>
      </c>
      <c r="B14" s="247" t="s">
        <v>273</v>
      </c>
      <c r="C14" s="249">
        <f>Piperack!J17</f>
        <v>14615144.534999998</v>
      </c>
      <c r="D14" s="242" t="s">
        <v>306</v>
      </c>
    </row>
    <row r="15" spans="1:4" s="223" customFormat="1" ht="52.5" x14ac:dyDescent="0.3">
      <c r="A15" s="243">
        <v>12</v>
      </c>
      <c r="B15" s="247" t="s">
        <v>406</v>
      </c>
      <c r="C15" s="249">
        <f>'Office Buildings'!J16</f>
        <v>35999187.75</v>
      </c>
      <c r="D15" s="242" t="s">
        <v>307</v>
      </c>
    </row>
    <row r="16" spans="1:4" s="223" customFormat="1" x14ac:dyDescent="0.3">
      <c r="A16" s="243">
        <v>13</v>
      </c>
      <c r="B16" s="247" t="s">
        <v>308</v>
      </c>
      <c r="C16" s="249">
        <f>WB!K18</f>
        <v>2596516.1949999998</v>
      </c>
      <c r="D16" s="242" t="s">
        <v>293</v>
      </c>
    </row>
    <row r="17" spans="1:4" s="223" customFormat="1" x14ac:dyDescent="0.3">
      <c r="A17" s="253">
        <v>14</v>
      </c>
      <c r="B17" s="247" t="s">
        <v>354</v>
      </c>
      <c r="C17" s="249">
        <f>Road!J23</f>
        <v>22483686.822000001</v>
      </c>
      <c r="D17" s="242" t="s">
        <v>358</v>
      </c>
    </row>
    <row r="18" spans="1:4" s="223" customFormat="1" x14ac:dyDescent="0.3">
      <c r="A18" s="253">
        <v>15</v>
      </c>
      <c r="B18" s="247" t="s">
        <v>355</v>
      </c>
      <c r="C18" s="249">
        <f>drainage!I11</f>
        <v>10723722.836959999</v>
      </c>
      <c r="D18" s="242" t="s">
        <v>359</v>
      </c>
    </row>
    <row r="19" spans="1:4" x14ac:dyDescent="0.3">
      <c r="B19" s="324" t="s">
        <v>66</v>
      </c>
      <c r="C19" s="325">
        <f>SUM(C4:C18)</f>
        <v>391105890.73721701</v>
      </c>
      <c r="D19" s="326"/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opLeftCell="A199" zoomScaleNormal="100" workbookViewId="0">
      <selection activeCell="B220" sqref="B220"/>
    </sheetView>
  </sheetViews>
  <sheetFormatPr defaultRowHeight="15.75" x14ac:dyDescent="0.25"/>
  <cols>
    <col min="1" max="1" width="6.42578125" style="60" bestFit="1" customWidth="1"/>
    <col min="2" max="2" width="66.7109375" style="28" customWidth="1"/>
    <col min="3" max="3" width="7.85546875" style="28" bestFit="1" customWidth="1"/>
    <col min="4" max="4" width="7.7109375" style="28" bestFit="1" customWidth="1"/>
    <col min="5" max="5" width="7.85546875" style="28" bestFit="1" customWidth="1"/>
    <col min="6" max="6" width="7.28515625" style="28" bestFit="1" customWidth="1"/>
    <col min="7" max="7" width="10.140625" style="28" bestFit="1" customWidth="1"/>
    <col min="8" max="8" width="5.140625" style="77" bestFit="1" customWidth="1"/>
    <col min="9" max="9" width="11.28515625" style="107" bestFit="1" customWidth="1"/>
    <col min="10" max="10" width="18" style="108" bestFit="1" customWidth="1"/>
    <col min="11" max="11" width="18" style="22" bestFit="1" customWidth="1"/>
    <col min="12" max="12" width="10.28515625" style="28" bestFit="1" customWidth="1"/>
    <col min="13" max="13" width="7.7109375" style="28" bestFit="1" customWidth="1"/>
    <col min="14" max="14" width="5.140625" style="28" bestFit="1" customWidth="1"/>
    <col min="15" max="15" width="6.140625" style="28" bestFit="1" customWidth="1"/>
    <col min="16" max="256" width="9.140625" style="28"/>
    <col min="257" max="257" width="6" style="28" bestFit="1" customWidth="1"/>
    <col min="258" max="258" width="30.140625" style="28" bestFit="1" customWidth="1"/>
    <col min="259" max="259" width="8.28515625" style="28" bestFit="1" customWidth="1"/>
    <col min="260" max="260" width="7" style="28" bestFit="1" customWidth="1"/>
    <col min="261" max="261" width="7.28515625" style="28" bestFit="1" customWidth="1"/>
    <col min="262" max="262" width="7.5703125" style="28" bestFit="1" customWidth="1"/>
    <col min="263" max="263" width="8.28515625" style="28" bestFit="1" customWidth="1"/>
    <col min="264" max="264" width="5.140625" style="28" bestFit="1" customWidth="1"/>
    <col min="265" max="265" width="7.7109375" style="28" bestFit="1" customWidth="1"/>
    <col min="266" max="266" width="9" style="28" bestFit="1" customWidth="1"/>
    <col min="267" max="267" width="14" style="28" bestFit="1" customWidth="1"/>
    <col min="268" max="512" width="9.140625" style="28"/>
    <col min="513" max="513" width="6" style="28" bestFit="1" customWidth="1"/>
    <col min="514" max="514" width="30.140625" style="28" bestFit="1" customWidth="1"/>
    <col min="515" max="515" width="8.28515625" style="28" bestFit="1" customWidth="1"/>
    <col min="516" max="516" width="7" style="28" bestFit="1" customWidth="1"/>
    <col min="517" max="517" width="7.28515625" style="28" bestFit="1" customWidth="1"/>
    <col min="518" max="518" width="7.5703125" style="28" bestFit="1" customWidth="1"/>
    <col min="519" max="519" width="8.28515625" style="28" bestFit="1" customWidth="1"/>
    <col min="520" max="520" width="5.140625" style="28" bestFit="1" customWidth="1"/>
    <col min="521" max="521" width="7.7109375" style="28" bestFit="1" customWidth="1"/>
    <col min="522" max="522" width="9" style="28" bestFit="1" customWidth="1"/>
    <col min="523" max="523" width="14" style="28" bestFit="1" customWidth="1"/>
    <col min="524" max="768" width="9.140625" style="28"/>
    <col min="769" max="769" width="6" style="28" bestFit="1" customWidth="1"/>
    <col min="770" max="770" width="30.140625" style="28" bestFit="1" customWidth="1"/>
    <col min="771" max="771" width="8.28515625" style="28" bestFit="1" customWidth="1"/>
    <col min="772" max="772" width="7" style="28" bestFit="1" customWidth="1"/>
    <col min="773" max="773" width="7.28515625" style="28" bestFit="1" customWidth="1"/>
    <col min="774" max="774" width="7.5703125" style="28" bestFit="1" customWidth="1"/>
    <col min="775" max="775" width="8.28515625" style="28" bestFit="1" customWidth="1"/>
    <col min="776" max="776" width="5.140625" style="28" bestFit="1" customWidth="1"/>
    <col min="777" max="777" width="7.7109375" style="28" bestFit="1" customWidth="1"/>
    <col min="778" max="778" width="9" style="28" bestFit="1" customWidth="1"/>
    <col min="779" max="779" width="14" style="28" bestFit="1" customWidth="1"/>
    <col min="780" max="1024" width="9.140625" style="28"/>
    <col min="1025" max="1025" width="6" style="28" bestFit="1" customWidth="1"/>
    <col min="1026" max="1026" width="30.140625" style="28" bestFit="1" customWidth="1"/>
    <col min="1027" max="1027" width="8.28515625" style="28" bestFit="1" customWidth="1"/>
    <col min="1028" max="1028" width="7" style="28" bestFit="1" customWidth="1"/>
    <col min="1029" max="1029" width="7.28515625" style="28" bestFit="1" customWidth="1"/>
    <col min="1030" max="1030" width="7.5703125" style="28" bestFit="1" customWidth="1"/>
    <col min="1031" max="1031" width="8.28515625" style="28" bestFit="1" customWidth="1"/>
    <col min="1032" max="1032" width="5.140625" style="28" bestFit="1" customWidth="1"/>
    <col min="1033" max="1033" width="7.7109375" style="28" bestFit="1" customWidth="1"/>
    <col min="1034" max="1034" width="9" style="28" bestFit="1" customWidth="1"/>
    <col min="1035" max="1035" width="14" style="28" bestFit="1" customWidth="1"/>
    <col min="1036" max="1280" width="9.140625" style="28"/>
    <col min="1281" max="1281" width="6" style="28" bestFit="1" customWidth="1"/>
    <col min="1282" max="1282" width="30.140625" style="28" bestFit="1" customWidth="1"/>
    <col min="1283" max="1283" width="8.28515625" style="28" bestFit="1" customWidth="1"/>
    <col min="1284" max="1284" width="7" style="28" bestFit="1" customWidth="1"/>
    <col min="1285" max="1285" width="7.28515625" style="28" bestFit="1" customWidth="1"/>
    <col min="1286" max="1286" width="7.5703125" style="28" bestFit="1" customWidth="1"/>
    <col min="1287" max="1287" width="8.28515625" style="28" bestFit="1" customWidth="1"/>
    <col min="1288" max="1288" width="5.140625" style="28" bestFit="1" customWidth="1"/>
    <col min="1289" max="1289" width="7.7109375" style="28" bestFit="1" customWidth="1"/>
    <col min="1290" max="1290" width="9" style="28" bestFit="1" customWidth="1"/>
    <col min="1291" max="1291" width="14" style="28" bestFit="1" customWidth="1"/>
    <col min="1292" max="1536" width="9.140625" style="28"/>
    <col min="1537" max="1537" width="6" style="28" bestFit="1" customWidth="1"/>
    <col min="1538" max="1538" width="30.140625" style="28" bestFit="1" customWidth="1"/>
    <col min="1539" max="1539" width="8.28515625" style="28" bestFit="1" customWidth="1"/>
    <col min="1540" max="1540" width="7" style="28" bestFit="1" customWidth="1"/>
    <col min="1541" max="1541" width="7.28515625" style="28" bestFit="1" customWidth="1"/>
    <col min="1542" max="1542" width="7.5703125" style="28" bestFit="1" customWidth="1"/>
    <col min="1543" max="1543" width="8.28515625" style="28" bestFit="1" customWidth="1"/>
    <col min="1544" max="1544" width="5.140625" style="28" bestFit="1" customWidth="1"/>
    <col min="1545" max="1545" width="7.7109375" style="28" bestFit="1" customWidth="1"/>
    <col min="1546" max="1546" width="9" style="28" bestFit="1" customWidth="1"/>
    <col min="1547" max="1547" width="14" style="28" bestFit="1" customWidth="1"/>
    <col min="1548" max="1792" width="9.140625" style="28"/>
    <col min="1793" max="1793" width="6" style="28" bestFit="1" customWidth="1"/>
    <col min="1794" max="1794" width="30.140625" style="28" bestFit="1" customWidth="1"/>
    <col min="1795" max="1795" width="8.28515625" style="28" bestFit="1" customWidth="1"/>
    <col min="1796" max="1796" width="7" style="28" bestFit="1" customWidth="1"/>
    <col min="1797" max="1797" width="7.28515625" style="28" bestFit="1" customWidth="1"/>
    <col min="1798" max="1798" width="7.5703125" style="28" bestFit="1" customWidth="1"/>
    <col min="1799" max="1799" width="8.28515625" style="28" bestFit="1" customWidth="1"/>
    <col min="1800" max="1800" width="5.140625" style="28" bestFit="1" customWidth="1"/>
    <col min="1801" max="1801" width="7.7109375" style="28" bestFit="1" customWidth="1"/>
    <col min="1802" max="1802" width="9" style="28" bestFit="1" customWidth="1"/>
    <col min="1803" max="1803" width="14" style="28" bestFit="1" customWidth="1"/>
    <col min="1804" max="2048" width="9.140625" style="28"/>
    <col min="2049" max="2049" width="6" style="28" bestFit="1" customWidth="1"/>
    <col min="2050" max="2050" width="30.140625" style="28" bestFit="1" customWidth="1"/>
    <col min="2051" max="2051" width="8.28515625" style="28" bestFit="1" customWidth="1"/>
    <col min="2052" max="2052" width="7" style="28" bestFit="1" customWidth="1"/>
    <col min="2053" max="2053" width="7.28515625" style="28" bestFit="1" customWidth="1"/>
    <col min="2054" max="2054" width="7.5703125" style="28" bestFit="1" customWidth="1"/>
    <col min="2055" max="2055" width="8.28515625" style="28" bestFit="1" customWidth="1"/>
    <col min="2056" max="2056" width="5.140625" style="28" bestFit="1" customWidth="1"/>
    <col min="2057" max="2057" width="7.7109375" style="28" bestFit="1" customWidth="1"/>
    <col min="2058" max="2058" width="9" style="28" bestFit="1" customWidth="1"/>
    <col min="2059" max="2059" width="14" style="28" bestFit="1" customWidth="1"/>
    <col min="2060" max="2304" width="9.140625" style="28"/>
    <col min="2305" max="2305" width="6" style="28" bestFit="1" customWidth="1"/>
    <col min="2306" max="2306" width="30.140625" style="28" bestFit="1" customWidth="1"/>
    <col min="2307" max="2307" width="8.28515625" style="28" bestFit="1" customWidth="1"/>
    <col min="2308" max="2308" width="7" style="28" bestFit="1" customWidth="1"/>
    <col min="2309" max="2309" width="7.28515625" style="28" bestFit="1" customWidth="1"/>
    <col min="2310" max="2310" width="7.5703125" style="28" bestFit="1" customWidth="1"/>
    <col min="2311" max="2311" width="8.28515625" style="28" bestFit="1" customWidth="1"/>
    <col min="2312" max="2312" width="5.140625" style="28" bestFit="1" customWidth="1"/>
    <col min="2313" max="2313" width="7.7109375" style="28" bestFit="1" customWidth="1"/>
    <col min="2314" max="2314" width="9" style="28" bestFit="1" customWidth="1"/>
    <col min="2315" max="2315" width="14" style="28" bestFit="1" customWidth="1"/>
    <col min="2316" max="2560" width="9.140625" style="28"/>
    <col min="2561" max="2561" width="6" style="28" bestFit="1" customWidth="1"/>
    <col min="2562" max="2562" width="30.140625" style="28" bestFit="1" customWidth="1"/>
    <col min="2563" max="2563" width="8.28515625" style="28" bestFit="1" customWidth="1"/>
    <col min="2564" max="2564" width="7" style="28" bestFit="1" customWidth="1"/>
    <col min="2565" max="2565" width="7.28515625" style="28" bestFit="1" customWidth="1"/>
    <col min="2566" max="2566" width="7.5703125" style="28" bestFit="1" customWidth="1"/>
    <col min="2567" max="2567" width="8.28515625" style="28" bestFit="1" customWidth="1"/>
    <col min="2568" max="2568" width="5.140625" style="28" bestFit="1" customWidth="1"/>
    <col min="2569" max="2569" width="7.7109375" style="28" bestFit="1" customWidth="1"/>
    <col min="2570" max="2570" width="9" style="28" bestFit="1" customWidth="1"/>
    <col min="2571" max="2571" width="14" style="28" bestFit="1" customWidth="1"/>
    <col min="2572" max="2816" width="9.140625" style="28"/>
    <col min="2817" max="2817" width="6" style="28" bestFit="1" customWidth="1"/>
    <col min="2818" max="2818" width="30.140625" style="28" bestFit="1" customWidth="1"/>
    <col min="2819" max="2819" width="8.28515625" style="28" bestFit="1" customWidth="1"/>
    <col min="2820" max="2820" width="7" style="28" bestFit="1" customWidth="1"/>
    <col min="2821" max="2821" width="7.28515625" style="28" bestFit="1" customWidth="1"/>
    <col min="2822" max="2822" width="7.5703125" style="28" bestFit="1" customWidth="1"/>
    <col min="2823" max="2823" width="8.28515625" style="28" bestFit="1" customWidth="1"/>
    <col min="2824" max="2824" width="5.140625" style="28" bestFit="1" customWidth="1"/>
    <col min="2825" max="2825" width="7.7109375" style="28" bestFit="1" customWidth="1"/>
    <col min="2826" max="2826" width="9" style="28" bestFit="1" customWidth="1"/>
    <col min="2827" max="2827" width="14" style="28" bestFit="1" customWidth="1"/>
    <col min="2828" max="3072" width="9.140625" style="28"/>
    <col min="3073" max="3073" width="6" style="28" bestFit="1" customWidth="1"/>
    <col min="3074" max="3074" width="30.140625" style="28" bestFit="1" customWidth="1"/>
    <col min="3075" max="3075" width="8.28515625" style="28" bestFit="1" customWidth="1"/>
    <col min="3076" max="3076" width="7" style="28" bestFit="1" customWidth="1"/>
    <col min="3077" max="3077" width="7.28515625" style="28" bestFit="1" customWidth="1"/>
    <col min="3078" max="3078" width="7.5703125" style="28" bestFit="1" customWidth="1"/>
    <col min="3079" max="3079" width="8.28515625" style="28" bestFit="1" customWidth="1"/>
    <col min="3080" max="3080" width="5.140625" style="28" bestFit="1" customWidth="1"/>
    <col min="3081" max="3081" width="7.7109375" style="28" bestFit="1" customWidth="1"/>
    <col min="3082" max="3082" width="9" style="28" bestFit="1" customWidth="1"/>
    <col min="3083" max="3083" width="14" style="28" bestFit="1" customWidth="1"/>
    <col min="3084" max="3328" width="9.140625" style="28"/>
    <col min="3329" max="3329" width="6" style="28" bestFit="1" customWidth="1"/>
    <col min="3330" max="3330" width="30.140625" style="28" bestFit="1" customWidth="1"/>
    <col min="3331" max="3331" width="8.28515625" style="28" bestFit="1" customWidth="1"/>
    <col min="3332" max="3332" width="7" style="28" bestFit="1" customWidth="1"/>
    <col min="3333" max="3333" width="7.28515625" style="28" bestFit="1" customWidth="1"/>
    <col min="3334" max="3334" width="7.5703125" style="28" bestFit="1" customWidth="1"/>
    <col min="3335" max="3335" width="8.28515625" style="28" bestFit="1" customWidth="1"/>
    <col min="3336" max="3336" width="5.140625" style="28" bestFit="1" customWidth="1"/>
    <col min="3337" max="3337" width="7.7109375" style="28" bestFit="1" customWidth="1"/>
    <col min="3338" max="3338" width="9" style="28" bestFit="1" customWidth="1"/>
    <col min="3339" max="3339" width="14" style="28" bestFit="1" customWidth="1"/>
    <col min="3340" max="3584" width="9.140625" style="28"/>
    <col min="3585" max="3585" width="6" style="28" bestFit="1" customWidth="1"/>
    <col min="3586" max="3586" width="30.140625" style="28" bestFit="1" customWidth="1"/>
    <col min="3587" max="3587" width="8.28515625" style="28" bestFit="1" customWidth="1"/>
    <col min="3588" max="3588" width="7" style="28" bestFit="1" customWidth="1"/>
    <col min="3589" max="3589" width="7.28515625" style="28" bestFit="1" customWidth="1"/>
    <col min="3590" max="3590" width="7.5703125" style="28" bestFit="1" customWidth="1"/>
    <col min="3591" max="3591" width="8.28515625" style="28" bestFit="1" customWidth="1"/>
    <col min="3592" max="3592" width="5.140625" style="28" bestFit="1" customWidth="1"/>
    <col min="3593" max="3593" width="7.7109375" style="28" bestFit="1" customWidth="1"/>
    <col min="3594" max="3594" width="9" style="28" bestFit="1" customWidth="1"/>
    <col min="3595" max="3595" width="14" style="28" bestFit="1" customWidth="1"/>
    <col min="3596" max="3840" width="9.140625" style="28"/>
    <col min="3841" max="3841" width="6" style="28" bestFit="1" customWidth="1"/>
    <col min="3842" max="3842" width="30.140625" style="28" bestFit="1" customWidth="1"/>
    <col min="3843" max="3843" width="8.28515625" style="28" bestFit="1" customWidth="1"/>
    <col min="3844" max="3844" width="7" style="28" bestFit="1" customWidth="1"/>
    <col min="3845" max="3845" width="7.28515625" style="28" bestFit="1" customWidth="1"/>
    <col min="3846" max="3846" width="7.5703125" style="28" bestFit="1" customWidth="1"/>
    <col min="3847" max="3847" width="8.28515625" style="28" bestFit="1" customWidth="1"/>
    <col min="3848" max="3848" width="5.140625" style="28" bestFit="1" customWidth="1"/>
    <col min="3849" max="3849" width="7.7109375" style="28" bestFit="1" customWidth="1"/>
    <col min="3850" max="3850" width="9" style="28" bestFit="1" customWidth="1"/>
    <col min="3851" max="3851" width="14" style="28" bestFit="1" customWidth="1"/>
    <col min="3852" max="4096" width="9.140625" style="28"/>
    <col min="4097" max="4097" width="6" style="28" bestFit="1" customWidth="1"/>
    <col min="4098" max="4098" width="30.140625" style="28" bestFit="1" customWidth="1"/>
    <col min="4099" max="4099" width="8.28515625" style="28" bestFit="1" customWidth="1"/>
    <col min="4100" max="4100" width="7" style="28" bestFit="1" customWidth="1"/>
    <col min="4101" max="4101" width="7.28515625" style="28" bestFit="1" customWidth="1"/>
    <col min="4102" max="4102" width="7.5703125" style="28" bestFit="1" customWidth="1"/>
    <col min="4103" max="4103" width="8.28515625" style="28" bestFit="1" customWidth="1"/>
    <col min="4104" max="4104" width="5.140625" style="28" bestFit="1" customWidth="1"/>
    <col min="4105" max="4105" width="7.7109375" style="28" bestFit="1" customWidth="1"/>
    <col min="4106" max="4106" width="9" style="28" bestFit="1" customWidth="1"/>
    <col min="4107" max="4107" width="14" style="28" bestFit="1" customWidth="1"/>
    <col min="4108" max="4352" width="9.140625" style="28"/>
    <col min="4353" max="4353" width="6" style="28" bestFit="1" customWidth="1"/>
    <col min="4354" max="4354" width="30.140625" style="28" bestFit="1" customWidth="1"/>
    <col min="4355" max="4355" width="8.28515625" style="28" bestFit="1" customWidth="1"/>
    <col min="4356" max="4356" width="7" style="28" bestFit="1" customWidth="1"/>
    <col min="4357" max="4357" width="7.28515625" style="28" bestFit="1" customWidth="1"/>
    <col min="4358" max="4358" width="7.5703125" style="28" bestFit="1" customWidth="1"/>
    <col min="4359" max="4359" width="8.28515625" style="28" bestFit="1" customWidth="1"/>
    <col min="4360" max="4360" width="5.140625" style="28" bestFit="1" customWidth="1"/>
    <col min="4361" max="4361" width="7.7109375" style="28" bestFit="1" customWidth="1"/>
    <col min="4362" max="4362" width="9" style="28" bestFit="1" customWidth="1"/>
    <col min="4363" max="4363" width="14" style="28" bestFit="1" customWidth="1"/>
    <col min="4364" max="4608" width="9.140625" style="28"/>
    <col min="4609" max="4609" width="6" style="28" bestFit="1" customWidth="1"/>
    <col min="4610" max="4610" width="30.140625" style="28" bestFit="1" customWidth="1"/>
    <col min="4611" max="4611" width="8.28515625" style="28" bestFit="1" customWidth="1"/>
    <col min="4612" max="4612" width="7" style="28" bestFit="1" customWidth="1"/>
    <col min="4613" max="4613" width="7.28515625" style="28" bestFit="1" customWidth="1"/>
    <col min="4614" max="4614" width="7.5703125" style="28" bestFit="1" customWidth="1"/>
    <col min="4615" max="4615" width="8.28515625" style="28" bestFit="1" customWidth="1"/>
    <col min="4616" max="4616" width="5.140625" style="28" bestFit="1" customWidth="1"/>
    <col min="4617" max="4617" width="7.7109375" style="28" bestFit="1" customWidth="1"/>
    <col min="4618" max="4618" width="9" style="28" bestFit="1" customWidth="1"/>
    <col min="4619" max="4619" width="14" style="28" bestFit="1" customWidth="1"/>
    <col min="4620" max="4864" width="9.140625" style="28"/>
    <col min="4865" max="4865" width="6" style="28" bestFit="1" customWidth="1"/>
    <col min="4866" max="4866" width="30.140625" style="28" bestFit="1" customWidth="1"/>
    <col min="4867" max="4867" width="8.28515625" style="28" bestFit="1" customWidth="1"/>
    <col min="4868" max="4868" width="7" style="28" bestFit="1" customWidth="1"/>
    <col min="4869" max="4869" width="7.28515625" style="28" bestFit="1" customWidth="1"/>
    <col min="4870" max="4870" width="7.5703125" style="28" bestFit="1" customWidth="1"/>
    <col min="4871" max="4871" width="8.28515625" style="28" bestFit="1" customWidth="1"/>
    <col min="4872" max="4872" width="5.140625" style="28" bestFit="1" customWidth="1"/>
    <col min="4873" max="4873" width="7.7109375" style="28" bestFit="1" customWidth="1"/>
    <col min="4874" max="4874" width="9" style="28" bestFit="1" customWidth="1"/>
    <col min="4875" max="4875" width="14" style="28" bestFit="1" customWidth="1"/>
    <col min="4876" max="5120" width="9.140625" style="28"/>
    <col min="5121" max="5121" width="6" style="28" bestFit="1" customWidth="1"/>
    <col min="5122" max="5122" width="30.140625" style="28" bestFit="1" customWidth="1"/>
    <col min="5123" max="5123" width="8.28515625" style="28" bestFit="1" customWidth="1"/>
    <col min="5124" max="5124" width="7" style="28" bestFit="1" customWidth="1"/>
    <col min="5125" max="5125" width="7.28515625" style="28" bestFit="1" customWidth="1"/>
    <col min="5126" max="5126" width="7.5703125" style="28" bestFit="1" customWidth="1"/>
    <col min="5127" max="5127" width="8.28515625" style="28" bestFit="1" customWidth="1"/>
    <col min="5128" max="5128" width="5.140625" style="28" bestFit="1" customWidth="1"/>
    <col min="5129" max="5129" width="7.7109375" style="28" bestFit="1" customWidth="1"/>
    <col min="5130" max="5130" width="9" style="28" bestFit="1" customWidth="1"/>
    <col min="5131" max="5131" width="14" style="28" bestFit="1" customWidth="1"/>
    <col min="5132" max="5376" width="9.140625" style="28"/>
    <col min="5377" max="5377" width="6" style="28" bestFit="1" customWidth="1"/>
    <col min="5378" max="5378" width="30.140625" style="28" bestFit="1" customWidth="1"/>
    <col min="5379" max="5379" width="8.28515625" style="28" bestFit="1" customWidth="1"/>
    <col min="5380" max="5380" width="7" style="28" bestFit="1" customWidth="1"/>
    <col min="5381" max="5381" width="7.28515625" style="28" bestFit="1" customWidth="1"/>
    <col min="5382" max="5382" width="7.5703125" style="28" bestFit="1" customWidth="1"/>
    <col min="5383" max="5383" width="8.28515625" style="28" bestFit="1" customWidth="1"/>
    <col min="5384" max="5384" width="5.140625" style="28" bestFit="1" customWidth="1"/>
    <col min="5385" max="5385" width="7.7109375" style="28" bestFit="1" customWidth="1"/>
    <col min="5386" max="5386" width="9" style="28" bestFit="1" customWidth="1"/>
    <col min="5387" max="5387" width="14" style="28" bestFit="1" customWidth="1"/>
    <col min="5388" max="5632" width="9.140625" style="28"/>
    <col min="5633" max="5633" width="6" style="28" bestFit="1" customWidth="1"/>
    <col min="5634" max="5634" width="30.140625" style="28" bestFit="1" customWidth="1"/>
    <col min="5635" max="5635" width="8.28515625" style="28" bestFit="1" customWidth="1"/>
    <col min="5636" max="5636" width="7" style="28" bestFit="1" customWidth="1"/>
    <col min="5637" max="5637" width="7.28515625" style="28" bestFit="1" customWidth="1"/>
    <col min="5638" max="5638" width="7.5703125" style="28" bestFit="1" customWidth="1"/>
    <col min="5639" max="5639" width="8.28515625" style="28" bestFit="1" customWidth="1"/>
    <col min="5640" max="5640" width="5.140625" style="28" bestFit="1" customWidth="1"/>
    <col min="5641" max="5641" width="7.7109375" style="28" bestFit="1" customWidth="1"/>
    <col min="5642" max="5642" width="9" style="28" bestFit="1" customWidth="1"/>
    <col min="5643" max="5643" width="14" style="28" bestFit="1" customWidth="1"/>
    <col min="5644" max="5888" width="9.140625" style="28"/>
    <col min="5889" max="5889" width="6" style="28" bestFit="1" customWidth="1"/>
    <col min="5890" max="5890" width="30.140625" style="28" bestFit="1" customWidth="1"/>
    <col min="5891" max="5891" width="8.28515625" style="28" bestFit="1" customWidth="1"/>
    <col min="5892" max="5892" width="7" style="28" bestFit="1" customWidth="1"/>
    <col min="5893" max="5893" width="7.28515625" style="28" bestFit="1" customWidth="1"/>
    <col min="5894" max="5894" width="7.5703125" style="28" bestFit="1" customWidth="1"/>
    <col min="5895" max="5895" width="8.28515625" style="28" bestFit="1" customWidth="1"/>
    <col min="5896" max="5896" width="5.140625" style="28" bestFit="1" customWidth="1"/>
    <col min="5897" max="5897" width="7.7109375" style="28" bestFit="1" customWidth="1"/>
    <col min="5898" max="5898" width="9" style="28" bestFit="1" customWidth="1"/>
    <col min="5899" max="5899" width="14" style="28" bestFit="1" customWidth="1"/>
    <col min="5900" max="6144" width="9.140625" style="28"/>
    <col min="6145" max="6145" width="6" style="28" bestFit="1" customWidth="1"/>
    <col min="6146" max="6146" width="30.140625" style="28" bestFit="1" customWidth="1"/>
    <col min="6147" max="6147" width="8.28515625" style="28" bestFit="1" customWidth="1"/>
    <col min="6148" max="6148" width="7" style="28" bestFit="1" customWidth="1"/>
    <col min="6149" max="6149" width="7.28515625" style="28" bestFit="1" customWidth="1"/>
    <col min="6150" max="6150" width="7.5703125" style="28" bestFit="1" customWidth="1"/>
    <col min="6151" max="6151" width="8.28515625" style="28" bestFit="1" customWidth="1"/>
    <col min="6152" max="6152" width="5.140625" style="28" bestFit="1" customWidth="1"/>
    <col min="6153" max="6153" width="7.7109375" style="28" bestFit="1" customWidth="1"/>
    <col min="6154" max="6154" width="9" style="28" bestFit="1" customWidth="1"/>
    <col min="6155" max="6155" width="14" style="28" bestFit="1" customWidth="1"/>
    <col min="6156" max="6400" width="9.140625" style="28"/>
    <col min="6401" max="6401" width="6" style="28" bestFit="1" customWidth="1"/>
    <col min="6402" max="6402" width="30.140625" style="28" bestFit="1" customWidth="1"/>
    <col min="6403" max="6403" width="8.28515625" style="28" bestFit="1" customWidth="1"/>
    <col min="6404" max="6404" width="7" style="28" bestFit="1" customWidth="1"/>
    <col min="6405" max="6405" width="7.28515625" style="28" bestFit="1" customWidth="1"/>
    <col min="6406" max="6406" width="7.5703125" style="28" bestFit="1" customWidth="1"/>
    <col min="6407" max="6407" width="8.28515625" style="28" bestFit="1" customWidth="1"/>
    <col min="6408" max="6408" width="5.140625" style="28" bestFit="1" customWidth="1"/>
    <col min="6409" max="6409" width="7.7109375" style="28" bestFit="1" customWidth="1"/>
    <col min="6410" max="6410" width="9" style="28" bestFit="1" customWidth="1"/>
    <col min="6411" max="6411" width="14" style="28" bestFit="1" customWidth="1"/>
    <col min="6412" max="6656" width="9.140625" style="28"/>
    <col min="6657" max="6657" width="6" style="28" bestFit="1" customWidth="1"/>
    <col min="6658" max="6658" width="30.140625" style="28" bestFit="1" customWidth="1"/>
    <col min="6659" max="6659" width="8.28515625" style="28" bestFit="1" customWidth="1"/>
    <col min="6660" max="6660" width="7" style="28" bestFit="1" customWidth="1"/>
    <col min="6661" max="6661" width="7.28515625" style="28" bestFit="1" customWidth="1"/>
    <col min="6662" max="6662" width="7.5703125" style="28" bestFit="1" customWidth="1"/>
    <col min="6663" max="6663" width="8.28515625" style="28" bestFit="1" customWidth="1"/>
    <col min="6664" max="6664" width="5.140625" style="28" bestFit="1" customWidth="1"/>
    <col min="6665" max="6665" width="7.7109375" style="28" bestFit="1" customWidth="1"/>
    <col min="6666" max="6666" width="9" style="28" bestFit="1" customWidth="1"/>
    <col min="6667" max="6667" width="14" style="28" bestFit="1" customWidth="1"/>
    <col min="6668" max="6912" width="9.140625" style="28"/>
    <col min="6913" max="6913" width="6" style="28" bestFit="1" customWidth="1"/>
    <col min="6914" max="6914" width="30.140625" style="28" bestFit="1" customWidth="1"/>
    <col min="6915" max="6915" width="8.28515625" style="28" bestFit="1" customWidth="1"/>
    <col min="6916" max="6916" width="7" style="28" bestFit="1" customWidth="1"/>
    <col min="6917" max="6917" width="7.28515625" style="28" bestFit="1" customWidth="1"/>
    <col min="6918" max="6918" width="7.5703125" style="28" bestFit="1" customWidth="1"/>
    <col min="6919" max="6919" width="8.28515625" style="28" bestFit="1" customWidth="1"/>
    <col min="6920" max="6920" width="5.140625" style="28" bestFit="1" customWidth="1"/>
    <col min="6921" max="6921" width="7.7109375" style="28" bestFit="1" customWidth="1"/>
    <col min="6922" max="6922" width="9" style="28" bestFit="1" customWidth="1"/>
    <col min="6923" max="6923" width="14" style="28" bestFit="1" customWidth="1"/>
    <col min="6924" max="7168" width="9.140625" style="28"/>
    <col min="7169" max="7169" width="6" style="28" bestFit="1" customWidth="1"/>
    <col min="7170" max="7170" width="30.140625" style="28" bestFit="1" customWidth="1"/>
    <col min="7171" max="7171" width="8.28515625" style="28" bestFit="1" customWidth="1"/>
    <col min="7172" max="7172" width="7" style="28" bestFit="1" customWidth="1"/>
    <col min="7173" max="7173" width="7.28515625" style="28" bestFit="1" customWidth="1"/>
    <col min="7174" max="7174" width="7.5703125" style="28" bestFit="1" customWidth="1"/>
    <col min="7175" max="7175" width="8.28515625" style="28" bestFit="1" customWidth="1"/>
    <col min="7176" max="7176" width="5.140625" style="28" bestFit="1" customWidth="1"/>
    <col min="7177" max="7177" width="7.7109375" style="28" bestFit="1" customWidth="1"/>
    <col min="7178" max="7178" width="9" style="28" bestFit="1" customWidth="1"/>
    <col min="7179" max="7179" width="14" style="28" bestFit="1" customWidth="1"/>
    <col min="7180" max="7424" width="9.140625" style="28"/>
    <col min="7425" max="7425" width="6" style="28" bestFit="1" customWidth="1"/>
    <col min="7426" max="7426" width="30.140625" style="28" bestFit="1" customWidth="1"/>
    <col min="7427" max="7427" width="8.28515625" style="28" bestFit="1" customWidth="1"/>
    <col min="7428" max="7428" width="7" style="28" bestFit="1" customWidth="1"/>
    <col min="7429" max="7429" width="7.28515625" style="28" bestFit="1" customWidth="1"/>
    <col min="7430" max="7430" width="7.5703125" style="28" bestFit="1" customWidth="1"/>
    <col min="7431" max="7431" width="8.28515625" style="28" bestFit="1" customWidth="1"/>
    <col min="7432" max="7432" width="5.140625" style="28" bestFit="1" customWidth="1"/>
    <col min="7433" max="7433" width="7.7109375" style="28" bestFit="1" customWidth="1"/>
    <col min="7434" max="7434" width="9" style="28" bestFit="1" customWidth="1"/>
    <col min="7435" max="7435" width="14" style="28" bestFit="1" customWidth="1"/>
    <col min="7436" max="7680" width="9.140625" style="28"/>
    <col min="7681" max="7681" width="6" style="28" bestFit="1" customWidth="1"/>
    <col min="7682" max="7682" width="30.140625" style="28" bestFit="1" customWidth="1"/>
    <col min="7683" max="7683" width="8.28515625" style="28" bestFit="1" customWidth="1"/>
    <col min="7684" max="7684" width="7" style="28" bestFit="1" customWidth="1"/>
    <col min="7685" max="7685" width="7.28515625" style="28" bestFit="1" customWidth="1"/>
    <col min="7686" max="7686" width="7.5703125" style="28" bestFit="1" customWidth="1"/>
    <col min="7687" max="7687" width="8.28515625" style="28" bestFit="1" customWidth="1"/>
    <col min="7688" max="7688" width="5.140625" style="28" bestFit="1" customWidth="1"/>
    <col min="7689" max="7689" width="7.7109375" style="28" bestFit="1" customWidth="1"/>
    <col min="7690" max="7690" width="9" style="28" bestFit="1" customWidth="1"/>
    <col min="7691" max="7691" width="14" style="28" bestFit="1" customWidth="1"/>
    <col min="7692" max="7936" width="9.140625" style="28"/>
    <col min="7937" max="7937" width="6" style="28" bestFit="1" customWidth="1"/>
    <col min="7938" max="7938" width="30.140625" style="28" bestFit="1" customWidth="1"/>
    <col min="7939" max="7939" width="8.28515625" style="28" bestFit="1" customWidth="1"/>
    <col min="7940" max="7940" width="7" style="28" bestFit="1" customWidth="1"/>
    <col min="7941" max="7941" width="7.28515625" style="28" bestFit="1" customWidth="1"/>
    <col min="7942" max="7942" width="7.5703125" style="28" bestFit="1" customWidth="1"/>
    <col min="7943" max="7943" width="8.28515625" style="28" bestFit="1" customWidth="1"/>
    <col min="7944" max="7944" width="5.140625" style="28" bestFit="1" customWidth="1"/>
    <col min="7945" max="7945" width="7.7109375" style="28" bestFit="1" customWidth="1"/>
    <col min="7946" max="7946" width="9" style="28" bestFit="1" customWidth="1"/>
    <col min="7947" max="7947" width="14" style="28" bestFit="1" customWidth="1"/>
    <col min="7948" max="8192" width="9.140625" style="28"/>
    <col min="8193" max="8193" width="6" style="28" bestFit="1" customWidth="1"/>
    <col min="8194" max="8194" width="30.140625" style="28" bestFit="1" customWidth="1"/>
    <col min="8195" max="8195" width="8.28515625" style="28" bestFit="1" customWidth="1"/>
    <col min="8196" max="8196" width="7" style="28" bestFit="1" customWidth="1"/>
    <col min="8197" max="8197" width="7.28515625" style="28" bestFit="1" customWidth="1"/>
    <col min="8198" max="8198" width="7.5703125" style="28" bestFit="1" customWidth="1"/>
    <col min="8199" max="8199" width="8.28515625" style="28" bestFit="1" customWidth="1"/>
    <col min="8200" max="8200" width="5.140625" style="28" bestFit="1" customWidth="1"/>
    <col min="8201" max="8201" width="7.7109375" style="28" bestFit="1" customWidth="1"/>
    <col min="8202" max="8202" width="9" style="28" bestFit="1" customWidth="1"/>
    <col min="8203" max="8203" width="14" style="28" bestFit="1" customWidth="1"/>
    <col min="8204" max="8448" width="9.140625" style="28"/>
    <col min="8449" max="8449" width="6" style="28" bestFit="1" customWidth="1"/>
    <col min="8450" max="8450" width="30.140625" style="28" bestFit="1" customWidth="1"/>
    <col min="8451" max="8451" width="8.28515625" style="28" bestFit="1" customWidth="1"/>
    <col min="8452" max="8452" width="7" style="28" bestFit="1" customWidth="1"/>
    <col min="8453" max="8453" width="7.28515625" style="28" bestFit="1" customWidth="1"/>
    <col min="8454" max="8454" width="7.5703125" style="28" bestFit="1" customWidth="1"/>
    <col min="8455" max="8455" width="8.28515625" style="28" bestFit="1" customWidth="1"/>
    <col min="8456" max="8456" width="5.140625" style="28" bestFit="1" customWidth="1"/>
    <col min="8457" max="8457" width="7.7109375" style="28" bestFit="1" customWidth="1"/>
    <col min="8458" max="8458" width="9" style="28" bestFit="1" customWidth="1"/>
    <col min="8459" max="8459" width="14" style="28" bestFit="1" customWidth="1"/>
    <col min="8460" max="8704" width="9.140625" style="28"/>
    <col min="8705" max="8705" width="6" style="28" bestFit="1" customWidth="1"/>
    <col min="8706" max="8706" width="30.140625" style="28" bestFit="1" customWidth="1"/>
    <col min="8707" max="8707" width="8.28515625" style="28" bestFit="1" customWidth="1"/>
    <col min="8708" max="8708" width="7" style="28" bestFit="1" customWidth="1"/>
    <col min="8709" max="8709" width="7.28515625" style="28" bestFit="1" customWidth="1"/>
    <col min="8710" max="8710" width="7.5703125" style="28" bestFit="1" customWidth="1"/>
    <col min="8711" max="8711" width="8.28515625" style="28" bestFit="1" customWidth="1"/>
    <col min="8712" max="8712" width="5.140625" style="28" bestFit="1" customWidth="1"/>
    <col min="8713" max="8713" width="7.7109375" style="28" bestFit="1" customWidth="1"/>
    <col min="8714" max="8714" width="9" style="28" bestFit="1" customWidth="1"/>
    <col min="8715" max="8715" width="14" style="28" bestFit="1" customWidth="1"/>
    <col min="8716" max="8960" width="9.140625" style="28"/>
    <col min="8961" max="8961" width="6" style="28" bestFit="1" customWidth="1"/>
    <col min="8962" max="8962" width="30.140625" style="28" bestFit="1" customWidth="1"/>
    <col min="8963" max="8963" width="8.28515625" style="28" bestFit="1" customWidth="1"/>
    <col min="8964" max="8964" width="7" style="28" bestFit="1" customWidth="1"/>
    <col min="8965" max="8965" width="7.28515625" style="28" bestFit="1" customWidth="1"/>
    <col min="8966" max="8966" width="7.5703125" style="28" bestFit="1" customWidth="1"/>
    <col min="8967" max="8967" width="8.28515625" style="28" bestFit="1" customWidth="1"/>
    <col min="8968" max="8968" width="5.140625" style="28" bestFit="1" customWidth="1"/>
    <col min="8969" max="8969" width="7.7109375" style="28" bestFit="1" customWidth="1"/>
    <col min="8970" max="8970" width="9" style="28" bestFit="1" customWidth="1"/>
    <col min="8971" max="8971" width="14" style="28" bestFit="1" customWidth="1"/>
    <col min="8972" max="9216" width="9.140625" style="28"/>
    <col min="9217" max="9217" width="6" style="28" bestFit="1" customWidth="1"/>
    <col min="9218" max="9218" width="30.140625" style="28" bestFit="1" customWidth="1"/>
    <col min="9219" max="9219" width="8.28515625" style="28" bestFit="1" customWidth="1"/>
    <col min="9220" max="9220" width="7" style="28" bestFit="1" customWidth="1"/>
    <col min="9221" max="9221" width="7.28515625" style="28" bestFit="1" customWidth="1"/>
    <col min="9222" max="9222" width="7.5703125" style="28" bestFit="1" customWidth="1"/>
    <col min="9223" max="9223" width="8.28515625" style="28" bestFit="1" customWidth="1"/>
    <col min="9224" max="9224" width="5.140625" style="28" bestFit="1" customWidth="1"/>
    <col min="9225" max="9225" width="7.7109375" style="28" bestFit="1" customWidth="1"/>
    <col min="9226" max="9226" width="9" style="28" bestFit="1" customWidth="1"/>
    <col min="9227" max="9227" width="14" style="28" bestFit="1" customWidth="1"/>
    <col min="9228" max="9472" width="9.140625" style="28"/>
    <col min="9473" max="9473" width="6" style="28" bestFit="1" customWidth="1"/>
    <col min="9474" max="9474" width="30.140625" style="28" bestFit="1" customWidth="1"/>
    <col min="9475" max="9475" width="8.28515625" style="28" bestFit="1" customWidth="1"/>
    <col min="9476" max="9476" width="7" style="28" bestFit="1" customWidth="1"/>
    <col min="9477" max="9477" width="7.28515625" style="28" bestFit="1" customWidth="1"/>
    <col min="9478" max="9478" width="7.5703125" style="28" bestFit="1" customWidth="1"/>
    <col min="9479" max="9479" width="8.28515625" style="28" bestFit="1" customWidth="1"/>
    <col min="9480" max="9480" width="5.140625" style="28" bestFit="1" customWidth="1"/>
    <col min="9481" max="9481" width="7.7109375" style="28" bestFit="1" customWidth="1"/>
    <col min="9482" max="9482" width="9" style="28" bestFit="1" customWidth="1"/>
    <col min="9483" max="9483" width="14" style="28" bestFit="1" customWidth="1"/>
    <col min="9484" max="9728" width="9.140625" style="28"/>
    <col min="9729" max="9729" width="6" style="28" bestFit="1" customWidth="1"/>
    <col min="9730" max="9730" width="30.140625" style="28" bestFit="1" customWidth="1"/>
    <col min="9731" max="9731" width="8.28515625" style="28" bestFit="1" customWidth="1"/>
    <col min="9732" max="9732" width="7" style="28" bestFit="1" customWidth="1"/>
    <col min="9733" max="9733" width="7.28515625" style="28" bestFit="1" customWidth="1"/>
    <col min="9734" max="9734" width="7.5703125" style="28" bestFit="1" customWidth="1"/>
    <col min="9735" max="9735" width="8.28515625" style="28" bestFit="1" customWidth="1"/>
    <col min="9736" max="9736" width="5.140625" style="28" bestFit="1" customWidth="1"/>
    <col min="9737" max="9737" width="7.7109375" style="28" bestFit="1" customWidth="1"/>
    <col min="9738" max="9738" width="9" style="28" bestFit="1" customWidth="1"/>
    <col min="9739" max="9739" width="14" style="28" bestFit="1" customWidth="1"/>
    <col min="9740" max="9984" width="9.140625" style="28"/>
    <col min="9985" max="9985" width="6" style="28" bestFit="1" customWidth="1"/>
    <col min="9986" max="9986" width="30.140625" style="28" bestFit="1" customWidth="1"/>
    <col min="9987" max="9987" width="8.28515625" style="28" bestFit="1" customWidth="1"/>
    <col min="9988" max="9988" width="7" style="28" bestFit="1" customWidth="1"/>
    <col min="9989" max="9989" width="7.28515625" style="28" bestFit="1" customWidth="1"/>
    <col min="9990" max="9990" width="7.5703125" style="28" bestFit="1" customWidth="1"/>
    <col min="9991" max="9991" width="8.28515625" style="28" bestFit="1" customWidth="1"/>
    <col min="9992" max="9992" width="5.140625" style="28" bestFit="1" customWidth="1"/>
    <col min="9993" max="9993" width="7.7109375" style="28" bestFit="1" customWidth="1"/>
    <col min="9994" max="9994" width="9" style="28" bestFit="1" customWidth="1"/>
    <col min="9995" max="9995" width="14" style="28" bestFit="1" customWidth="1"/>
    <col min="9996" max="10240" width="9.140625" style="28"/>
    <col min="10241" max="10241" width="6" style="28" bestFit="1" customWidth="1"/>
    <col min="10242" max="10242" width="30.140625" style="28" bestFit="1" customWidth="1"/>
    <col min="10243" max="10243" width="8.28515625" style="28" bestFit="1" customWidth="1"/>
    <col min="10244" max="10244" width="7" style="28" bestFit="1" customWidth="1"/>
    <col min="10245" max="10245" width="7.28515625" style="28" bestFit="1" customWidth="1"/>
    <col min="10246" max="10246" width="7.5703125" style="28" bestFit="1" customWidth="1"/>
    <col min="10247" max="10247" width="8.28515625" style="28" bestFit="1" customWidth="1"/>
    <col min="10248" max="10248" width="5.140625" style="28" bestFit="1" customWidth="1"/>
    <col min="10249" max="10249" width="7.7109375" style="28" bestFit="1" customWidth="1"/>
    <col min="10250" max="10250" width="9" style="28" bestFit="1" customWidth="1"/>
    <col min="10251" max="10251" width="14" style="28" bestFit="1" customWidth="1"/>
    <col min="10252" max="10496" width="9.140625" style="28"/>
    <col min="10497" max="10497" width="6" style="28" bestFit="1" customWidth="1"/>
    <col min="10498" max="10498" width="30.140625" style="28" bestFit="1" customWidth="1"/>
    <col min="10499" max="10499" width="8.28515625" style="28" bestFit="1" customWidth="1"/>
    <col min="10500" max="10500" width="7" style="28" bestFit="1" customWidth="1"/>
    <col min="10501" max="10501" width="7.28515625" style="28" bestFit="1" customWidth="1"/>
    <col min="10502" max="10502" width="7.5703125" style="28" bestFit="1" customWidth="1"/>
    <col min="10503" max="10503" width="8.28515625" style="28" bestFit="1" customWidth="1"/>
    <col min="10504" max="10504" width="5.140625" style="28" bestFit="1" customWidth="1"/>
    <col min="10505" max="10505" width="7.7109375" style="28" bestFit="1" customWidth="1"/>
    <col min="10506" max="10506" width="9" style="28" bestFit="1" customWidth="1"/>
    <col min="10507" max="10507" width="14" style="28" bestFit="1" customWidth="1"/>
    <col min="10508" max="10752" width="9.140625" style="28"/>
    <col min="10753" max="10753" width="6" style="28" bestFit="1" customWidth="1"/>
    <col min="10754" max="10754" width="30.140625" style="28" bestFit="1" customWidth="1"/>
    <col min="10755" max="10755" width="8.28515625" style="28" bestFit="1" customWidth="1"/>
    <col min="10756" max="10756" width="7" style="28" bestFit="1" customWidth="1"/>
    <col min="10757" max="10757" width="7.28515625" style="28" bestFit="1" customWidth="1"/>
    <col min="10758" max="10758" width="7.5703125" style="28" bestFit="1" customWidth="1"/>
    <col min="10759" max="10759" width="8.28515625" style="28" bestFit="1" customWidth="1"/>
    <col min="10760" max="10760" width="5.140625" style="28" bestFit="1" customWidth="1"/>
    <col min="10761" max="10761" width="7.7109375" style="28" bestFit="1" customWidth="1"/>
    <col min="10762" max="10762" width="9" style="28" bestFit="1" customWidth="1"/>
    <col min="10763" max="10763" width="14" style="28" bestFit="1" customWidth="1"/>
    <col min="10764" max="11008" width="9.140625" style="28"/>
    <col min="11009" max="11009" width="6" style="28" bestFit="1" customWidth="1"/>
    <col min="11010" max="11010" width="30.140625" style="28" bestFit="1" customWidth="1"/>
    <col min="11011" max="11011" width="8.28515625" style="28" bestFit="1" customWidth="1"/>
    <col min="11012" max="11012" width="7" style="28" bestFit="1" customWidth="1"/>
    <col min="11013" max="11013" width="7.28515625" style="28" bestFit="1" customWidth="1"/>
    <col min="11014" max="11014" width="7.5703125" style="28" bestFit="1" customWidth="1"/>
    <col min="11015" max="11015" width="8.28515625" style="28" bestFit="1" customWidth="1"/>
    <col min="11016" max="11016" width="5.140625" style="28" bestFit="1" customWidth="1"/>
    <col min="11017" max="11017" width="7.7109375" style="28" bestFit="1" customWidth="1"/>
    <col min="11018" max="11018" width="9" style="28" bestFit="1" customWidth="1"/>
    <col min="11019" max="11019" width="14" style="28" bestFit="1" customWidth="1"/>
    <col min="11020" max="11264" width="9.140625" style="28"/>
    <col min="11265" max="11265" width="6" style="28" bestFit="1" customWidth="1"/>
    <col min="11266" max="11266" width="30.140625" style="28" bestFit="1" customWidth="1"/>
    <col min="11267" max="11267" width="8.28515625" style="28" bestFit="1" customWidth="1"/>
    <col min="11268" max="11268" width="7" style="28" bestFit="1" customWidth="1"/>
    <col min="11269" max="11269" width="7.28515625" style="28" bestFit="1" customWidth="1"/>
    <col min="11270" max="11270" width="7.5703125" style="28" bestFit="1" customWidth="1"/>
    <col min="11271" max="11271" width="8.28515625" style="28" bestFit="1" customWidth="1"/>
    <col min="11272" max="11272" width="5.140625" style="28" bestFit="1" customWidth="1"/>
    <col min="11273" max="11273" width="7.7109375" style="28" bestFit="1" customWidth="1"/>
    <col min="11274" max="11274" width="9" style="28" bestFit="1" customWidth="1"/>
    <col min="11275" max="11275" width="14" style="28" bestFit="1" customWidth="1"/>
    <col min="11276" max="11520" width="9.140625" style="28"/>
    <col min="11521" max="11521" width="6" style="28" bestFit="1" customWidth="1"/>
    <col min="11522" max="11522" width="30.140625" style="28" bestFit="1" customWidth="1"/>
    <col min="11523" max="11523" width="8.28515625" style="28" bestFit="1" customWidth="1"/>
    <col min="11524" max="11524" width="7" style="28" bestFit="1" customWidth="1"/>
    <col min="11525" max="11525" width="7.28515625" style="28" bestFit="1" customWidth="1"/>
    <col min="11526" max="11526" width="7.5703125" style="28" bestFit="1" customWidth="1"/>
    <col min="11527" max="11527" width="8.28515625" style="28" bestFit="1" customWidth="1"/>
    <col min="11528" max="11528" width="5.140625" style="28" bestFit="1" customWidth="1"/>
    <col min="11529" max="11529" width="7.7109375" style="28" bestFit="1" customWidth="1"/>
    <col min="11530" max="11530" width="9" style="28" bestFit="1" customWidth="1"/>
    <col min="11531" max="11531" width="14" style="28" bestFit="1" customWidth="1"/>
    <col min="11532" max="11776" width="9.140625" style="28"/>
    <col min="11777" max="11777" width="6" style="28" bestFit="1" customWidth="1"/>
    <col min="11778" max="11778" width="30.140625" style="28" bestFit="1" customWidth="1"/>
    <col min="11779" max="11779" width="8.28515625" style="28" bestFit="1" customWidth="1"/>
    <col min="11780" max="11780" width="7" style="28" bestFit="1" customWidth="1"/>
    <col min="11781" max="11781" width="7.28515625" style="28" bestFit="1" customWidth="1"/>
    <col min="11782" max="11782" width="7.5703125" style="28" bestFit="1" customWidth="1"/>
    <col min="11783" max="11783" width="8.28515625" style="28" bestFit="1" customWidth="1"/>
    <col min="11784" max="11784" width="5.140625" style="28" bestFit="1" customWidth="1"/>
    <col min="11785" max="11785" width="7.7109375" style="28" bestFit="1" customWidth="1"/>
    <col min="11786" max="11786" width="9" style="28" bestFit="1" customWidth="1"/>
    <col min="11787" max="11787" width="14" style="28" bestFit="1" customWidth="1"/>
    <col min="11788" max="12032" width="9.140625" style="28"/>
    <col min="12033" max="12033" width="6" style="28" bestFit="1" customWidth="1"/>
    <col min="12034" max="12034" width="30.140625" style="28" bestFit="1" customWidth="1"/>
    <col min="12035" max="12035" width="8.28515625" style="28" bestFit="1" customWidth="1"/>
    <col min="12036" max="12036" width="7" style="28" bestFit="1" customWidth="1"/>
    <col min="12037" max="12037" width="7.28515625" style="28" bestFit="1" customWidth="1"/>
    <col min="12038" max="12038" width="7.5703125" style="28" bestFit="1" customWidth="1"/>
    <col min="12039" max="12039" width="8.28515625" style="28" bestFit="1" customWidth="1"/>
    <col min="12040" max="12040" width="5.140625" style="28" bestFit="1" customWidth="1"/>
    <col min="12041" max="12041" width="7.7109375" style="28" bestFit="1" customWidth="1"/>
    <col min="12042" max="12042" width="9" style="28" bestFit="1" customWidth="1"/>
    <col min="12043" max="12043" width="14" style="28" bestFit="1" customWidth="1"/>
    <col min="12044" max="12288" width="9.140625" style="28"/>
    <col min="12289" max="12289" width="6" style="28" bestFit="1" customWidth="1"/>
    <col min="12290" max="12290" width="30.140625" style="28" bestFit="1" customWidth="1"/>
    <col min="12291" max="12291" width="8.28515625" style="28" bestFit="1" customWidth="1"/>
    <col min="12292" max="12292" width="7" style="28" bestFit="1" customWidth="1"/>
    <col min="12293" max="12293" width="7.28515625" style="28" bestFit="1" customWidth="1"/>
    <col min="12294" max="12294" width="7.5703125" style="28" bestFit="1" customWidth="1"/>
    <col min="12295" max="12295" width="8.28515625" style="28" bestFit="1" customWidth="1"/>
    <col min="12296" max="12296" width="5.140625" style="28" bestFit="1" customWidth="1"/>
    <col min="12297" max="12297" width="7.7109375" style="28" bestFit="1" customWidth="1"/>
    <col min="12298" max="12298" width="9" style="28" bestFit="1" customWidth="1"/>
    <col min="12299" max="12299" width="14" style="28" bestFit="1" customWidth="1"/>
    <col min="12300" max="12544" width="9.140625" style="28"/>
    <col min="12545" max="12545" width="6" style="28" bestFit="1" customWidth="1"/>
    <col min="12546" max="12546" width="30.140625" style="28" bestFit="1" customWidth="1"/>
    <col min="12547" max="12547" width="8.28515625" style="28" bestFit="1" customWidth="1"/>
    <col min="12548" max="12548" width="7" style="28" bestFit="1" customWidth="1"/>
    <col min="12549" max="12549" width="7.28515625" style="28" bestFit="1" customWidth="1"/>
    <col min="12550" max="12550" width="7.5703125" style="28" bestFit="1" customWidth="1"/>
    <col min="12551" max="12551" width="8.28515625" style="28" bestFit="1" customWidth="1"/>
    <col min="12552" max="12552" width="5.140625" style="28" bestFit="1" customWidth="1"/>
    <col min="12553" max="12553" width="7.7109375" style="28" bestFit="1" customWidth="1"/>
    <col min="12554" max="12554" width="9" style="28" bestFit="1" customWidth="1"/>
    <col min="12555" max="12555" width="14" style="28" bestFit="1" customWidth="1"/>
    <col min="12556" max="12800" width="9.140625" style="28"/>
    <col min="12801" max="12801" width="6" style="28" bestFit="1" customWidth="1"/>
    <col min="12802" max="12802" width="30.140625" style="28" bestFit="1" customWidth="1"/>
    <col min="12803" max="12803" width="8.28515625" style="28" bestFit="1" customWidth="1"/>
    <col min="12804" max="12804" width="7" style="28" bestFit="1" customWidth="1"/>
    <col min="12805" max="12805" width="7.28515625" style="28" bestFit="1" customWidth="1"/>
    <col min="12806" max="12806" width="7.5703125" style="28" bestFit="1" customWidth="1"/>
    <col min="12807" max="12807" width="8.28515625" style="28" bestFit="1" customWidth="1"/>
    <col min="12808" max="12808" width="5.140625" style="28" bestFit="1" customWidth="1"/>
    <col min="12809" max="12809" width="7.7109375" style="28" bestFit="1" customWidth="1"/>
    <col min="12810" max="12810" width="9" style="28" bestFit="1" customWidth="1"/>
    <col min="12811" max="12811" width="14" style="28" bestFit="1" customWidth="1"/>
    <col min="12812" max="13056" width="9.140625" style="28"/>
    <col min="13057" max="13057" width="6" style="28" bestFit="1" customWidth="1"/>
    <col min="13058" max="13058" width="30.140625" style="28" bestFit="1" customWidth="1"/>
    <col min="13059" max="13059" width="8.28515625" style="28" bestFit="1" customWidth="1"/>
    <col min="13060" max="13060" width="7" style="28" bestFit="1" customWidth="1"/>
    <col min="13061" max="13061" width="7.28515625" style="28" bestFit="1" customWidth="1"/>
    <col min="13062" max="13062" width="7.5703125" style="28" bestFit="1" customWidth="1"/>
    <col min="13063" max="13063" width="8.28515625" style="28" bestFit="1" customWidth="1"/>
    <col min="13064" max="13064" width="5.140625" style="28" bestFit="1" customWidth="1"/>
    <col min="13065" max="13065" width="7.7109375" style="28" bestFit="1" customWidth="1"/>
    <col min="13066" max="13066" width="9" style="28" bestFit="1" customWidth="1"/>
    <col min="13067" max="13067" width="14" style="28" bestFit="1" customWidth="1"/>
    <col min="13068" max="13312" width="9.140625" style="28"/>
    <col min="13313" max="13313" width="6" style="28" bestFit="1" customWidth="1"/>
    <col min="13314" max="13314" width="30.140625" style="28" bestFit="1" customWidth="1"/>
    <col min="13315" max="13315" width="8.28515625" style="28" bestFit="1" customWidth="1"/>
    <col min="13316" max="13316" width="7" style="28" bestFit="1" customWidth="1"/>
    <col min="13317" max="13317" width="7.28515625" style="28" bestFit="1" customWidth="1"/>
    <col min="13318" max="13318" width="7.5703125" style="28" bestFit="1" customWidth="1"/>
    <col min="13319" max="13319" width="8.28515625" style="28" bestFit="1" customWidth="1"/>
    <col min="13320" max="13320" width="5.140625" style="28" bestFit="1" customWidth="1"/>
    <col min="13321" max="13321" width="7.7109375" style="28" bestFit="1" customWidth="1"/>
    <col min="13322" max="13322" width="9" style="28" bestFit="1" customWidth="1"/>
    <col min="13323" max="13323" width="14" style="28" bestFit="1" customWidth="1"/>
    <col min="13324" max="13568" width="9.140625" style="28"/>
    <col min="13569" max="13569" width="6" style="28" bestFit="1" customWidth="1"/>
    <col min="13570" max="13570" width="30.140625" style="28" bestFit="1" customWidth="1"/>
    <col min="13571" max="13571" width="8.28515625" style="28" bestFit="1" customWidth="1"/>
    <col min="13572" max="13572" width="7" style="28" bestFit="1" customWidth="1"/>
    <col min="13573" max="13573" width="7.28515625" style="28" bestFit="1" customWidth="1"/>
    <col min="13574" max="13574" width="7.5703125" style="28" bestFit="1" customWidth="1"/>
    <col min="13575" max="13575" width="8.28515625" style="28" bestFit="1" customWidth="1"/>
    <col min="13576" max="13576" width="5.140625" style="28" bestFit="1" customWidth="1"/>
    <col min="13577" max="13577" width="7.7109375" style="28" bestFit="1" customWidth="1"/>
    <col min="13578" max="13578" width="9" style="28" bestFit="1" customWidth="1"/>
    <col min="13579" max="13579" width="14" style="28" bestFit="1" customWidth="1"/>
    <col min="13580" max="13824" width="9.140625" style="28"/>
    <col min="13825" max="13825" width="6" style="28" bestFit="1" customWidth="1"/>
    <col min="13826" max="13826" width="30.140625" style="28" bestFit="1" customWidth="1"/>
    <col min="13827" max="13827" width="8.28515625" style="28" bestFit="1" customWidth="1"/>
    <col min="13828" max="13828" width="7" style="28" bestFit="1" customWidth="1"/>
    <col min="13829" max="13829" width="7.28515625" style="28" bestFit="1" customWidth="1"/>
    <col min="13830" max="13830" width="7.5703125" style="28" bestFit="1" customWidth="1"/>
    <col min="13831" max="13831" width="8.28515625" style="28" bestFit="1" customWidth="1"/>
    <col min="13832" max="13832" width="5.140625" style="28" bestFit="1" customWidth="1"/>
    <col min="13833" max="13833" width="7.7109375" style="28" bestFit="1" customWidth="1"/>
    <col min="13834" max="13834" width="9" style="28" bestFit="1" customWidth="1"/>
    <col min="13835" max="13835" width="14" style="28" bestFit="1" customWidth="1"/>
    <col min="13836" max="14080" width="9.140625" style="28"/>
    <col min="14081" max="14081" width="6" style="28" bestFit="1" customWidth="1"/>
    <col min="14082" max="14082" width="30.140625" style="28" bestFit="1" customWidth="1"/>
    <col min="14083" max="14083" width="8.28515625" style="28" bestFit="1" customWidth="1"/>
    <col min="14084" max="14084" width="7" style="28" bestFit="1" customWidth="1"/>
    <col min="14085" max="14085" width="7.28515625" style="28" bestFit="1" customWidth="1"/>
    <col min="14086" max="14086" width="7.5703125" style="28" bestFit="1" customWidth="1"/>
    <col min="14087" max="14087" width="8.28515625" style="28" bestFit="1" customWidth="1"/>
    <col min="14088" max="14088" width="5.140625" style="28" bestFit="1" customWidth="1"/>
    <col min="14089" max="14089" width="7.7109375" style="28" bestFit="1" customWidth="1"/>
    <col min="14090" max="14090" width="9" style="28" bestFit="1" customWidth="1"/>
    <col min="14091" max="14091" width="14" style="28" bestFit="1" customWidth="1"/>
    <col min="14092" max="14336" width="9.140625" style="28"/>
    <col min="14337" max="14337" width="6" style="28" bestFit="1" customWidth="1"/>
    <col min="14338" max="14338" width="30.140625" style="28" bestFit="1" customWidth="1"/>
    <col min="14339" max="14339" width="8.28515625" style="28" bestFit="1" customWidth="1"/>
    <col min="14340" max="14340" width="7" style="28" bestFit="1" customWidth="1"/>
    <col min="14341" max="14341" width="7.28515625" style="28" bestFit="1" customWidth="1"/>
    <col min="14342" max="14342" width="7.5703125" style="28" bestFit="1" customWidth="1"/>
    <col min="14343" max="14343" width="8.28515625" style="28" bestFit="1" customWidth="1"/>
    <col min="14344" max="14344" width="5.140625" style="28" bestFit="1" customWidth="1"/>
    <col min="14345" max="14345" width="7.7109375" style="28" bestFit="1" customWidth="1"/>
    <col min="14346" max="14346" width="9" style="28" bestFit="1" customWidth="1"/>
    <col min="14347" max="14347" width="14" style="28" bestFit="1" customWidth="1"/>
    <col min="14348" max="14592" width="9.140625" style="28"/>
    <col min="14593" max="14593" width="6" style="28" bestFit="1" customWidth="1"/>
    <col min="14594" max="14594" width="30.140625" style="28" bestFit="1" customWidth="1"/>
    <col min="14595" max="14595" width="8.28515625" style="28" bestFit="1" customWidth="1"/>
    <col min="14596" max="14596" width="7" style="28" bestFit="1" customWidth="1"/>
    <col min="14597" max="14597" width="7.28515625" style="28" bestFit="1" customWidth="1"/>
    <col min="14598" max="14598" width="7.5703125" style="28" bestFit="1" customWidth="1"/>
    <col min="14599" max="14599" width="8.28515625" style="28" bestFit="1" customWidth="1"/>
    <col min="14600" max="14600" width="5.140625" style="28" bestFit="1" customWidth="1"/>
    <col min="14601" max="14601" width="7.7109375" style="28" bestFit="1" customWidth="1"/>
    <col min="14602" max="14602" width="9" style="28" bestFit="1" customWidth="1"/>
    <col min="14603" max="14603" width="14" style="28" bestFit="1" customWidth="1"/>
    <col min="14604" max="14848" width="9.140625" style="28"/>
    <col min="14849" max="14849" width="6" style="28" bestFit="1" customWidth="1"/>
    <col min="14850" max="14850" width="30.140625" style="28" bestFit="1" customWidth="1"/>
    <col min="14851" max="14851" width="8.28515625" style="28" bestFit="1" customWidth="1"/>
    <col min="14852" max="14852" width="7" style="28" bestFit="1" customWidth="1"/>
    <col min="14853" max="14853" width="7.28515625" style="28" bestFit="1" customWidth="1"/>
    <col min="14854" max="14854" width="7.5703125" style="28" bestFit="1" customWidth="1"/>
    <col min="14855" max="14855" width="8.28515625" style="28" bestFit="1" customWidth="1"/>
    <col min="14856" max="14856" width="5.140625" style="28" bestFit="1" customWidth="1"/>
    <col min="14857" max="14857" width="7.7109375" style="28" bestFit="1" customWidth="1"/>
    <col min="14858" max="14858" width="9" style="28" bestFit="1" customWidth="1"/>
    <col min="14859" max="14859" width="14" style="28" bestFit="1" customWidth="1"/>
    <col min="14860" max="15104" width="9.140625" style="28"/>
    <col min="15105" max="15105" width="6" style="28" bestFit="1" customWidth="1"/>
    <col min="15106" max="15106" width="30.140625" style="28" bestFit="1" customWidth="1"/>
    <col min="15107" max="15107" width="8.28515625" style="28" bestFit="1" customWidth="1"/>
    <col min="15108" max="15108" width="7" style="28" bestFit="1" customWidth="1"/>
    <col min="15109" max="15109" width="7.28515625" style="28" bestFit="1" customWidth="1"/>
    <col min="15110" max="15110" width="7.5703125" style="28" bestFit="1" customWidth="1"/>
    <col min="15111" max="15111" width="8.28515625" style="28" bestFit="1" customWidth="1"/>
    <col min="15112" max="15112" width="5.140625" style="28" bestFit="1" customWidth="1"/>
    <col min="15113" max="15113" width="7.7109375" style="28" bestFit="1" customWidth="1"/>
    <col min="15114" max="15114" width="9" style="28" bestFit="1" customWidth="1"/>
    <col min="15115" max="15115" width="14" style="28" bestFit="1" customWidth="1"/>
    <col min="15116" max="15360" width="9.140625" style="28"/>
    <col min="15361" max="15361" width="6" style="28" bestFit="1" customWidth="1"/>
    <col min="15362" max="15362" width="30.140625" style="28" bestFit="1" customWidth="1"/>
    <col min="15363" max="15363" width="8.28515625" style="28" bestFit="1" customWidth="1"/>
    <col min="15364" max="15364" width="7" style="28" bestFit="1" customWidth="1"/>
    <col min="15365" max="15365" width="7.28515625" style="28" bestFit="1" customWidth="1"/>
    <col min="15366" max="15366" width="7.5703125" style="28" bestFit="1" customWidth="1"/>
    <col min="15367" max="15367" width="8.28515625" style="28" bestFit="1" customWidth="1"/>
    <col min="15368" max="15368" width="5.140625" style="28" bestFit="1" customWidth="1"/>
    <col min="15369" max="15369" width="7.7109375" style="28" bestFit="1" customWidth="1"/>
    <col min="15370" max="15370" width="9" style="28" bestFit="1" customWidth="1"/>
    <col min="15371" max="15371" width="14" style="28" bestFit="1" customWidth="1"/>
    <col min="15372" max="15616" width="9.140625" style="28"/>
    <col min="15617" max="15617" width="6" style="28" bestFit="1" customWidth="1"/>
    <col min="15618" max="15618" width="30.140625" style="28" bestFit="1" customWidth="1"/>
    <col min="15619" max="15619" width="8.28515625" style="28" bestFit="1" customWidth="1"/>
    <col min="15620" max="15620" width="7" style="28" bestFit="1" customWidth="1"/>
    <col min="15621" max="15621" width="7.28515625" style="28" bestFit="1" customWidth="1"/>
    <col min="15622" max="15622" width="7.5703125" style="28" bestFit="1" customWidth="1"/>
    <col min="15623" max="15623" width="8.28515625" style="28" bestFit="1" customWidth="1"/>
    <col min="15624" max="15624" width="5.140625" style="28" bestFit="1" customWidth="1"/>
    <col min="15625" max="15625" width="7.7109375" style="28" bestFit="1" customWidth="1"/>
    <col min="15626" max="15626" width="9" style="28" bestFit="1" customWidth="1"/>
    <col min="15627" max="15627" width="14" style="28" bestFit="1" customWidth="1"/>
    <col min="15628" max="15872" width="9.140625" style="28"/>
    <col min="15873" max="15873" width="6" style="28" bestFit="1" customWidth="1"/>
    <col min="15874" max="15874" width="30.140625" style="28" bestFit="1" customWidth="1"/>
    <col min="15875" max="15875" width="8.28515625" style="28" bestFit="1" customWidth="1"/>
    <col min="15876" max="15876" width="7" style="28" bestFit="1" customWidth="1"/>
    <col min="15877" max="15877" width="7.28515625" style="28" bestFit="1" customWidth="1"/>
    <col min="15878" max="15878" width="7.5703125" style="28" bestFit="1" customWidth="1"/>
    <col min="15879" max="15879" width="8.28515625" style="28" bestFit="1" customWidth="1"/>
    <col min="15880" max="15880" width="5.140625" style="28" bestFit="1" customWidth="1"/>
    <col min="15881" max="15881" width="7.7109375" style="28" bestFit="1" customWidth="1"/>
    <col min="15882" max="15882" width="9" style="28" bestFit="1" customWidth="1"/>
    <col min="15883" max="15883" width="14" style="28" bestFit="1" customWidth="1"/>
    <col min="15884" max="16128" width="9.140625" style="28"/>
    <col min="16129" max="16129" width="6" style="28" bestFit="1" customWidth="1"/>
    <col min="16130" max="16130" width="30.140625" style="28" bestFit="1" customWidth="1"/>
    <col min="16131" max="16131" width="8.28515625" style="28" bestFit="1" customWidth="1"/>
    <col min="16132" max="16132" width="7" style="28" bestFit="1" customWidth="1"/>
    <col min="16133" max="16133" width="7.28515625" style="28" bestFit="1" customWidth="1"/>
    <col min="16134" max="16134" width="7.5703125" style="28" bestFit="1" customWidth="1"/>
    <col min="16135" max="16135" width="8.28515625" style="28" bestFit="1" customWidth="1"/>
    <col min="16136" max="16136" width="5.140625" style="28" bestFit="1" customWidth="1"/>
    <col min="16137" max="16137" width="7.7109375" style="28" bestFit="1" customWidth="1"/>
    <col min="16138" max="16138" width="9" style="28" bestFit="1" customWidth="1"/>
    <col min="16139" max="16139" width="14" style="28" bestFit="1" customWidth="1"/>
    <col min="16140" max="16384" width="9.140625" style="28"/>
  </cols>
  <sheetData>
    <row r="1" spans="1:16" s="22" customFormat="1" ht="28.5" x14ac:dyDescent="0.45">
      <c r="A1" s="329" t="s">
        <v>366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</row>
    <row r="2" spans="1:16" s="22" customFormat="1" x14ac:dyDescent="0.25">
      <c r="A2" s="23" t="s">
        <v>6</v>
      </c>
      <c r="B2" s="24" t="s">
        <v>0</v>
      </c>
      <c r="C2" s="24" t="s">
        <v>9</v>
      </c>
      <c r="D2" s="24" t="s">
        <v>113</v>
      </c>
      <c r="E2" s="24" t="s">
        <v>110</v>
      </c>
      <c r="F2" s="24" t="s">
        <v>111</v>
      </c>
      <c r="G2" s="24" t="s">
        <v>112</v>
      </c>
      <c r="H2" s="72" t="s">
        <v>1</v>
      </c>
      <c r="I2" s="82" t="s">
        <v>3</v>
      </c>
      <c r="J2" s="93" t="s">
        <v>10</v>
      </c>
      <c r="K2" s="24" t="s">
        <v>107</v>
      </c>
    </row>
    <row r="3" spans="1:16" s="22" customFormat="1" x14ac:dyDescent="0.25">
      <c r="A3" s="23" t="s">
        <v>11</v>
      </c>
      <c r="B3" s="24" t="s">
        <v>92</v>
      </c>
      <c r="C3" s="24"/>
      <c r="D3" s="24"/>
      <c r="E3" s="24"/>
      <c r="F3" s="24"/>
      <c r="G3" s="24"/>
      <c r="H3" s="73"/>
      <c r="I3" s="82"/>
      <c r="J3" s="93"/>
      <c r="K3" s="24"/>
    </row>
    <row r="4" spans="1:16" x14ac:dyDescent="0.25">
      <c r="A4" s="25">
        <v>1</v>
      </c>
      <c r="B4" s="26" t="s">
        <v>93</v>
      </c>
      <c r="C4" s="27"/>
      <c r="D4" s="27"/>
      <c r="E4" s="27"/>
      <c r="F4" s="27"/>
      <c r="G4" s="27"/>
      <c r="H4" s="73"/>
      <c r="I4" s="94"/>
      <c r="J4" s="95"/>
      <c r="K4" s="24"/>
    </row>
    <row r="5" spans="1:16" x14ac:dyDescent="0.25">
      <c r="A5" s="23"/>
      <c r="B5" s="24" t="s">
        <v>27</v>
      </c>
      <c r="C5" s="27"/>
      <c r="D5" s="27"/>
      <c r="E5" s="27"/>
      <c r="F5" s="27"/>
      <c r="G5" s="27"/>
      <c r="H5" s="73"/>
      <c r="I5" s="94"/>
      <c r="J5" s="95"/>
      <c r="K5" s="24"/>
    </row>
    <row r="6" spans="1:16" x14ac:dyDescent="0.25">
      <c r="A6" s="23"/>
      <c r="B6" s="29" t="s">
        <v>28</v>
      </c>
      <c r="C6" s="30"/>
      <c r="D6" s="21"/>
      <c r="E6" s="21"/>
      <c r="F6" s="27"/>
      <c r="G6" s="27"/>
      <c r="H6" s="73"/>
      <c r="I6" s="94"/>
      <c r="J6" s="95"/>
      <c r="K6" s="24"/>
      <c r="L6" s="27"/>
      <c r="M6" s="31" t="s">
        <v>109</v>
      </c>
      <c r="N6" s="32"/>
      <c r="O6" s="32"/>
      <c r="P6" s="33"/>
    </row>
    <row r="7" spans="1:16" x14ac:dyDescent="0.25">
      <c r="A7" s="23"/>
      <c r="B7" s="34" t="s">
        <v>29</v>
      </c>
      <c r="C7" s="27">
        <v>1</v>
      </c>
      <c r="D7" s="27"/>
      <c r="E7" s="27"/>
      <c r="F7" s="27"/>
      <c r="G7" s="27">
        <f>C7</f>
        <v>1</v>
      </c>
      <c r="H7" s="74" t="s">
        <v>4</v>
      </c>
      <c r="I7" s="21">
        <v>152851.71</v>
      </c>
      <c r="J7" s="67">
        <f>G7*I7</f>
        <v>152851.71</v>
      </c>
      <c r="K7" s="24"/>
      <c r="L7" s="27"/>
      <c r="M7" s="35" t="s">
        <v>68</v>
      </c>
      <c r="N7" s="27">
        <v>302</v>
      </c>
      <c r="O7" s="27">
        <v>301</v>
      </c>
      <c r="P7" s="27" t="s">
        <v>37</v>
      </c>
    </row>
    <row r="8" spans="1:16" x14ac:dyDescent="0.25">
      <c r="A8" s="23"/>
      <c r="B8" s="34" t="s">
        <v>30</v>
      </c>
      <c r="C8" s="27">
        <f>P8</f>
        <v>156</v>
      </c>
      <c r="D8" s="27">
        <v>18</v>
      </c>
      <c r="E8" s="27"/>
      <c r="F8" s="27"/>
      <c r="G8" s="27">
        <f>C8*D8</f>
        <v>2808</v>
      </c>
      <c r="H8" s="74" t="s">
        <v>39</v>
      </c>
      <c r="I8" s="21">
        <v>1513.23</v>
      </c>
      <c r="J8" s="67">
        <f t="shared" ref="J8:J10" si="0">G8*I8</f>
        <v>4249149.84</v>
      </c>
      <c r="K8" s="24"/>
      <c r="L8" s="24" t="s">
        <v>46</v>
      </c>
      <c r="M8" s="36">
        <f>6*26</f>
        <v>156</v>
      </c>
      <c r="N8" s="24">
        <v>20</v>
      </c>
      <c r="O8" s="24">
        <v>15</v>
      </c>
      <c r="P8" s="24">
        <f>M8</f>
        <v>156</v>
      </c>
    </row>
    <row r="9" spans="1:16" x14ac:dyDescent="0.25">
      <c r="A9" s="23"/>
      <c r="B9" s="34" t="s">
        <v>31</v>
      </c>
      <c r="C9" s="27">
        <f>C8</f>
        <v>156</v>
      </c>
      <c r="D9" s="27"/>
      <c r="E9" s="27"/>
      <c r="F9" s="27"/>
      <c r="G9" s="27">
        <f>C9</f>
        <v>156</v>
      </c>
      <c r="H9" s="74" t="s">
        <v>94</v>
      </c>
      <c r="I9" s="21">
        <v>397.41</v>
      </c>
      <c r="J9" s="67">
        <f t="shared" si="0"/>
        <v>61995.960000000006</v>
      </c>
      <c r="K9" s="24"/>
      <c r="L9" s="24"/>
      <c r="M9" s="36"/>
      <c r="N9" s="24"/>
      <c r="O9" s="24"/>
      <c r="P9" s="24"/>
    </row>
    <row r="10" spans="1:16" x14ac:dyDescent="0.25">
      <c r="A10" s="23"/>
      <c r="B10" s="37" t="s">
        <v>32</v>
      </c>
      <c r="C10" s="27">
        <f>C9</f>
        <v>156</v>
      </c>
      <c r="D10" s="27"/>
      <c r="E10" s="27"/>
      <c r="F10" s="27"/>
      <c r="G10" s="27">
        <f>C10</f>
        <v>156</v>
      </c>
      <c r="H10" s="74" t="s">
        <v>94</v>
      </c>
      <c r="I10" s="21">
        <v>458.56</v>
      </c>
      <c r="J10" s="67">
        <f t="shared" si="0"/>
        <v>71535.360000000001</v>
      </c>
      <c r="K10" s="24"/>
      <c r="L10" s="24"/>
      <c r="M10" s="36" t="s">
        <v>7</v>
      </c>
      <c r="N10" s="24" t="s">
        <v>8</v>
      </c>
      <c r="O10" s="24" t="s">
        <v>15</v>
      </c>
      <c r="P10" s="24" t="s">
        <v>38</v>
      </c>
    </row>
    <row r="11" spans="1:16" x14ac:dyDescent="0.25">
      <c r="A11" s="38"/>
      <c r="B11" s="24" t="s">
        <v>108</v>
      </c>
      <c r="C11" s="27">
        <f>P11</f>
        <v>26</v>
      </c>
      <c r="D11" s="27">
        <f>M11+0.6</f>
        <v>3.1</v>
      </c>
      <c r="E11" s="27">
        <f>N11+0.6</f>
        <v>3.1</v>
      </c>
      <c r="F11" s="27">
        <f>O11+0.05+0.05+0.7+0.23</f>
        <v>1.63</v>
      </c>
      <c r="G11" s="27">
        <f t="shared" ref="G11:G23" si="1">F11*E11*D11*C11</f>
        <v>407.27180000000004</v>
      </c>
      <c r="H11" s="73"/>
      <c r="I11" s="94"/>
      <c r="J11" s="95"/>
      <c r="K11" s="24"/>
      <c r="L11" s="24" t="s">
        <v>33</v>
      </c>
      <c r="M11" s="36">
        <v>2.5</v>
      </c>
      <c r="N11" s="24">
        <v>2.5</v>
      </c>
      <c r="O11" s="24">
        <v>0.6</v>
      </c>
      <c r="P11" s="24">
        <v>26</v>
      </c>
    </row>
    <row r="12" spans="1:16" x14ac:dyDescent="0.25">
      <c r="A12" s="38"/>
      <c r="B12" s="27" t="s">
        <v>42</v>
      </c>
      <c r="C12" s="27">
        <v>20</v>
      </c>
      <c r="D12" s="27">
        <v>3.5</v>
      </c>
      <c r="E12" s="27">
        <v>1</v>
      </c>
      <c r="F12" s="27">
        <f>0.23+0.2+0.05</f>
        <v>0.48000000000000004</v>
      </c>
      <c r="G12" s="27">
        <f t="shared" si="1"/>
        <v>33.6</v>
      </c>
      <c r="H12" s="73"/>
      <c r="I12" s="94"/>
      <c r="J12" s="95"/>
      <c r="K12" s="24"/>
      <c r="L12" s="24"/>
      <c r="M12" s="36"/>
      <c r="N12" s="24"/>
      <c r="O12" s="24"/>
      <c r="P12" s="24"/>
    </row>
    <row r="13" spans="1:16" x14ac:dyDescent="0.25">
      <c r="A13" s="38"/>
      <c r="B13" s="27"/>
      <c r="C13" s="27"/>
      <c r="D13" s="27"/>
      <c r="E13" s="27"/>
      <c r="F13" s="24" t="s">
        <v>37</v>
      </c>
      <c r="G13" s="24">
        <f>SUM(G11:G12)</f>
        <v>440.87180000000006</v>
      </c>
      <c r="H13" s="73" t="s">
        <v>51</v>
      </c>
      <c r="I13" s="94">
        <v>315.89</v>
      </c>
      <c r="J13" s="95">
        <f>G13*I13</f>
        <v>139266.99290200003</v>
      </c>
      <c r="K13" s="24"/>
      <c r="L13" s="24"/>
      <c r="M13" s="36"/>
      <c r="N13" s="24"/>
      <c r="O13" s="24"/>
      <c r="P13" s="24"/>
    </row>
    <row r="14" spans="1:16" x14ac:dyDescent="0.25">
      <c r="A14" s="38"/>
      <c r="B14" s="27" t="s">
        <v>13</v>
      </c>
      <c r="C14" s="27">
        <f>P11</f>
        <v>26</v>
      </c>
      <c r="D14" s="27">
        <f>M11+0.3</f>
        <v>2.8</v>
      </c>
      <c r="E14" s="27">
        <f>N11+0.3</f>
        <v>2.8</v>
      </c>
      <c r="F14" s="27">
        <v>0.23</v>
      </c>
      <c r="G14" s="27">
        <f t="shared" si="1"/>
        <v>46.883199999999995</v>
      </c>
      <c r="H14" s="73"/>
      <c r="I14" s="94"/>
      <c r="J14" s="95"/>
      <c r="K14" s="24"/>
      <c r="L14" s="24"/>
      <c r="M14" s="36"/>
      <c r="N14" s="24"/>
      <c r="O14" s="24"/>
      <c r="P14" s="24"/>
    </row>
    <row r="15" spans="1:16" x14ac:dyDescent="0.25">
      <c r="A15" s="38"/>
      <c r="B15" s="27" t="s">
        <v>42</v>
      </c>
      <c r="C15" s="27">
        <f>C27</f>
        <v>6</v>
      </c>
      <c r="D15" s="27">
        <f>D27</f>
        <v>42</v>
      </c>
      <c r="E15" s="27">
        <f>0.35+0.3</f>
        <v>0.64999999999999991</v>
      </c>
      <c r="F15" s="27">
        <v>0.23</v>
      </c>
      <c r="G15" s="27">
        <f t="shared" si="1"/>
        <v>37.673999999999999</v>
      </c>
      <c r="H15" s="73"/>
      <c r="I15" s="94"/>
      <c r="J15" s="95"/>
      <c r="K15" s="24"/>
      <c r="L15" s="24"/>
      <c r="M15" s="36"/>
      <c r="N15" s="24"/>
      <c r="O15" s="24"/>
      <c r="P15" s="24"/>
    </row>
    <row r="16" spans="1:16" x14ac:dyDescent="0.25">
      <c r="A16" s="38"/>
      <c r="B16" s="27"/>
      <c r="C16" s="27"/>
      <c r="D16" s="27"/>
      <c r="E16" s="27"/>
      <c r="F16" s="24" t="s">
        <v>37</v>
      </c>
      <c r="G16" s="24">
        <f>SUM(G14:G15)</f>
        <v>84.557199999999995</v>
      </c>
      <c r="H16" s="73" t="s">
        <v>51</v>
      </c>
      <c r="I16" s="94">
        <v>950</v>
      </c>
      <c r="J16" s="95">
        <f t="shared" ref="J16:J20" si="2">G16*I16</f>
        <v>80329.34</v>
      </c>
      <c r="K16" s="24"/>
      <c r="L16" s="24"/>
      <c r="M16" s="36"/>
      <c r="N16" s="24"/>
      <c r="O16" s="24"/>
      <c r="P16" s="24"/>
    </row>
    <row r="17" spans="1:16" x14ac:dyDescent="0.25">
      <c r="A17" s="38"/>
      <c r="B17" s="27" t="s">
        <v>14</v>
      </c>
      <c r="C17" s="27">
        <f>P11</f>
        <v>26</v>
      </c>
      <c r="D17" s="27">
        <f>M11+0.2</f>
        <v>2.7</v>
      </c>
      <c r="E17" s="27">
        <f>N11+0.2</f>
        <v>2.7</v>
      </c>
      <c r="F17" s="27">
        <v>0.05</v>
      </c>
      <c r="G17" s="27">
        <f t="shared" si="1"/>
        <v>9.4770000000000003</v>
      </c>
      <c r="H17" s="73"/>
      <c r="I17" s="94"/>
      <c r="J17" s="95"/>
      <c r="K17" s="24"/>
      <c r="L17" s="24"/>
      <c r="M17" s="36"/>
      <c r="N17" s="24"/>
      <c r="O17" s="24"/>
      <c r="P17" s="24"/>
    </row>
    <row r="18" spans="1:16" x14ac:dyDescent="0.25">
      <c r="A18" s="38"/>
      <c r="B18" s="27" t="s">
        <v>42</v>
      </c>
      <c r="C18" s="27">
        <f>C15</f>
        <v>6</v>
      </c>
      <c r="D18" s="27">
        <f>D15</f>
        <v>42</v>
      </c>
      <c r="E18" s="27">
        <f>0.35+0.2</f>
        <v>0.55000000000000004</v>
      </c>
      <c r="F18" s="27">
        <v>0.05</v>
      </c>
      <c r="G18" s="27">
        <f t="shared" ref="G18" si="3">F18*E18*D18*C18</f>
        <v>6.9300000000000015</v>
      </c>
      <c r="H18" s="73"/>
      <c r="I18" s="94"/>
      <c r="J18" s="95"/>
      <c r="K18" s="24"/>
      <c r="L18" s="24"/>
      <c r="M18" s="36"/>
      <c r="N18" s="24"/>
      <c r="O18" s="24"/>
      <c r="P18" s="24"/>
    </row>
    <row r="19" spans="1:16" x14ac:dyDescent="0.25">
      <c r="A19" s="38"/>
      <c r="B19" s="27"/>
      <c r="C19" s="27"/>
      <c r="D19" s="27"/>
      <c r="E19" s="27"/>
      <c r="F19" s="24" t="s">
        <v>37</v>
      </c>
      <c r="G19" s="24">
        <f>SUM(G17:G18)</f>
        <v>16.407000000000004</v>
      </c>
      <c r="H19" s="73" t="s">
        <v>51</v>
      </c>
      <c r="I19" s="94">
        <v>3535.97</v>
      </c>
      <c r="J19" s="95">
        <f t="shared" si="2"/>
        <v>58014.659790000012</v>
      </c>
      <c r="K19" s="24"/>
      <c r="L19" s="24"/>
      <c r="M19" s="36"/>
      <c r="N19" s="24"/>
      <c r="O19" s="24"/>
      <c r="P19" s="24"/>
    </row>
    <row r="20" spans="1:16" x14ac:dyDescent="0.25">
      <c r="A20" s="38"/>
      <c r="B20" s="27" t="s">
        <v>34</v>
      </c>
      <c r="C20" s="27">
        <f>P11</f>
        <v>26</v>
      </c>
      <c r="D20" s="27">
        <f>M11+0.2</f>
        <v>2.7</v>
      </c>
      <c r="E20" s="27">
        <f>N11+0.2</f>
        <v>2.7</v>
      </c>
      <c r="F20" s="27">
        <v>0.05</v>
      </c>
      <c r="G20" s="24">
        <f t="shared" si="1"/>
        <v>9.4770000000000003</v>
      </c>
      <c r="H20" s="73" t="s">
        <v>51</v>
      </c>
      <c r="I20" s="94">
        <v>927.3</v>
      </c>
      <c r="J20" s="95">
        <f t="shared" si="2"/>
        <v>8788.0221000000001</v>
      </c>
      <c r="K20" s="24"/>
      <c r="L20" s="24"/>
      <c r="M20" s="36"/>
      <c r="N20" s="24"/>
      <c r="O20" s="24"/>
      <c r="P20" s="24"/>
    </row>
    <row r="21" spans="1:16" x14ac:dyDescent="0.25">
      <c r="A21" s="38"/>
      <c r="B21" s="27" t="s">
        <v>35</v>
      </c>
      <c r="C21" s="27">
        <f>P11</f>
        <v>26</v>
      </c>
      <c r="D21" s="27">
        <f>M11</f>
        <v>2.5</v>
      </c>
      <c r="E21" s="27">
        <f>N11</f>
        <v>2.5</v>
      </c>
      <c r="F21" s="27">
        <f>O11</f>
        <v>0.6</v>
      </c>
      <c r="G21" s="27">
        <f t="shared" si="1"/>
        <v>97.5</v>
      </c>
      <c r="H21" s="73"/>
      <c r="I21" s="94"/>
      <c r="J21" s="95"/>
      <c r="K21" s="24"/>
      <c r="L21" s="24"/>
      <c r="M21" s="36"/>
      <c r="N21" s="24"/>
      <c r="O21" s="24"/>
      <c r="P21" s="24"/>
    </row>
    <row r="22" spans="1:16" x14ac:dyDescent="0.25">
      <c r="A22" s="38"/>
      <c r="B22" s="27" t="s">
        <v>325</v>
      </c>
      <c r="C22" s="27">
        <f>P22</f>
        <v>26</v>
      </c>
      <c r="D22" s="27">
        <f>M22</f>
        <v>0.75</v>
      </c>
      <c r="E22" s="27">
        <f>N22</f>
        <v>0.75</v>
      </c>
      <c r="F22" s="27">
        <f>O22</f>
        <v>1</v>
      </c>
      <c r="G22" s="27">
        <f t="shared" si="1"/>
        <v>14.625</v>
      </c>
      <c r="H22" s="73"/>
      <c r="I22" s="94"/>
      <c r="J22" s="95"/>
      <c r="K22" s="24"/>
      <c r="L22" s="24" t="s">
        <v>326</v>
      </c>
      <c r="M22" s="36">
        <v>0.75</v>
      </c>
      <c r="N22" s="24">
        <v>0.75</v>
      </c>
      <c r="O22" s="24">
        <v>1</v>
      </c>
      <c r="P22" s="24">
        <v>26</v>
      </c>
    </row>
    <row r="23" spans="1:16" x14ac:dyDescent="0.25">
      <c r="A23" s="38"/>
      <c r="B23" s="27" t="s">
        <v>42</v>
      </c>
      <c r="C23" s="27">
        <v>6</v>
      </c>
      <c r="D23" s="27">
        <f>(27+24)-(12*0.75)</f>
        <v>42</v>
      </c>
      <c r="E23" s="27">
        <v>0.7</v>
      </c>
      <c r="F23" s="27">
        <f>N23</f>
        <v>0.35</v>
      </c>
      <c r="G23" s="27">
        <f t="shared" si="1"/>
        <v>61.739999999999995</v>
      </c>
      <c r="H23" s="73"/>
      <c r="I23" s="94"/>
      <c r="J23" s="95"/>
      <c r="K23" s="24"/>
      <c r="L23" s="24" t="s">
        <v>43</v>
      </c>
      <c r="M23" s="36">
        <v>0.7</v>
      </c>
      <c r="N23" s="24">
        <v>0.35</v>
      </c>
      <c r="O23" s="24"/>
      <c r="P23" s="24"/>
    </row>
    <row r="24" spans="1:16" x14ac:dyDescent="0.25">
      <c r="A24" s="38"/>
      <c r="B24" s="27" t="s">
        <v>16</v>
      </c>
      <c r="C24" s="27"/>
      <c r="D24" s="27"/>
      <c r="E24" s="27"/>
      <c r="F24" s="24" t="s">
        <v>37</v>
      </c>
      <c r="G24" s="24">
        <f>SUM(G21:G23)</f>
        <v>173.86500000000001</v>
      </c>
      <c r="H24" s="73" t="s">
        <v>51</v>
      </c>
      <c r="I24" s="94">
        <v>5329.43</v>
      </c>
      <c r="J24" s="95">
        <f>G24*I24</f>
        <v>926601.34695000015</v>
      </c>
      <c r="K24" s="24"/>
      <c r="L24" s="36"/>
      <c r="M24" s="24"/>
      <c r="N24" s="24"/>
      <c r="O24" s="24"/>
    </row>
    <row r="25" spans="1:16" x14ac:dyDescent="0.25">
      <c r="A25" s="38"/>
      <c r="B25" s="27" t="s">
        <v>17</v>
      </c>
      <c r="C25" s="27">
        <f>C21</f>
        <v>26</v>
      </c>
      <c r="D25" s="27">
        <f>D21+D21+E21+E21</f>
        <v>10</v>
      </c>
      <c r="E25" s="27"/>
      <c r="F25" s="27">
        <f>F21</f>
        <v>0.6</v>
      </c>
      <c r="G25" s="27">
        <f>C25*D25*F25</f>
        <v>156</v>
      </c>
      <c r="H25" s="73"/>
      <c r="I25" s="94"/>
      <c r="J25" s="95"/>
      <c r="K25" s="24"/>
      <c r="L25" s="36"/>
      <c r="M25" s="24"/>
      <c r="N25" s="24"/>
      <c r="O25" s="24"/>
    </row>
    <row r="26" spans="1:16" x14ac:dyDescent="0.25">
      <c r="A26" s="38"/>
      <c r="B26" s="27" t="s">
        <v>326</v>
      </c>
      <c r="C26" s="27">
        <f>C22</f>
        <v>26</v>
      </c>
      <c r="D26" s="27">
        <f>D22+E22+D22+E22</f>
        <v>3</v>
      </c>
      <c r="E26" s="27"/>
      <c r="F26" s="27">
        <v>1</v>
      </c>
      <c r="G26" s="27">
        <f t="shared" ref="G26:G27" si="4">C26*D26*F26</f>
        <v>78</v>
      </c>
      <c r="H26" s="73"/>
      <c r="I26" s="94"/>
      <c r="J26" s="95"/>
      <c r="K26" s="24"/>
      <c r="L26" s="36"/>
      <c r="M26" s="24"/>
      <c r="N26" s="24"/>
      <c r="O26" s="24"/>
    </row>
    <row r="27" spans="1:16" x14ac:dyDescent="0.25">
      <c r="A27" s="38"/>
      <c r="B27" s="27" t="s">
        <v>42</v>
      </c>
      <c r="C27" s="27">
        <f>C23</f>
        <v>6</v>
      </c>
      <c r="D27" s="27">
        <f>D23</f>
        <v>42</v>
      </c>
      <c r="E27" s="27"/>
      <c r="F27" s="27">
        <f>0.7+0.7</f>
        <v>1.4</v>
      </c>
      <c r="G27" s="27">
        <f t="shared" si="4"/>
        <v>352.79999999999995</v>
      </c>
      <c r="H27" s="73"/>
      <c r="I27" s="94"/>
      <c r="J27" s="95"/>
      <c r="K27" s="24"/>
      <c r="L27" s="36"/>
      <c r="M27" s="24"/>
      <c r="N27" s="24"/>
      <c r="O27" s="24"/>
    </row>
    <row r="28" spans="1:16" x14ac:dyDescent="0.25">
      <c r="A28" s="38"/>
      <c r="B28" s="27"/>
      <c r="C28" s="27"/>
      <c r="D28" s="27"/>
      <c r="E28" s="27"/>
      <c r="F28" s="24" t="s">
        <v>37</v>
      </c>
      <c r="G28" s="24">
        <f>SUM(G25:G27)</f>
        <v>586.79999999999995</v>
      </c>
      <c r="H28" s="73" t="s">
        <v>36</v>
      </c>
      <c r="I28" s="94">
        <v>718.4</v>
      </c>
      <c r="J28" s="95">
        <f>G28*I28</f>
        <v>421557.11999999994</v>
      </c>
      <c r="K28" s="24"/>
      <c r="L28" s="36"/>
      <c r="M28" s="24"/>
      <c r="N28" s="24"/>
      <c r="O28" s="24"/>
    </row>
    <row r="29" spans="1:16" x14ac:dyDescent="0.25">
      <c r="A29" s="38"/>
      <c r="B29" s="27" t="s">
        <v>18</v>
      </c>
      <c r="C29" s="27">
        <v>1</v>
      </c>
      <c r="D29" s="6">
        <f>G24</f>
        <v>173.86500000000001</v>
      </c>
      <c r="E29" s="27">
        <v>100</v>
      </c>
      <c r="F29" s="27"/>
      <c r="G29" s="27">
        <f>D29*E29</f>
        <v>17386.5</v>
      </c>
      <c r="H29" s="73" t="s">
        <v>56</v>
      </c>
      <c r="I29" s="94">
        <v>66.239999999999995</v>
      </c>
      <c r="J29" s="95">
        <f t="shared" ref="J29:J31" si="5">G29*I29</f>
        <v>1151681.76</v>
      </c>
      <c r="K29" s="24"/>
      <c r="L29" s="36"/>
      <c r="M29" s="24"/>
      <c r="N29" s="24"/>
      <c r="O29" s="24"/>
    </row>
    <row r="30" spans="1:16" x14ac:dyDescent="0.25">
      <c r="A30" s="38"/>
      <c r="B30" s="27" t="s">
        <v>19</v>
      </c>
      <c r="C30" s="27">
        <f>C25</f>
        <v>26</v>
      </c>
      <c r="D30" s="6">
        <v>8</v>
      </c>
      <c r="E30" s="27">
        <f>(36*36/162)+1.5</f>
        <v>9.5</v>
      </c>
      <c r="F30" s="27">
        <v>0.9</v>
      </c>
      <c r="G30" s="27">
        <f>C30*D30*E30*F30</f>
        <v>1778.4</v>
      </c>
      <c r="H30" s="73" t="s">
        <v>56</v>
      </c>
      <c r="I30" s="94">
        <v>125</v>
      </c>
      <c r="J30" s="95">
        <f t="shared" si="5"/>
        <v>222300</v>
      </c>
      <c r="K30" s="24"/>
      <c r="L30" s="36">
        <v>0.9</v>
      </c>
      <c r="M30" s="24">
        <v>9.5</v>
      </c>
      <c r="N30" s="24"/>
      <c r="O30" s="24">
        <f>36*8</f>
        <v>288</v>
      </c>
    </row>
    <row r="31" spans="1:16" x14ac:dyDescent="0.25">
      <c r="A31" s="38"/>
      <c r="B31" s="27" t="s">
        <v>41</v>
      </c>
      <c r="C31" s="27">
        <f>P22</f>
        <v>26</v>
      </c>
      <c r="D31" s="6">
        <f>M22</f>
        <v>0.75</v>
      </c>
      <c r="E31" s="27">
        <f>N22</f>
        <v>0.75</v>
      </c>
      <c r="F31" s="27">
        <v>0.05</v>
      </c>
      <c r="G31" s="6">
        <f>C31*D31*E31*F31</f>
        <v>0.73125000000000007</v>
      </c>
      <c r="H31" s="73" t="s">
        <v>51</v>
      </c>
      <c r="I31" s="94">
        <f>5502.66/0.05</f>
        <v>110053.2</v>
      </c>
      <c r="J31" s="95">
        <f t="shared" si="5"/>
        <v>80476.402500000011</v>
      </c>
      <c r="K31" s="24"/>
    </row>
    <row r="32" spans="1:16" x14ac:dyDescent="0.25">
      <c r="A32" s="38"/>
      <c r="B32" s="27" t="s">
        <v>44</v>
      </c>
      <c r="C32" s="27">
        <v>1</v>
      </c>
      <c r="D32" s="6">
        <f>G11+G12</f>
        <v>440.87180000000006</v>
      </c>
      <c r="E32" s="27"/>
      <c r="F32" s="27"/>
      <c r="G32" s="6">
        <f>C32*D32</f>
        <v>440.87180000000006</v>
      </c>
      <c r="H32" s="73"/>
      <c r="I32" s="94"/>
      <c r="J32" s="95"/>
      <c r="K32" s="24"/>
    </row>
    <row r="33" spans="1:11" x14ac:dyDescent="0.25">
      <c r="A33" s="38"/>
      <c r="B33" s="27" t="s">
        <v>45</v>
      </c>
      <c r="C33" s="27">
        <v>-1</v>
      </c>
      <c r="D33" s="6">
        <f>G14+G15+G17+G18+G20+G21+G22+G23</f>
        <v>284.30619999999999</v>
      </c>
      <c r="E33" s="27"/>
      <c r="F33" s="27"/>
      <c r="G33" s="6">
        <f>C33*D33</f>
        <v>-284.30619999999999</v>
      </c>
      <c r="H33" s="73"/>
      <c r="I33" s="82"/>
      <c r="J33" s="93"/>
      <c r="K33" s="24"/>
    </row>
    <row r="34" spans="1:11" x14ac:dyDescent="0.25">
      <c r="A34" s="38"/>
      <c r="B34" s="27"/>
      <c r="C34" s="27"/>
      <c r="D34" s="27"/>
      <c r="E34" s="27"/>
      <c r="F34" s="24" t="s">
        <v>37</v>
      </c>
      <c r="G34" s="7">
        <f>SUM(G32:G33)</f>
        <v>156.56560000000007</v>
      </c>
      <c r="H34" s="73" t="s">
        <v>51</v>
      </c>
      <c r="I34" s="94">
        <v>183.42</v>
      </c>
      <c r="J34" s="95">
        <f>G34*I34</f>
        <v>28717.262352000012</v>
      </c>
      <c r="K34" s="24"/>
    </row>
    <row r="35" spans="1:11" x14ac:dyDescent="0.25">
      <c r="A35" s="38"/>
      <c r="B35" s="27"/>
      <c r="C35" s="27"/>
      <c r="D35" s="27"/>
      <c r="E35" s="27"/>
      <c r="F35" s="24"/>
      <c r="G35" s="24"/>
      <c r="H35" s="73"/>
      <c r="I35" s="94"/>
      <c r="J35" s="95"/>
      <c r="K35" s="24"/>
    </row>
    <row r="36" spans="1:11" x14ac:dyDescent="0.25">
      <c r="A36" s="39"/>
      <c r="B36" s="40" t="s">
        <v>49</v>
      </c>
      <c r="C36" s="40"/>
      <c r="D36" s="40"/>
      <c r="E36" s="40"/>
      <c r="F36" s="40"/>
      <c r="G36" s="40"/>
      <c r="H36" s="78"/>
      <c r="I36" s="96"/>
      <c r="J36" s="68"/>
      <c r="K36" s="24"/>
    </row>
    <row r="37" spans="1:11" x14ac:dyDescent="0.25">
      <c r="A37" s="41"/>
      <c r="B37" s="42" t="s">
        <v>50</v>
      </c>
      <c r="C37" s="43">
        <v>4</v>
      </c>
      <c r="D37" s="43">
        <v>3.2</v>
      </c>
      <c r="E37" s="43">
        <v>1.5</v>
      </c>
      <c r="F37" s="43">
        <v>10</v>
      </c>
      <c r="G37" s="43">
        <f>F37*E37*D37*C37</f>
        <v>192</v>
      </c>
      <c r="H37" s="73" t="s">
        <v>51</v>
      </c>
      <c r="I37" s="94">
        <v>315.19</v>
      </c>
      <c r="J37" s="95">
        <f>I37*G37</f>
        <v>60516.479999999996</v>
      </c>
      <c r="K37" s="24"/>
    </row>
    <row r="38" spans="1:11" x14ac:dyDescent="0.25">
      <c r="A38" s="41"/>
      <c r="B38" s="42" t="s">
        <v>52</v>
      </c>
      <c r="C38" s="43"/>
      <c r="D38" s="43"/>
      <c r="E38" s="43"/>
      <c r="F38" s="43"/>
      <c r="G38" s="43">
        <f>G37</f>
        <v>192</v>
      </c>
      <c r="H38" s="73" t="s">
        <v>51</v>
      </c>
      <c r="I38" s="94">
        <v>75</v>
      </c>
      <c r="J38" s="95">
        <f>I38*G38</f>
        <v>14400</v>
      </c>
      <c r="K38" s="24"/>
    </row>
    <row r="39" spans="1:11" x14ac:dyDescent="0.25">
      <c r="A39" s="41"/>
      <c r="B39" s="42" t="s">
        <v>13</v>
      </c>
      <c r="C39" s="43">
        <v>3.2</v>
      </c>
      <c r="D39" s="43">
        <v>2.5</v>
      </c>
      <c r="E39" s="43">
        <v>0.23</v>
      </c>
      <c r="F39" s="43">
        <f>F37</f>
        <v>10</v>
      </c>
      <c r="G39" s="43">
        <f>F39*E39*D39*C39</f>
        <v>18.400000000000002</v>
      </c>
      <c r="H39" s="73" t="s">
        <v>51</v>
      </c>
      <c r="I39" s="94">
        <v>950</v>
      </c>
      <c r="J39" s="95">
        <f>I39*G39</f>
        <v>17480.000000000004</v>
      </c>
      <c r="K39" s="24"/>
    </row>
    <row r="40" spans="1:11" x14ac:dyDescent="0.25">
      <c r="A40" s="41"/>
      <c r="B40" s="42" t="s">
        <v>53</v>
      </c>
      <c r="C40" s="43">
        <v>3.2</v>
      </c>
      <c r="D40" s="66">
        <v>2.5</v>
      </c>
      <c r="E40" s="43">
        <v>0.1</v>
      </c>
      <c r="F40" s="43">
        <f>F37</f>
        <v>10</v>
      </c>
      <c r="G40" s="43">
        <f>F40*E40*D40*C40</f>
        <v>8</v>
      </c>
      <c r="H40" s="73" t="s">
        <v>51</v>
      </c>
      <c r="I40" s="94">
        <v>3535.97</v>
      </c>
      <c r="J40" s="95">
        <f>I40*G40</f>
        <v>28287.759999999998</v>
      </c>
      <c r="K40" s="24"/>
    </row>
    <row r="41" spans="1:11" x14ac:dyDescent="0.25">
      <c r="A41" s="41"/>
      <c r="B41" s="42" t="s">
        <v>54</v>
      </c>
      <c r="C41" s="43">
        <v>3</v>
      </c>
      <c r="D41" s="66">
        <v>2.2000000000000002</v>
      </c>
      <c r="E41" s="43">
        <v>0.95</v>
      </c>
      <c r="F41" s="43">
        <f>F37</f>
        <v>10</v>
      </c>
      <c r="G41" s="43">
        <f>F41*E41*D41*C41</f>
        <v>62.7</v>
      </c>
      <c r="H41" s="73" t="s">
        <v>51</v>
      </c>
      <c r="I41" s="94"/>
      <c r="J41" s="95"/>
      <c r="K41" s="24"/>
    </row>
    <row r="42" spans="1:11" x14ac:dyDescent="0.25">
      <c r="A42" s="41"/>
      <c r="B42" s="42"/>
      <c r="C42" s="43"/>
      <c r="D42" s="66"/>
      <c r="E42" s="43"/>
      <c r="F42" s="24" t="s">
        <v>37</v>
      </c>
      <c r="G42" s="43">
        <f>G41</f>
        <v>62.7</v>
      </c>
      <c r="H42" s="73" t="s">
        <v>51</v>
      </c>
      <c r="I42" s="94">
        <v>5329.43</v>
      </c>
      <c r="J42" s="95">
        <f>I42*G42</f>
        <v>334155.26100000006</v>
      </c>
      <c r="K42" s="24"/>
    </row>
    <row r="43" spans="1:11" x14ac:dyDescent="0.25">
      <c r="A43" s="41"/>
      <c r="B43" s="42" t="s">
        <v>55</v>
      </c>
      <c r="C43" s="43">
        <f>G42</f>
        <v>62.7</v>
      </c>
      <c r="D43" s="66"/>
      <c r="E43" s="43"/>
      <c r="F43" s="43">
        <v>8</v>
      </c>
      <c r="G43" s="43">
        <f>F43*C43</f>
        <v>501.6</v>
      </c>
      <c r="H43" s="73" t="s">
        <v>36</v>
      </c>
      <c r="I43" s="94">
        <v>529.89</v>
      </c>
      <c r="J43" s="95">
        <f t="shared" ref="J43:J47" si="6">I43*G43</f>
        <v>265792.82400000002</v>
      </c>
      <c r="K43" s="24"/>
    </row>
    <row r="44" spans="1:11" x14ac:dyDescent="0.25">
      <c r="A44" s="41"/>
      <c r="B44" s="42" t="s">
        <v>5</v>
      </c>
      <c r="C44" s="43">
        <f>G42</f>
        <v>62.7</v>
      </c>
      <c r="D44" s="66"/>
      <c r="E44" s="43"/>
      <c r="F44" s="43">
        <v>125</v>
      </c>
      <c r="G44" s="43">
        <f>F44*C44</f>
        <v>7837.5</v>
      </c>
      <c r="H44" s="73" t="s">
        <v>56</v>
      </c>
      <c r="I44" s="94">
        <v>66.239999999999995</v>
      </c>
      <c r="J44" s="95">
        <f t="shared" si="6"/>
        <v>519155.99999999994</v>
      </c>
      <c r="K44" s="24"/>
    </row>
    <row r="45" spans="1:11" x14ac:dyDescent="0.25">
      <c r="A45" s="41"/>
      <c r="B45" s="42" t="s">
        <v>44</v>
      </c>
      <c r="C45" s="43">
        <f>G37-G39-G40-G41</f>
        <v>102.89999999999999</v>
      </c>
      <c r="D45" s="66"/>
      <c r="E45" s="43"/>
      <c r="F45" s="43">
        <v>1</v>
      </c>
      <c r="G45" s="43">
        <f>F45*C45</f>
        <v>102.89999999999999</v>
      </c>
      <c r="H45" s="73" t="s">
        <v>51</v>
      </c>
      <c r="I45" s="94">
        <v>183.42</v>
      </c>
      <c r="J45" s="95">
        <f t="shared" si="6"/>
        <v>18873.917999999998</v>
      </c>
      <c r="K45" s="24"/>
    </row>
    <row r="46" spans="1:11" x14ac:dyDescent="0.25">
      <c r="A46" s="41"/>
      <c r="B46" s="42" t="s">
        <v>57</v>
      </c>
      <c r="C46" s="43">
        <v>8</v>
      </c>
      <c r="D46" s="66"/>
      <c r="E46" s="43"/>
      <c r="F46" s="43">
        <v>1</v>
      </c>
      <c r="G46" s="43">
        <f>F46*C46</f>
        <v>8</v>
      </c>
      <c r="H46" s="73" t="s">
        <v>9</v>
      </c>
      <c r="I46" s="94">
        <v>400</v>
      </c>
      <c r="J46" s="95">
        <f t="shared" si="6"/>
        <v>3200</v>
      </c>
      <c r="K46" s="24"/>
    </row>
    <row r="47" spans="1:11" x14ac:dyDescent="0.25">
      <c r="A47" s="41"/>
      <c r="B47" s="42" t="s">
        <v>58</v>
      </c>
      <c r="C47" s="43">
        <v>0.15</v>
      </c>
      <c r="D47" s="66">
        <v>0.15</v>
      </c>
      <c r="E47" s="43">
        <v>0.4</v>
      </c>
      <c r="F47" s="43">
        <f>G46</f>
        <v>8</v>
      </c>
      <c r="G47" s="66">
        <f>C47*D47*E47*F47</f>
        <v>7.1999999999999995E-2</v>
      </c>
      <c r="H47" s="73" t="s">
        <v>51</v>
      </c>
      <c r="I47" s="94">
        <f>I31</f>
        <v>110053.2</v>
      </c>
      <c r="J47" s="95">
        <f t="shared" si="6"/>
        <v>7923.8303999999989</v>
      </c>
      <c r="K47" s="24"/>
    </row>
    <row r="48" spans="1:11" x14ac:dyDescent="0.25">
      <c r="A48" s="39"/>
      <c r="B48" s="40" t="s">
        <v>59</v>
      </c>
      <c r="C48" s="40"/>
      <c r="D48" s="13"/>
      <c r="E48" s="40"/>
      <c r="F48" s="40"/>
      <c r="G48" s="13"/>
      <c r="H48" s="78"/>
      <c r="I48" s="96"/>
      <c r="J48" s="68"/>
      <c r="K48" s="24"/>
    </row>
    <row r="49" spans="1:11" x14ac:dyDescent="0.25">
      <c r="A49" s="41"/>
      <c r="B49" s="42" t="s">
        <v>50</v>
      </c>
      <c r="C49" s="43">
        <v>1.6</v>
      </c>
      <c r="D49" s="66">
        <v>1.1000000000000001</v>
      </c>
      <c r="E49" s="43">
        <v>1.2</v>
      </c>
      <c r="F49" s="43">
        <v>18</v>
      </c>
      <c r="G49" s="66">
        <f>F49*E49*D49*C49</f>
        <v>38.015999999999998</v>
      </c>
      <c r="H49" s="73" t="s">
        <v>51</v>
      </c>
      <c r="I49" s="94">
        <f>I37</f>
        <v>315.19</v>
      </c>
      <c r="J49" s="95">
        <f>I49*G49</f>
        <v>11982.26304</v>
      </c>
      <c r="K49" s="24"/>
    </row>
    <row r="50" spans="1:11" x14ac:dyDescent="0.25">
      <c r="A50" s="41"/>
      <c r="B50" s="42" t="s">
        <v>13</v>
      </c>
      <c r="C50" s="43">
        <v>1.3</v>
      </c>
      <c r="D50" s="66">
        <f>D49</f>
        <v>1.1000000000000001</v>
      </c>
      <c r="E50" s="43">
        <v>0.23</v>
      </c>
      <c r="F50" s="43">
        <f>F49</f>
        <v>18</v>
      </c>
      <c r="G50" s="66">
        <f>F50*E50*D50*C50</f>
        <v>5.9202000000000021</v>
      </c>
      <c r="H50" s="73" t="s">
        <v>51</v>
      </c>
      <c r="I50" s="94">
        <v>950</v>
      </c>
      <c r="J50" s="95">
        <f>I50*G50</f>
        <v>5624.1900000000023</v>
      </c>
      <c r="K50" s="24"/>
    </row>
    <row r="51" spans="1:11" x14ac:dyDescent="0.25">
      <c r="A51" s="41"/>
      <c r="B51" s="42" t="s">
        <v>53</v>
      </c>
      <c r="C51" s="43">
        <f>C50</f>
        <v>1.3</v>
      </c>
      <c r="D51" s="66">
        <f>D49</f>
        <v>1.1000000000000001</v>
      </c>
      <c r="E51" s="43">
        <v>0.1</v>
      </c>
      <c r="F51" s="43">
        <f>F49</f>
        <v>18</v>
      </c>
      <c r="G51" s="66">
        <f>F51*E51*D51*C51</f>
        <v>2.5740000000000003</v>
      </c>
      <c r="H51" s="73" t="s">
        <v>51</v>
      </c>
      <c r="I51" s="94">
        <f>I40</f>
        <v>3535.97</v>
      </c>
      <c r="J51" s="95">
        <f>I51*G51</f>
        <v>9101.5867799999996</v>
      </c>
      <c r="K51" s="24"/>
    </row>
    <row r="52" spans="1:11" x14ac:dyDescent="0.25">
      <c r="A52" s="41"/>
      <c r="B52" s="42" t="s">
        <v>54</v>
      </c>
      <c r="C52" s="43">
        <v>1</v>
      </c>
      <c r="D52" s="66">
        <v>0.75</v>
      </c>
      <c r="E52" s="43">
        <v>0.75</v>
      </c>
      <c r="F52" s="43">
        <f>F49</f>
        <v>18</v>
      </c>
      <c r="G52" s="66">
        <f>F52*E52*D52*C52</f>
        <v>10.125</v>
      </c>
      <c r="H52" s="73" t="s">
        <v>51</v>
      </c>
      <c r="I52" s="94"/>
      <c r="J52" s="95"/>
      <c r="K52" s="24"/>
    </row>
    <row r="53" spans="1:11" x14ac:dyDescent="0.25">
      <c r="A53" s="41"/>
      <c r="B53" s="42"/>
      <c r="C53" s="43"/>
      <c r="D53" s="66"/>
      <c r="E53" s="43"/>
      <c r="F53" s="43"/>
      <c r="G53" s="66">
        <f>G52</f>
        <v>10.125</v>
      </c>
      <c r="H53" s="73" t="s">
        <v>51</v>
      </c>
      <c r="I53" s="94">
        <f>I42</f>
        <v>5329.43</v>
      </c>
      <c r="J53" s="95">
        <f>I53*G53</f>
        <v>53960.478750000002</v>
      </c>
      <c r="K53" s="24"/>
    </row>
    <row r="54" spans="1:11" x14ac:dyDescent="0.25">
      <c r="A54" s="41"/>
      <c r="B54" s="42" t="s">
        <v>55</v>
      </c>
      <c r="C54" s="43">
        <f>G53</f>
        <v>10.125</v>
      </c>
      <c r="D54" s="66"/>
      <c r="E54" s="43"/>
      <c r="F54" s="43">
        <v>8</v>
      </c>
      <c r="G54" s="66">
        <f>F54*C54</f>
        <v>81</v>
      </c>
      <c r="H54" s="73" t="s">
        <v>36</v>
      </c>
      <c r="I54" s="94">
        <f>I43</f>
        <v>529.89</v>
      </c>
      <c r="J54" s="95">
        <f t="shared" ref="J54:J58" si="7">I54*G54</f>
        <v>42921.09</v>
      </c>
      <c r="K54" s="24"/>
    </row>
    <row r="55" spans="1:11" x14ac:dyDescent="0.25">
      <c r="A55" s="41"/>
      <c r="B55" s="42" t="s">
        <v>5</v>
      </c>
      <c r="C55" s="43">
        <f>G53</f>
        <v>10.125</v>
      </c>
      <c r="D55" s="66"/>
      <c r="E55" s="43"/>
      <c r="F55" s="43">
        <v>125</v>
      </c>
      <c r="G55" s="66">
        <f>F55*C55</f>
        <v>1265.625</v>
      </c>
      <c r="H55" s="73" t="s">
        <v>56</v>
      </c>
      <c r="I55" s="94">
        <f>I44</f>
        <v>66.239999999999995</v>
      </c>
      <c r="J55" s="95">
        <f t="shared" si="7"/>
        <v>83835</v>
      </c>
      <c r="K55" s="24"/>
    </row>
    <row r="56" spans="1:11" x14ac:dyDescent="0.25">
      <c r="A56" s="41"/>
      <c r="B56" s="42" t="s">
        <v>44</v>
      </c>
      <c r="C56" s="43">
        <f>G49-G50-G51-G52</f>
        <v>19.396799999999995</v>
      </c>
      <c r="D56" s="66"/>
      <c r="E56" s="43"/>
      <c r="F56" s="43">
        <v>1</v>
      </c>
      <c r="G56" s="66">
        <f>F56*C56</f>
        <v>19.396799999999995</v>
      </c>
      <c r="H56" s="73" t="s">
        <v>51</v>
      </c>
      <c r="I56" s="94">
        <f>I45</f>
        <v>183.42</v>
      </c>
      <c r="J56" s="95">
        <f t="shared" si="7"/>
        <v>3557.7610559999989</v>
      </c>
      <c r="K56" s="24"/>
    </row>
    <row r="57" spans="1:11" x14ac:dyDescent="0.25">
      <c r="A57" s="41"/>
      <c r="B57" s="42" t="s">
        <v>57</v>
      </c>
      <c r="C57" s="43">
        <v>4</v>
      </c>
      <c r="D57" s="66"/>
      <c r="E57" s="43"/>
      <c r="F57" s="43">
        <v>1</v>
      </c>
      <c r="G57" s="66">
        <f>F57*C57</f>
        <v>4</v>
      </c>
      <c r="H57" s="73" t="s">
        <v>9</v>
      </c>
      <c r="I57" s="94">
        <v>400</v>
      </c>
      <c r="J57" s="95">
        <f t="shared" si="7"/>
        <v>1600</v>
      </c>
      <c r="K57" s="24"/>
    </row>
    <row r="58" spans="1:11" x14ac:dyDescent="0.25">
      <c r="A58" s="41"/>
      <c r="B58" s="42" t="s">
        <v>58</v>
      </c>
      <c r="C58" s="43">
        <v>0.1</v>
      </c>
      <c r="D58" s="66">
        <v>0.1</v>
      </c>
      <c r="E58" s="43">
        <v>0.3</v>
      </c>
      <c r="F58" s="43">
        <f>G57</f>
        <v>4</v>
      </c>
      <c r="G58" s="66">
        <f>C58*D58*E58*F58</f>
        <v>1.2000000000000002E-2</v>
      </c>
      <c r="H58" s="73" t="s">
        <v>51</v>
      </c>
      <c r="I58" s="94">
        <f>I47</f>
        <v>110053.2</v>
      </c>
      <c r="J58" s="95">
        <f t="shared" si="7"/>
        <v>1320.6384000000003</v>
      </c>
      <c r="K58" s="24"/>
    </row>
    <row r="59" spans="1:11" x14ac:dyDescent="0.25">
      <c r="A59" s="38"/>
      <c r="B59" s="40" t="s">
        <v>168</v>
      </c>
      <c r="C59" s="40"/>
      <c r="D59" s="13"/>
      <c r="E59" s="40"/>
      <c r="F59" s="40"/>
      <c r="G59" s="13"/>
      <c r="H59" s="78"/>
      <c r="I59" s="96"/>
      <c r="J59" s="68"/>
      <c r="K59" s="44"/>
    </row>
    <row r="60" spans="1:11" x14ac:dyDescent="0.25">
      <c r="A60" s="45" t="s">
        <v>95</v>
      </c>
      <c r="B60" s="29" t="s">
        <v>69</v>
      </c>
      <c r="C60" s="30"/>
      <c r="D60" s="67"/>
      <c r="E60" s="46"/>
      <c r="F60" s="46"/>
      <c r="G60" s="46"/>
      <c r="H60" s="78"/>
      <c r="I60" s="96"/>
      <c r="J60" s="68"/>
      <c r="K60" s="44"/>
    </row>
    <row r="61" spans="1:11" x14ac:dyDescent="0.25">
      <c r="A61" s="30"/>
      <c r="B61" s="34" t="s">
        <v>324</v>
      </c>
      <c r="C61" s="27">
        <v>0</v>
      </c>
      <c r="D61" s="6"/>
      <c r="E61" s="46"/>
      <c r="F61" s="46"/>
      <c r="G61" s="70">
        <f>C61</f>
        <v>0</v>
      </c>
      <c r="H61" s="74" t="s">
        <v>4</v>
      </c>
      <c r="I61" s="21">
        <v>305703.42</v>
      </c>
      <c r="J61" s="70">
        <f>G61*I61</f>
        <v>0</v>
      </c>
      <c r="K61" s="44"/>
    </row>
    <row r="62" spans="1:11" x14ac:dyDescent="0.25">
      <c r="A62" s="30"/>
      <c r="B62" s="34" t="s">
        <v>70</v>
      </c>
      <c r="C62" s="27">
        <v>0</v>
      </c>
      <c r="D62" s="6"/>
      <c r="E62" s="46"/>
      <c r="F62" s="46"/>
      <c r="G62" s="70">
        <f>C62</f>
        <v>0</v>
      </c>
      <c r="H62" s="74" t="s">
        <v>4</v>
      </c>
      <c r="I62" s="21">
        <v>229277.57</v>
      </c>
      <c r="J62" s="70">
        <f t="shared" ref="J62:J65" si="8">G62*I62</f>
        <v>0</v>
      </c>
      <c r="K62" s="44"/>
    </row>
    <row r="63" spans="1:11" x14ac:dyDescent="0.25">
      <c r="A63" s="30"/>
      <c r="B63" s="34" t="s">
        <v>71</v>
      </c>
      <c r="C63" s="27">
        <f>20</f>
        <v>20</v>
      </c>
      <c r="D63" s="6">
        <v>18</v>
      </c>
      <c r="E63" s="46"/>
      <c r="F63" s="46"/>
      <c r="G63" s="70">
        <f>C63*D63</f>
        <v>360</v>
      </c>
      <c r="H63" s="74" t="s">
        <v>39</v>
      </c>
      <c r="I63" s="21">
        <v>2394.6799999999998</v>
      </c>
      <c r="J63" s="70">
        <f t="shared" si="8"/>
        <v>862084.79999999993</v>
      </c>
      <c r="K63" s="44"/>
    </row>
    <row r="64" spans="1:11" x14ac:dyDescent="0.25">
      <c r="A64" s="30"/>
      <c r="B64" s="34" t="s">
        <v>31</v>
      </c>
      <c r="C64" s="27">
        <f>C63</f>
        <v>20</v>
      </c>
      <c r="D64" s="6"/>
      <c r="E64" s="46"/>
      <c r="F64" s="46"/>
      <c r="G64" s="70">
        <f>C64</f>
        <v>20</v>
      </c>
      <c r="H64" s="74" t="s">
        <v>67</v>
      </c>
      <c r="I64" s="21">
        <v>509.51</v>
      </c>
      <c r="J64" s="70">
        <f t="shared" si="8"/>
        <v>10190.200000000001</v>
      </c>
      <c r="K64" s="44"/>
    </row>
    <row r="65" spans="1:11" x14ac:dyDescent="0.25">
      <c r="A65" s="30"/>
      <c r="B65" s="37" t="s">
        <v>32</v>
      </c>
      <c r="C65" s="27">
        <f>C63</f>
        <v>20</v>
      </c>
      <c r="D65" s="6"/>
      <c r="E65" s="46"/>
      <c r="F65" s="46"/>
      <c r="G65" s="70">
        <f>C65</f>
        <v>20</v>
      </c>
      <c r="H65" s="74" t="s">
        <v>67</v>
      </c>
      <c r="I65" s="21">
        <v>1273.76</v>
      </c>
      <c r="J65" s="70">
        <f t="shared" si="8"/>
        <v>25475.200000000001</v>
      </c>
      <c r="K65" s="44"/>
    </row>
    <row r="66" spans="1:11" x14ac:dyDescent="0.25">
      <c r="A66" s="38" t="s">
        <v>96</v>
      </c>
      <c r="B66" s="46" t="s">
        <v>169</v>
      </c>
      <c r="C66" s="46"/>
      <c r="D66" s="14"/>
      <c r="E66" s="46"/>
      <c r="F66" s="46"/>
      <c r="G66" s="68"/>
      <c r="H66" s="78"/>
      <c r="I66" s="96"/>
      <c r="J66" s="68"/>
      <c r="K66" s="44"/>
    </row>
    <row r="67" spans="1:11" x14ac:dyDescent="0.25">
      <c r="A67" s="47">
        <v>1</v>
      </c>
      <c r="B67" s="48" t="s">
        <v>60</v>
      </c>
      <c r="C67" s="48"/>
      <c r="D67" s="8">
        <f>2.6+0.5+0.5</f>
        <v>3.6</v>
      </c>
      <c r="E67" s="48">
        <f>D67</f>
        <v>3.6</v>
      </c>
      <c r="F67" s="48">
        <f>0.7+0.05+0.23</f>
        <v>0.98</v>
      </c>
      <c r="G67" s="69">
        <f>D67*E67*F67</f>
        <v>12.700800000000001</v>
      </c>
      <c r="H67" s="75" t="s">
        <v>51</v>
      </c>
      <c r="I67" s="97">
        <f>I49</f>
        <v>315.19</v>
      </c>
      <c r="J67" s="69">
        <f>G67*I67</f>
        <v>4003.1651520000005</v>
      </c>
      <c r="K67" s="44"/>
    </row>
    <row r="68" spans="1:11" x14ac:dyDescent="0.25">
      <c r="A68" s="47">
        <v>2</v>
      </c>
      <c r="B68" s="48" t="s">
        <v>61</v>
      </c>
      <c r="C68" s="48"/>
      <c r="D68" s="8"/>
      <c r="E68" s="48"/>
      <c r="F68" s="48"/>
      <c r="G68" s="69">
        <f>G67</f>
        <v>12.700800000000001</v>
      </c>
      <c r="H68" s="75" t="s">
        <v>51</v>
      </c>
      <c r="I68" s="97">
        <v>100</v>
      </c>
      <c r="J68" s="69">
        <f t="shared" ref="J68:J72" si="9">G68*I68</f>
        <v>1270.0800000000002</v>
      </c>
      <c r="K68" s="44"/>
    </row>
    <row r="69" spans="1:11" x14ac:dyDescent="0.25">
      <c r="A69" s="47">
        <v>3</v>
      </c>
      <c r="B69" s="48" t="s">
        <v>62</v>
      </c>
      <c r="C69" s="48"/>
      <c r="D69" s="8">
        <v>3.14</v>
      </c>
      <c r="E69" s="48">
        <f>1.8*1.8</f>
        <v>3.24</v>
      </c>
      <c r="F69" s="48">
        <v>1.5</v>
      </c>
      <c r="G69" s="69">
        <f>D69*E69*F69</f>
        <v>15.260400000000001</v>
      </c>
      <c r="H69" s="75" t="s">
        <v>51</v>
      </c>
      <c r="I69" s="97">
        <f>I53</f>
        <v>5329.43</v>
      </c>
      <c r="J69" s="69">
        <f t="shared" si="9"/>
        <v>81329.233572000012</v>
      </c>
      <c r="K69" s="44"/>
    </row>
    <row r="70" spans="1:11" x14ac:dyDescent="0.25">
      <c r="A70" s="47">
        <v>4</v>
      </c>
      <c r="B70" s="48" t="s">
        <v>72</v>
      </c>
      <c r="C70" s="48"/>
      <c r="D70" s="8">
        <v>3.14</v>
      </c>
      <c r="E70" s="48">
        <f>D67</f>
        <v>3.6</v>
      </c>
      <c r="F70" s="48">
        <v>0.1</v>
      </c>
      <c r="G70" s="69">
        <f>D70*E70*F70</f>
        <v>1.1304000000000001</v>
      </c>
      <c r="H70" s="75" t="s">
        <v>51</v>
      </c>
      <c r="I70" s="97">
        <f>I20</f>
        <v>927.3</v>
      </c>
      <c r="J70" s="69">
        <f t="shared" si="9"/>
        <v>1048.21992</v>
      </c>
      <c r="K70" s="44"/>
    </row>
    <row r="71" spans="1:11" x14ac:dyDescent="0.25">
      <c r="A71" s="47">
        <v>5</v>
      </c>
      <c r="B71" s="48" t="s">
        <v>63</v>
      </c>
      <c r="C71" s="48"/>
      <c r="D71" s="8"/>
      <c r="E71" s="48">
        <f>G69</f>
        <v>15.260400000000001</v>
      </c>
      <c r="F71" s="48">
        <v>100</v>
      </c>
      <c r="G71" s="69">
        <f>E71*F71</f>
        <v>1526.04</v>
      </c>
      <c r="H71" s="75" t="s">
        <v>56</v>
      </c>
      <c r="I71" s="97">
        <f>I55</f>
        <v>66.239999999999995</v>
      </c>
      <c r="J71" s="70">
        <f t="shared" si="9"/>
        <v>101084.88959999999</v>
      </c>
      <c r="K71" s="44"/>
    </row>
    <row r="72" spans="1:11" x14ac:dyDescent="0.25">
      <c r="A72" s="47">
        <v>6</v>
      </c>
      <c r="B72" s="48" t="s">
        <v>64</v>
      </c>
      <c r="C72" s="48"/>
      <c r="D72" s="8">
        <v>1</v>
      </c>
      <c r="E72" s="48">
        <f>3.14*D67</f>
        <v>11.304</v>
      </c>
      <c r="F72" s="48">
        <v>1.5</v>
      </c>
      <c r="G72" s="69">
        <f>D72*E72*F72</f>
        <v>16.956</v>
      </c>
      <c r="H72" s="75" t="s">
        <v>36</v>
      </c>
      <c r="I72" s="97">
        <f>I54</f>
        <v>529.89</v>
      </c>
      <c r="J72" s="69">
        <f t="shared" si="9"/>
        <v>8984.8148399999991</v>
      </c>
      <c r="K72" s="44"/>
    </row>
    <row r="73" spans="1:11" x14ac:dyDescent="0.25">
      <c r="A73" s="47">
        <v>7</v>
      </c>
      <c r="B73" s="48" t="s">
        <v>65</v>
      </c>
      <c r="C73" s="48"/>
      <c r="D73" s="8">
        <f>(3.14*2.6)/0.3</f>
        <v>27.213333333333338</v>
      </c>
      <c r="E73" s="48">
        <v>16</v>
      </c>
      <c r="F73" s="48"/>
      <c r="G73" s="69">
        <f>D73*E73</f>
        <v>435.41333333333341</v>
      </c>
      <c r="H73" s="75" t="s">
        <v>56</v>
      </c>
      <c r="I73" s="97">
        <v>125</v>
      </c>
      <c r="J73" s="69">
        <f>G73*I73</f>
        <v>54426.666666666679</v>
      </c>
      <c r="K73" s="44"/>
    </row>
    <row r="74" spans="1:11" x14ac:dyDescent="0.25">
      <c r="A74" s="47">
        <v>8</v>
      </c>
      <c r="B74" s="48" t="s">
        <v>73</v>
      </c>
      <c r="C74" s="48">
        <v>1</v>
      </c>
      <c r="D74" s="8">
        <f>D67</f>
        <v>3.6</v>
      </c>
      <c r="E74" s="48">
        <f>E67</f>
        <v>3.6</v>
      </c>
      <c r="F74" s="48">
        <v>0.05</v>
      </c>
      <c r="G74" s="69">
        <f>C74*D74*E74*F74</f>
        <v>0.64800000000000013</v>
      </c>
      <c r="H74" s="75" t="s">
        <v>12</v>
      </c>
      <c r="I74" s="97">
        <f>I51</f>
        <v>3535.97</v>
      </c>
      <c r="J74" s="69">
        <f>G74*I74</f>
        <v>2291.3085600000004</v>
      </c>
      <c r="K74" s="44"/>
    </row>
    <row r="75" spans="1:11" x14ac:dyDescent="0.25">
      <c r="A75" s="47"/>
      <c r="B75" s="48"/>
      <c r="C75" s="48"/>
      <c r="D75" s="8"/>
      <c r="E75" s="48"/>
      <c r="F75" s="48"/>
      <c r="G75" s="332"/>
      <c r="H75" s="332"/>
      <c r="I75" s="332"/>
      <c r="J75" s="68"/>
      <c r="K75" s="44"/>
    </row>
    <row r="76" spans="1:11" x14ac:dyDescent="0.25">
      <c r="A76" s="16">
        <v>2</v>
      </c>
      <c r="B76" s="17" t="s">
        <v>170</v>
      </c>
      <c r="C76" s="10"/>
      <c r="D76" s="10"/>
      <c r="E76" s="10"/>
      <c r="F76" s="10"/>
      <c r="G76" s="10"/>
      <c r="H76" s="10"/>
      <c r="I76" s="10"/>
      <c r="J76" s="10"/>
      <c r="K76" s="10"/>
    </row>
    <row r="77" spans="1:11" x14ac:dyDescent="0.25">
      <c r="A77" s="10"/>
      <c r="B77" s="10" t="s">
        <v>60</v>
      </c>
      <c r="C77" s="10">
        <v>3</v>
      </c>
      <c r="D77" s="10">
        <f>1.8+0.6+0.6+0.6</f>
        <v>3.6</v>
      </c>
      <c r="E77" s="10">
        <f>D77</f>
        <v>3.6</v>
      </c>
      <c r="F77" s="10">
        <v>5</v>
      </c>
      <c r="G77" s="10">
        <f>C77*D77*E77*F77</f>
        <v>194.4</v>
      </c>
      <c r="H77" s="10" t="s">
        <v>51</v>
      </c>
      <c r="I77" s="10">
        <v>315.19</v>
      </c>
      <c r="J77" s="3">
        <f t="shared" ref="J77:J88" si="10">G77*I77</f>
        <v>61272.936000000002</v>
      </c>
      <c r="K77" s="10"/>
    </row>
    <row r="78" spans="1:11" x14ac:dyDescent="0.25">
      <c r="A78" s="10"/>
      <c r="B78" s="10" t="s">
        <v>124</v>
      </c>
      <c r="C78" s="10"/>
      <c r="D78" s="10"/>
      <c r="E78" s="10"/>
      <c r="F78" s="10"/>
      <c r="G78" s="10">
        <f>G77</f>
        <v>194.4</v>
      </c>
      <c r="H78" s="10" t="s">
        <v>51</v>
      </c>
      <c r="I78" s="10">
        <v>100</v>
      </c>
      <c r="J78" s="3">
        <f t="shared" si="10"/>
        <v>19440</v>
      </c>
      <c r="K78" s="10"/>
    </row>
    <row r="79" spans="1:11" x14ac:dyDescent="0.25">
      <c r="A79" s="10"/>
      <c r="B79" s="10" t="s">
        <v>125</v>
      </c>
      <c r="C79" s="10">
        <f>C77</f>
        <v>3</v>
      </c>
      <c r="D79" s="10">
        <v>3.6</v>
      </c>
      <c r="E79" s="10">
        <v>3.6</v>
      </c>
      <c r="F79" s="10">
        <v>2</v>
      </c>
      <c r="G79" s="10">
        <f>C79*D79*E79*F79</f>
        <v>77.760000000000005</v>
      </c>
      <c r="H79" s="10" t="s">
        <v>51</v>
      </c>
      <c r="I79" s="10">
        <v>5000</v>
      </c>
      <c r="J79" s="3">
        <f t="shared" si="10"/>
        <v>388800</v>
      </c>
      <c r="K79" s="10"/>
    </row>
    <row r="80" spans="1:11" x14ac:dyDescent="0.25">
      <c r="A80" s="10"/>
      <c r="B80" s="10" t="s">
        <v>79</v>
      </c>
      <c r="C80" s="10">
        <f>C77</f>
        <v>3</v>
      </c>
      <c r="D80" s="10">
        <v>3</v>
      </c>
      <c r="E80" s="10">
        <v>3</v>
      </c>
      <c r="F80" s="10">
        <v>0.23</v>
      </c>
      <c r="G80" s="10">
        <f t="shared" ref="G80:G87" si="11">C80*D80*E80*F80</f>
        <v>6.21</v>
      </c>
      <c r="H80" s="10" t="s">
        <v>51</v>
      </c>
      <c r="I80" s="10">
        <v>950</v>
      </c>
      <c r="J80" s="3">
        <f t="shared" si="10"/>
        <v>5899.5</v>
      </c>
      <c r="K80" s="10"/>
    </row>
    <row r="81" spans="1:11" x14ac:dyDescent="0.25">
      <c r="A81" s="10"/>
      <c r="B81" s="10" t="s">
        <v>88</v>
      </c>
      <c r="C81" s="10">
        <f>C77</f>
        <v>3</v>
      </c>
      <c r="D81" s="10">
        <v>3</v>
      </c>
      <c r="E81" s="10">
        <v>3</v>
      </c>
      <c r="F81" s="10">
        <v>7.4999999999999997E-2</v>
      </c>
      <c r="G81" s="10">
        <f t="shared" si="11"/>
        <v>2.0249999999999999</v>
      </c>
      <c r="H81" s="10" t="s">
        <v>51</v>
      </c>
      <c r="I81" s="10">
        <v>3535.97</v>
      </c>
      <c r="J81" s="3">
        <f t="shared" si="10"/>
        <v>7160.3392499999991</v>
      </c>
      <c r="K81" s="10"/>
    </row>
    <row r="82" spans="1:11" x14ac:dyDescent="0.25">
      <c r="A82" s="10"/>
      <c r="B82" s="10" t="s">
        <v>126</v>
      </c>
      <c r="C82" s="10">
        <f>C77</f>
        <v>3</v>
      </c>
      <c r="D82" s="10">
        <f>1.8+0.3+0.3+0.3+0.3</f>
        <v>2.9999999999999996</v>
      </c>
      <c r="E82" s="10">
        <f>D82</f>
        <v>2.9999999999999996</v>
      </c>
      <c r="F82" s="10">
        <v>1</v>
      </c>
      <c r="G82" s="10">
        <f t="shared" si="11"/>
        <v>26.999999999999989</v>
      </c>
      <c r="H82" s="10" t="s">
        <v>51</v>
      </c>
      <c r="I82" s="10">
        <f>I69</f>
        <v>5329.43</v>
      </c>
      <c r="J82" s="3">
        <f t="shared" si="10"/>
        <v>143894.60999999996</v>
      </c>
      <c r="K82" s="10"/>
    </row>
    <row r="83" spans="1:11" x14ac:dyDescent="0.25">
      <c r="A83" s="10"/>
      <c r="B83" s="10" t="s">
        <v>127</v>
      </c>
      <c r="C83" s="10">
        <f>C77</f>
        <v>3</v>
      </c>
      <c r="D83" s="10">
        <v>4</v>
      </c>
      <c r="E83" s="10">
        <f>0.5*0.5</f>
        <v>0.25</v>
      </c>
      <c r="F83" s="10">
        <v>1.5</v>
      </c>
      <c r="G83" s="10">
        <f t="shared" si="11"/>
        <v>4.5</v>
      </c>
      <c r="H83" s="10" t="s">
        <v>51</v>
      </c>
      <c r="I83" s="10">
        <f>I82</f>
        <v>5329.43</v>
      </c>
      <c r="J83" s="3">
        <f t="shared" si="10"/>
        <v>23982.435000000001</v>
      </c>
      <c r="K83" s="10"/>
    </row>
    <row r="84" spans="1:11" x14ac:dyDescent="0.25">
      <c r="A84" s="10"/>
      <c r="B84" s="10" t="s">
        <v>128</v>
      </c>
      <c r="C84" s="10">
        <v>1</v>
      </c>
      <c r="D84" s="10">
        <v>1</v>
      </c>
      <c r="E84" s="10">
        <f>G82+G83</f>
        <v>31.499999999999989</v>
      </c>
      <c r="F84" s="10">
        <v>100</v>
      </c>
      <c r="G84" s="10">
        <f t="shared" si="11"/>
        <v>3149.9999999999991</v>
      </c>
      <c r="H84" s="11" t="s">
        <v>56</v>
      </c>
      <c r="I84" s="11">
        <v>66.239999999999995</v>
      </c>
      <c r="J84" s="18">
        <f t="shared" si="10"/>
        <v>208655.99999999991</v>
      </c>
      <c r="K84" s="10"/>
    </row>
    <row r="85" spans="1:11" x14ac:dyDescent="0.25">
      <c r="A85" s="10"/>
      <c r="B85" s="10" t="s">
        <v>55</v>
      </c>
      <c r="C85" s="10">
        <f>C77</f>
        <v>3</v>
      </c>
      <c r="D85" s="10">
        <v>4</v>
      </c>
      <c r="E85" s="10">
        <v>1</v>
      </c>
      <c r="F85" s="10">
        <v>3</v>
      </c>
      <c r="G85" s="10">
        <f t="shared" si="11"/>
        <v>36</v>
      </c>
      <c r="H85" s="10" t="s">
        <v>36</v>
      </c>
      <c r="I85" s="11">
        <v>529.89</v>
      </c>
      <c r="J85" s="3">
        <f t="shared" si="10"/>
        <v>19076.04</v>
      </c>
      <c r="K85" s="10"/>
    </row>
    <row r="86" spans="1:11" x14ac:dyDescent="0.25">
      <c r="A86" s="10"/>
      <c r="B86" s="10" t="s">
        <v>129</v>
      </c>
      <c r="C86" s="10">
        <f>C77</f>
        <v>3</v>
      </c>
      <c r="D86" s="10">
        <v>16</v>
      </c>
      <c r="E86" s="10">
        <f>0.45</f>
        <v>0.45</v>
      </c>
      <c r="F86" s="10">
        <v>1.5</v>
      </c>
      <c r="G86" s="10">
        <f t="shared" si="11"/>
        <v>32.400000000000006</v>
      </c>
      <c r="H86" s="10" t="s">
        <v>36</v>
      </c>
      <c r="I86" s="11">
        <v>718.4</v>
      </c>
      <c r="J86" s="3">
        <f t="shared" si="10"/>
        <v>23276.160000000003</v>
      </c>
      <c r="K86" s="10"/>
    </row>
    <row r="87" spans="1:11" x14ac:dyDescent="0.25">
      <c r="A87" s="10"/>
      <c r="B87" s="10" t="s">
        <v>65</v>
      </c>
      <c r="C87" s="10">
        <f>C77</f>
        <v>3</v>
      </c>
      <c r="D87" s="10">
        <v>16</v>
      </c>
      <c r="E87" s="10">
        <v>10</v>
      </c>
      <c r="F87" s="10">
        <v>1</v>
      </c>
      <c r="G87" s="10">
        <f t="shared" si="11"/>
        <v>480</v>
      </c>
      <c r="H87" s="10" t="s">
        <v>56</v>
      </c>
      <c r="I87" s="11">
        <v>125</v>
      </c>
      <c r="J87" s="3">
        <f t="shared" si="10"/>
        <v>60000</v>
      </c>
      <c r="K87" s="10"/>
    </row>
    <row r="88" spans="1:11" x14ac:dyDescent="0.25">
      <c r="A88" s="10"/>
      <c r="B88" s="10" t="s">
        <v>327</v>
      </c>
      <c r="C88" s="10"/>
      <c r="D88" s="10"/>
      <c r="E88" s="10"/>
      <c r="F88" s="10"/>
      <c r="G88" s="10">
        <v>1</v>
      </c>
      <c r="H88" s="10" t="s">
        <v>117</v>
      </c>
      <c r="I88" s="11">
        <v>25000</v>
      </c>
      <c r="J88" s="3">
        <f t="shared" si="10"/>
        <v>25000</v>
      </c>
      <c r="K88" s="10"/>
    </row>
    <row r="89" spans="1:11" x14ac:dyDescent="0.25">
      <c r="A89" s="10"/>
      <c r="B89" s="10"/>
      <c r="C89" s="10"/>
      <c r="D89" s="10"/>
      <c r="E89" s="10"/>
      <c r="F89" s="10"/>
      <c r="G89" s="334"/>
      <c r="H89" s="334"/>
      <c r="I89" s="334"/>
      <c r="J89" s="259"/>
      <c r="K89" s="260"/>
    </row>
    <row r="90" spans="1:11" ht="18.75" x14ac:dyDescent="0.3">
      <c r="A90" s="38"/>
      <c r="B90" s="49" t="s">
        <v>328</v>
      </c>
      <c r="C90" s="40"/>
      <c r="D90" s="13"/>
      <c r="E90" s="40"/>
      <c r="F90" s="40"/>
      <c r="G90" s="40"/>
      <c r="H90" s="78"/>
      <c r="I90" s="96"/>
      <c r="J90" s="68"/>
      <c r="K90" s="40"/>
    </row>
    <row r="91" spans="1:11" x14ac:dyDescent="0.25">
      <c r="A91" s="50">
        <v>1</v>
      </c>
      <c r="B91" s="51" t="s">
        <v>60</v>
      </c>
      <c r="C91" s="48"/>
      <c r="D91" s="333">
        <f>27*28</f>
        <v>756</v>
      </c>
      <c r="E91" s="333"/>
      <c r="F91" s="48">
        <v>0.5</v>
      </c>
      <c r="G91" s="48">
        <f>D91*F91</f>
        <v>378</v>
      </c>
      <c r="H91" s="75" t="s">
        <v>51</v>
      </c>
      <c r="I91" s="97">
        <v>315.19</v>
      </c>
      <c r="J91" s="69">
        <f t="shared" ref="J91:J96" si="12">G91*I91</f>
        <v>119141.81999999999</v>
      </c>
      <c r="K91" s="44"/>
    </row>
    <row r="92" spans="1:11" x14ac:dyDescent="0.25">
      <c r="A92" s="50">
        <v>2</v>
      </c>
      <c r="B92" s="51" t="s">
        <v>75</v>
      </c>
      <c r="C92" s="48"/>
      <c r="D92" s="48"/>
      <c r="E92" s="48"/>
      <c r="F92" s="48"/>
      <c r="G92" s="48">
        <f>G91</f>
        <v>378</v>
      </c>
      <c r="H92" s="75" t="s">
        <v>51</v>
      </c>
      <c r="I92" s="97">
        <v>100</v>
      </c>
      <c r="J92" s="69">
        <f t="shared" si="12"/>
        <v>37800</v>
      </c>
      <c r="K92" s="44"/>
    </row>
    <row r="93" spans="1:11" x14ac:dyDescent="0.25">
      <c r="A93" s="50">
        <v>3</v>
      </c>
      <c r="B93" s="51" t="s">
        <v>76</v>
      </c>
      <c r="C93" s="48"/>
      <c r="D93" s="333">
        <f>D91</f>
        <v>756</v>
      </c>
      <c r="E93" s="333"/>
      <c r="F93" s="48">
        <v>0.23</v>
      </c>
      <c r="G93" s="48">
        <f>D93*F93</f>
        <v>173.88</v>
      </c>
      <c r="H93" s="75" t="s">
        <v>51</v>
      </c>
      <c r="I93" s="97">
        <v>1500</v>
      </c>
      <c r="J93" s="69">
        <f t="shared" si="12"/>
        <v>260820</v>
      </c>
      <c r="K93" s="44"/>
    </row>
    <row r="94" spans="1:11" x14ac:dyDescent="0.25">
      <c r="A94" s="50">
        <v>4</v>
      </c>
      <c r="B94" s="51" t="s">
        <v>77</v>
      </c>
      <c r="C94" s="48"/>
      <c r="D94" s="333">
        <f>D91</f>
        <v>756</v>
      </c>
      <c r="E94" s="333"/>
      <c r="F94" s="48">
        <v>7.4999999999999997E-2</v>
      </c>
      <c r="G94" s="48">
        <f>D94*F94</f>
        <v>56.699999999999996</v>
      </c>
      <c r="H94" s="75" t="s">
        <v>36</v>
      </c>
      <c r="I94" s="97">
        <f>I51</f>
        <v>3535.97</v>
      </c>
      <c r="J94" s="69">
        <f t="shared" si="12"/>
        <v>200489.49899999998</v>
      </c>
      <c r="K94" s="44"/>
    </row>
    <row r="95" spans="1:11" x14ac:dyDescent="0.25">
      <c r="A95" s="50">
        <v>5</v>
      </c>
      <c r="B95" s="51" t="s">
        <v>78</v>
      </c>
      <c r="C95" s="48"/>
      <c r="D95" s="333">
        <f>D91</f>
        <v>756</v>
      </c>
      <c r="E95" s="333"/>
      <c r="F95" s="48">
        <v>0.15</v>
      </c>
      <c r="G95" s="48">
        <f>D95*F95</f>
        <v>113.39999999999999</v>
      </c>
      <c r="H95" s="75" t="s">
        <v>36</v>
      </c>
      <c r="I95" s="97">
        <f>I86</f>
        <v>718.4</v>
      </c>
      <c r="J95" s="69">
        <f t="shared" si="12"/>
        <v>81466.559999999998</v>
      </c>
      <c r="K95" s="44"/>
    </row>
    <row r="96" spans="1:11" x14ac:dyDescent="0.25">
      <c r="A96" s="50">
        <v>6</v>
      </c>
      <c r="B96" s="51" t="s">
        <v>63</v>
      </c>
      <c r="C96" s="48"/>
      <c r="D96" s="48">
        <f>G95</f>
        <v>113.39999999999999</v>
      </c>
      <c r="E96" s="48">
        <v>100</v>
      </c>
      <c r="F96" s="48"/>
      <c r="G96" s="48">
        <f>D96*E96</f>
        <v>11340</v>
      </c>
      <c r="H96" s="75" t="s">
        <v>56</v>
      </c>
      <c r="I96" s="97">
        <v>66.239999999999995</v>
      </c>
      <c r="J96" s="69">
        <f t="shared" si="12"/>
        <v>751161.6</v>
      </c>
      <c r="K96" s="44"/>
    </row>
    <row r="97" spans="1:11" x14ac:dyDescent="0.25">
      <c r="A97" s="50"/>
      <c r="B97" s="51"/>
      <c r="C97" s="48"/>
      <c r="D97" s="48"/>
      <c r="E97" s="48"/>
      <c r="F97" s="48"/>
      <c r="G97" s="332" t="s">
        <v>66</v>
      </c>
      <c r="H97" s="332"/>
      <c r="I97" s="332"/>
      <c r="J97" s="68"/>
      <c r="K97" s="44"/>
    </row>
    <row r="98" spans="1:11" ht="18.75" x14ac:dyDescent="0.3">
      <c r="A98" s="52"/>
      <c r="B98" s="53" t="s">
        <v>97</v>
      </c>
      <c r="C98" s="61"/>
      <c r="D98" s="61"/>
      <c r="E98" s="61"/>
      <c r="F98" s="61"/>
      <c r="G98" s="61"/>
      <c r="H98" s="79"/>
      <c r="I98" s="98"/>
      <c r="J98" s="99"/>
      <c r="K98" s="62"/>
    </row>
    <row r="99" spans="1:11" x14ac:dyDescent="0.25">
      <c r="A99" s="52">
        <v>1</v>
      </c>
      <c r="B99" s="54" t="s">
        <v>60</v>
      </c>
      <c r="C99" s="63"/>
      <c r="D99" s="63">
        <f>3+1.2</f>
        <v>4.2</v>
      </c>
      <c r="E99" s="63">
        <f>2+1.2</f>
        <v>3.2</v>
      </c>
      <c r="F99" s="63">
        <f>2+0.3+0.23+0.1</f>
        <v>2.63</v>
      </c>
      <c r="G99" s="63">
        <f>D99*E99*F99</f>
        <v>35.347200000000001</v>
      </c>
      <c r="H99" s="76" t="s">
        <v>51</v>
      </c>
      <c r="I99" s="100">
        <f>I91</f>
        <v>315.19</v>
      </c>
      <c r="J99" s="101">
        <f>G99*I99</f>
        <v>11141.083968000001</v>
      </c>
      <c r="K99" s="62"/>
    </row>
    <row r="100" spans="1:11" x14ac:dyDescent="0.25">
      <c r="A100" s="52">
        <v>2</v>
      </c>
      <c r="B100" s="54" t="s">
        <v>61</v>
      </c>
      <c r="C100" s="63"/>
      <c r="D100" s="63"/>
      <c r="E100" s="63"/>
      <c r="F100" s="63"/>
      <c r="G100" s="63">
        <f>G99</f>
        <v>35.347200000000001</v>
      </c>
      <c r="H100" s="76" t="s">
        <v>51</v>
      </c>
      <c r="I100" s="100">
        <v>100</v>
      </c>
      <c r="J100" s="101">
        <f t="shared" ref="J100:J107" si="13">G100*I100</f>
        <v>3534.7200000000003</v>
      </c>
      <c r="K100" s="62"/>
    </row>
    <row r="101" spans="1:11" x14ac:dyDescent="0.25">
      <c r="A101" s="52">
        <v>3</v>
      </c>
      <c r="B101" s="54" t="s">
        <v>79</v>
      </c>
      <c r="C101" s="63"/>
      <c r="D101" s="63">
        <f>D99</f>
        <v>4.2</v>
      </c>
      <c r="E101" s="63">
        <f>E99</f>
        <v>3.2</v>
      </c>
      <c r="F101" s="63">
        <v>0.23</v>
      </c>
      <c r="G101" s="63">
        <f>D101*E101*F101</f>
        <v>3.0912000000000006</v>
      </c>
      <c r="H101" s="76" t="s">
        <v>51</v>
      </c>
      <c r="I101" s="100">
        <v>950</v>
      </c>
      <c r="J101" s="101">
        <f t="shared" si="13"/>
        <v>2936.6400000000008</v>
      </c>
      <c r="K101" s="62"/>
    </row>
    <row r="102" spans="1:11" x14ac:dyDescent="0.25">
      <c r="A102" s="52">
        <v>4</v>
      </c>
      <c r="B102" s="54" t="s">
        <v>80</v>
      </c>
      <c r="C102" s="63"/>
      <c r="D102" s="63">
        <f>D101</f>
        <v>4.2</v>
      </c>
      <c r="E102" s="63">
        <f>E101</f>
        <v>3.2</v>
      </c>
      <c r="F102" s="63">
        <v>7.4999999999999997E-2</v>
      </c>
      <c r="G102" s="63">
        <f>D102*E102*F102</f>
        <v>1.008</v>
      </c>
      <c r="H102" s="76" t="s">
        <v>51</v>
      </c>
      <c r="I102" s="100">
        <f>I94</f>
        <v>3535.97</v>
      </c>
      <c r="J102" s="101">
        <f t="shared" si="13"/>
        <v>3564.25776</v>
      </c>
      <c r="K102" s="62"/>
    </row>
    <row r="103" spans="1:11" x14ac:dyDescent="0.25">
      <c r="A103" s="52">
        <v>5</v>
      </c>
      <c r="B103" s="54" t="s">
        <v>81</v>
      </c>
      <c r="C103" s="63"/>
      <c r="D103" s="63">
        <f>D101</f>
        <v>4.2</v>
      </c>
      <c r="E103" s="63">
        <f>E102</f>
        <v>3.2</v>
      </c>
      <c r="F103" s="63">
        <v>0.3</v>
      </c>
      <c r="G103" s="63">
        <f>D103*E103*F103</f>
        <v>4.032</v>
      </c>
      <c r="H103" s="76" t="s">
        <v>51</v>
      </c>
      <c r="I103" s="100">
        <f>I82</f>
        <v>5329.43</v>
      </c>
      <c r="J103" s="101">
        <f>G103*I103</f>
        <v>21488.261760000001</v>
      </c>
      <c r="K103" s="62"/>
    </row>
    <row r="104" spans="1:11" x14ac:dyDescent="0.25">
      <c r="A104" s="52">
        <v>6</v>
      </c>
      <c r="B104" s="54" t="s">
        <v>82</v>
      </c>
      <c r="C104" s="63">
        <v>2</v>
      </c>
      <c r="D104" s="63">
        <f>2+3+2+3</f>
        <v>10</v>
      </c>
      <c r="E104" s="63">
        <f>F99-F103-F102-F101</f>
        <v>2.0249999999999999</v>
      </c>
      <c r="F104" s="63">
        <v>0.15</v>
      </c>
      <c r="G104" s="63">
        <f>C104*D104*E104*F104</f>
        <v>6.0750000000000002</v>
      </c>
      <c r="H104" s="76" t="s">
        <v>51</v>
      </c>
      <c r="I104" s="100">
        <f>I83</f>
        <v>5329.43</v>
      </c>
      <c r="J104" s="101">
        <f t="shared" si="13"/>
        <v>32376.287250000001</v>
      </c>
      <c r="K104" s="62"/>
    </row>
    <row r="105" spans="1:11" x14ac:dyDescent="0.25">
      <c r="A105" s="52">
        <v>7</v>
      </c>
      <c r="B105" s="54" t="s">
        <v>63</v>
      </c>
      <c r="C105" s="63"/>
      <c r="D105" s="63"/>
      <c r="E105" s="63">
        <f>G104+G103</f>
        <v>10.106999999999999</v>
      </c>
      <c r="F105" s="63">
        <v>100</v>
      </c>
      <c r="G105" s="63">
        <f>E105*F105</f>
        <v>1010.6999999999999</v>
      </c>
      <c r="H105" s="76" t="s">
        <v>56</v>
      </c>
      <c r="I105" s="100">
        <f>I96</f>
        <v>66.239999999999995</v>
      </c>
      <c r="J105" s="102">
        <f t="shared" si="13"/>
        <v>66948.767999999996</v>
      </c>
      <c r="K105" s="62"/>
    </row>
    <row r="106" spans="1:11" x14ac:dyDescent="0.25">
      <c r="A106" s="52">
        <v>8</v>
      </c>
      <c r="B106" s="54" t="s">
        <v>64</v>
      </c>
      <c r="C106" s="63">
        <f>C104</f>
        <v>2</v>
      </c>
      <c r="D106" s="63">
        <f>D104</f>
        <v>10</v>
      </c>
      <c r="E106" s="63">
        <f>E104+0.3</f>
        <v>2.3249999999999997</v>
      </c>
      <c r="F106" s="63"/>
      <c r="G106" s="63">
        <f>C106*D106*E106</f>
        <v>46.499999999999993</v>
      </c>
      <c r="H106" s="76" t="s">
        <v>36</v>
      </c>
      <c r="I106" s="100">
        <f>718.4</f>
        <v>718.4</v>
      </c>
      <c r="J106" s="101">
        <f t="shared" si="13"/>
        <v>33405.599999999991</v>
      </c>
      <c r="K106" s="62"/>
    </row>
    <row r="107" spans="1:11" x14ac:dyDescent="0.25">
      <c r="A107" s="52">
        <v>9</v>
      </c>
      <c r="B107" s="54" t="s">
        <v>83</v>
      </c>
      <c r="C107" s="63">
        <f>C104</f>
        <v>2</v>
      </c>
      <c r="D107" s="63">
        <f>D106</f>
        <v>10</v>
      </c>
      <c r="E107" s="63">
        <f>E106</f>
        <v>2.3249999999999997</v>
      </c>
      <c r="F107" s="63"/>
      <c r="G107" s="63">
        <f>C107*D107*E107</f>
        <v>46.499999999999993</v>
      </c>
      <c r="H107" s="76" t="s">
        <v>36</v>
      </c>
      <c r="I107" s="100">
        <v>336.27</v>
      </c>
      <c r="J107" s="101">
        <f t="shared" si="13"/>
        <v>15636.554999999997</v>
      </c>
      <c r="K107" s="62"/>
    </row>
    <row r="108" spans="1:11" x14ac:dyDescent="0.25">
      <c r="A108" s="52">
        <v>9</v>
      </c>
      <c r="B108" s="54" t="s">
        <v>318</v>
      </c>
      <c r="C108" s="63"/>
      <c r="D108" s="63"/>
      <c r="E108" s="63"/>
      <c r="F108" s="63"/>
      <c r="G108" s="63">
        <v>1</v>
      </c>
      <c r="H108" s="76" t="s">
        <v>4</v>
      </c>
      <c r="I108" s="100">
        <v>50000</v>
      </c>
      <c r="J108" s="101">
        <f>G108*I108</f>
        <v>50000</v>
      </c>
      <c r="K108" s="62"/>
    </row>
    <row r="109" spans="1:11" x14ac:dyDescent="0.25">
      <c r="A109" s="52">
        <v>10</v>
      </c>
      <c r="B109" s="54" t="s">
        <v>84</v>
      </c>
      <c r="C109" s="63"/>
      <c r="D109" s="63"/>
      <c r="E109" s="63"/>
      <c r="F109" s="63"/>
      <c r="G109" s="63">
        <f>G107/2</f>
        <v>23.249999999999996</v>
      </c>
      <c r="H109" s="76" t="s">
        <v>85</v>
      </c>
      <c r="I109" s="100">
        <v>2200</v>
      </c>
      <c r="J109" s="101">
        <f>G109*I109</f>
        <v>51149.999999999993</v>
      </c>
      <c r="K109" s="62"/>
    </row>
    <row r="110" spans="1:11" x14ac:dyDescent="0.25">
      <c r="A110" s="52">
        <v>11</v>
      </c>
      <c r="B110" s="54" t="s">
        <v>86</v>
      </c>
      <c r="C110" s="63">
        <v>1</v>
      </c>
      <c r="D110" s="63">
        <v>3</v>
      </c>
      <c r="E110" s="63">
        <v>2</v>
      </c>
      <c r="F110" s="63">
        <v>75</v>
      </c>
      <c r="G110" s="63">
        <f>C110*D110*E110*F110</f>
        <v>450</v>
      </c>
      <c r="H110" s="76" t="s">
        <v>56</v>
      </c>
      <c r="I110" s="100">
        <v>81.52</v>
      </c>
      <c r="J110" s="101">
        <f>G110*I110</f>
        <v>36684</v>
      </c>
      <c r="K110" s="62"/>
    </row>
    <row r="111" spans="1:11" x14ac:dyDescent="0.25">
      <c r="A111" s="52">
        <v>12</v>
      </c>
      <c r="B111" s="54" t="s">
        <v>87</v>
      </c>
      <c r="C111" s="63"/>
      <c r="D111" s="63"/>
      <c r="E111" s="63">
        <v>3.5000000000000003E-2</v>
      </c>
      <c r="F111" s="63">
        <f>G110</f>
        <v>450</v>
      </c>
      <c r="G111" s="63">
        <f>E111*F111</f>
        <v>15.750000000000002</v>
      </c>
      <c r="H111" s="76" t="s">
        <v>36</v>
      </c>
      <c r="I111" s="100">
        <f>244.56+626.69</f>
        <v>871.25</v>
      </c>
      <c r="J111" s="101">
        <f>G111*I111</f>
        <v>13722.187500000002</v>
      </c>
      <c r="K111" s="62"/>
    </row>
    <row r="112" spans="1:11" x14ac:dyDescent="0.25">
      <c r="A112" s="261"/>
      <c r="B112" s="262"/>
      <c r="C112" s="263"/>
      <c r="D112" s="263"/>
      <c r="E112" s="263"/>
      <c r="F112" s="330"/>
      <c r="G112" s="330"/>
      <c r="H112" s="330"/>
      <c r="I112" s="330"/>
      <c r="J112" s="264"/>
      <c r="K112" s="265"/>
    </row>
    <row r="113" spans="1:11" ht="18.75" x14ac:dyDescent="0.3">
      <c r="A113" s="38"/>
      <c r="B113" s="55" t="s">
        <v>114</v>
      </c>
      <c r="C113" s="65"/>
      <c r="D113" s="65"/>
      <c r="E113" s="65"/>
      <c r="F113" s="65"/>
      <c r="G113" s="65"/>
      <c r="H113" s="80"/>
      <c r="I113" s="104"/>
      <c r="J113" s="101"/>
      <c r="K113" s="62"/>
    </row>
    <row r="114" spans="1:11" x14ac:dyDescent="0.25">
      <c r="A114" s="52">
        <v>1</v>
      </c>
      <c r="B114" s="54" t="s">
        <v>60</v>
      </c>
      <c r="C114" s="63"/>
      <c r="D114" s="63">
        <f>28+18+12+15+3</f>
        <v>76</v>
      </c>
      <c r="E114" s="63">
        <f>0.1+0.15+0.6+0.15+0.1+0.3+0.3</f>
        <v>1.7000000000000002</v>
      </c>
      <c r="F114" s="63">
        <f>1+0.23+0.075</f>
        <v>1.3049999999999999</v>
      </c>
      <c r="G114" s="63">
        <f>D114*E114*F114</f>
        <v>168.60600000000002</v>
      </c>
      <c r="H114" s="76" t="s">
        <v>51</v>
      </c>
      <c r="I114" s="100">
        <f>I99</f>
        <v>315.19</v>
      </c>
      <c r="J114" s="101">
        <f>G114*I114</f>
        <v>53142.925140000007</v>
      </c>
      <c r="K114" s="62"/>
    </row>
    <row r="115" spans="1:11" x14ac:dyDescent="0.25">
      <c r="A115" s="52">
        <v>2</v>
      </c>
      <c r="B115" s="54" t="s">
        <v>61</v>
      </c>
      <c r="C115" s="63"/>
      <c r="D115" s="63"/>
      <c r="E115" s="63"/>
      <c r="F115" s="63"/>
      <c r="G115" s="63">
        <f>G114</f>
        <v>168.60600000000002</v>
      </c>
      <c r="H115" s="76" t="s">
        <v>51</v>
      </c>
      <c r="I115" s="100">
        <v>100</v>
      </c>
      <c r="J115" s="101">
        <f t="shared" ref="J115:J122" si="14">G115*I115</f>
        <v>16860.600000000002</v>
      </c>
      <c r="K115" s="62"/>
    </row>
    <row r="116" spans="1:11" x14ac:dyDescent="0.25">
      <c r="A116" s="52">
        <v>3</v>
      </c>
      <c r="B116" s="54" t="s">
        <v>79</v>
      </c>
      <c r="C116" s="63"/>
      <c r="D116" s="63">
        <f>D114</f>
        <v>76</v>
      </c>
      <c r="E116" s="63">
        <v>1</v>
      </c>
      <c r="F116" s="63">
        <v>0.23</v>
      </c>
      <c r="G116" s="63">
        <f>D116*E116*F116</f>
        <v>17.48</v>
      </c>
      <c r="H116" s="76" t="s">
        <v>51</v>
      </c>
      <c r="I116" s="100">
        <v>950</v>
      </c>
      <c r="J116" s="101">
        <f t="shared" si="14"/>
        <v>16606</v>
      </c>
      <c r="K116" s="62"/>
    </row>
    <row r="117" spans="1:11" x14ac:dyDescent="0.25">
      <c r="A117" s="52">
        <v>4</v>
      </c>
      <c r="B117" s="54" t="s">
        <v>88</v>
      </c>
      <c r="C117" s="63"/>
      <c r="D117" s="63">
        <f>D114</f>
        <v>76</v>
      </c>
      <c r="E117" s="63">
        <v>1</v>
      </c>
      <c r="F117" s="63">
        <v>7.4999999999999997E-2</v>
      </c>
      <c r="G117" s="63">
        <f>D117*E117*F117</f>
        <v>5.7</v>
      </c>
      <c r="H117" s="76" t="s">
        <v>51</v>
      </c>
      <c r="I117" s="100">
        <f>I102</f>
        <v>3535.97</v>
      </c>
      <c r="J117" s="101">
        <f t="shared" si="14"/>
        <v>20155.028999999999</v>
      </c>
      <c r="K117" s="62"/>
    </row>
    <row r="118" spans="1:11" x14ac:dyDescent="0.25">
      <c r="A118" s="52">
        <v>5</v>
      </c>
      <c r="B118" s="54" t="s">
        <v>81</v>
      </c>
      <c r="C118" s="63"/>
      <c r="D118" s="63">
        <f>D114</f>
        <v>76</v>
      </c>
      <c r="E118" s="63">
        <v>1</v>
      </c>
      <c r="F118" s="63">
        <v>0.2</v>
      </c>
      <c r="G118" s="63">
        <f>D118*E118*F118</f>
        <v>15.200000000000001</v>
      </c>
      <c r="H118" s="76" t="s">
        <v>51</v>
      </c>
      <c r="I118" s="100">
        <f>I103</f>
        <v>5329.43</v>
      </c>
      <c r="J118" s="101">
        <f t="shared" si="14"/>
        <v>81007.33600000001</v>
      </c>
      <c r="K118" s="62"/>
    </row>
    <row r="119" spans="1:11" x14ac:dyDescent="0.25">
      <c r="A119" s="52">
        <v>6</v>
      </c>
      <c r="B119" s="54" t="s">
        <v>89</v>
      </c>
      <c r="C119" s="63"/>
      <c r="D119" s="63">
        <f>D114*2</f>
        <v>152</v>
      </c>
      <c r="E119" s="63">
        <v>1</v>
      </c>
      <c r="F119" s="63">
        <v>0.15</v>
      </c>
      <c r="G119" s="63">
        <f>D119*E119*F119</f>
        <v>22.8</v>
      </c>
      <c r="H119" s="76" t="s">
        <v>51</v>
      </c>
      <c r="I119" s="100">
        <f>I104</f>
        <v>5329.43</v>
      </c>
      <c r="J119" s="101">
        <f t="shared" si="14"/>
        <v>121511.00400000002</v>
      </c>
      <c r="K119" s="62"/>
    </row>
    <row r="120" spans="1:11" x14ac:dyDescent="0.25">
      <c r="A120" s="52">
        <v>7</v>
      </c>
      <c r="B120" s="54" t="s">
        <v>90</v>
      </c>
      <c r="C120" s="63"/>
      <c r="D120" s="63">
        <f>D114*2</f>
        <v>152</v>
      </c>
      <c r="E120" s="63">
        <v>1</v>
      </c>
      <c r="F120" s="63">
        <v>0.3</v>
      </c>
      <c r="G120" s="63">
        <v>1.3</v>
      </c>
      <c r="H120" s="76" t="s">
        <v>51</v>
      </c>
      <c r="I120" s="100">
        <v>183.42</v>
      </c>
      <c r="J120" s="101">
        <f t="shared" si="14"/>
        <v>238.446</v>
      </c>
      <c r="K120" s="62"/>
    </row>
    <row r="121" spans="1:11" x14ac:dyDescent="0.25">
      <c r="A121" s="52">
        <v>8</v>
      </c>
      <c r="B121" s="54" t="s">
        <v>63</v>
      </c>
      <c r="C121" s="63"/>
      <c r="D121" s="63"/>
      <c r="E121" s="63">
        <f>G118+G119</f>
        <v>38</v>
      </c>
      <c r="F121" s="63">
        <v>100</v>
      </c>
      <c r="G121" s="63">
        <f>E121*F121</f>
        <v>3800</v>
      </c>
      <c r="H121" s="76" t="s">
        <v>56</v>
      </c>
      <c r="I121" s="100">
        <v>66.239999999999995</v>
      </c>
      <c r="J121" s="101">
        <f t="shared" si="14"/>
        <v>251711.99999999997</v>
      </c>
      <c r="K121" s="62"/>
    </row>
    <row r="122" spans="1:11" x14ac:dyDescent="0.25">
      <c r="A122" s="52">
        <v>9</v>
      </c>
      <c r="B122" s="54" t="s">
        <v>91</v>
      </c>
      <c r="C122" s="63"/>
      <c r="D122" s="63">
        <f>D114*4</f>
        <v>304</v>
      </c>
      <c r="E122" s="63">
        <v>1</v>
      </c>
      <c r="F122" s="63">
        <v>1</v>
      </c>
      <c r="G122" s="63">
        <f>D122*E122*F122</f>
        <v>304</v>
      </c>
      <c r="H122" s="76" t="s">
        <v>36</v>
      </c>
      <c r="I122" s="100">
        <f>I106</f>
        <v>718.4</v>
      </c>
      <c r="J122" s="101">
        <f t="shared" si="14"/>
        <v>218393.60000000001</v>
      </c>
      <c r="K122" s="62"/>
    </row>
    <row r="123" spans="1:11" x14ac:dyDescent="0.25">
      <c r="A123" s="50"/>
      <c r="B123" s="51"/>
      <c r="C123" s="48"/>
      <c r="D123" s="48"/>
      <c r="E123" s="48"/>
      <c r="H123" s="109" t="s">
        <v>66</v>
      </c>
      <c r="I123" s="110"/>
      <c r="J123" s="68"/>
      <c r="K123" s="111"/>
    </row>
    <row r="124" spans="1:11" x14ac:dyDescent="0.25">
      <c r="A124" s="25">
        <v>2</v>
      </c>
      <c r="B124" s="26" t="s">
        <v>182</v>
      </c>
      <c r="C124" s="27"/>
      <c r="D124" s="27"/>
      <c r="E124" s="27"/>
      <c r="F124" s="115"/>
      <c r="G124" s="115"/>
      <c r="H124" s="73"/>
      <c r="I124" s="94"/>
      <c r="J124" s="95"/>
      <c r="K124" s="115"/>
    </row>
    <row r="125" spans="1:11" x14ac:dyDescent="0.25">
      <c r="A125" s="38"/>
      <c r="B125" s="27" t="s">
        <v>20</v>
      </c>
      <c r="C125" s="27"/>
      <c r="D125" s="27"/>
      <c r="E125" s="27">
        <f>(6*6)</f>
        <v>36</v>
      </c>
      <c r="F125" s="27"/>
      <c r="G125" s="27"/>
      <c r="H125" s="73" t="s">
        <v>36</v>
      </c>
      <c r="I125" s="94"/>
      <c r="J125" s="95"/>
      <c r="K125" s="115"/>
    </row>
    <row r="126" spans="1:11" x14ac:dyDescent="0.25">
      <c r="A126" s="38"/>
      <c r="B126" s="27" t="s">
        <v>21</v>
      </c>
      <c r="C126" s="27"/>
      <c r="D126" s="27"/>
      <c r="E126" s="27">
        <f>SUM(E125:E125)</f>
        <v>36</v>
      </c>
      <c r="F126" s="27">
        <v>150</v>
      </c>
      <c r="G126" s="27">
        <f>F126*E126</f>
        <v>5400</v>
      </c>
      <c r="H126" s="73" t="s">
        <v>56</v>
      </c>
      <c r="I126" s="94">
        <v>81.52</v>
      </c>
      <c r="J126" s="95">
        <f>G126*I126</f>
        <v>440208</v>
      </c>
      <c r="K126" s="115"/>
    </row>
    <row r="127" spans="1:11" x14ac:dyDescent="0.25">
      <c r="A127" s="38"/>
      <c r="B127" s="27" t="s">
        <v>22</v>
      </c>
      <c r="C127" s="27"/>
      <c r="D127" s="27"/>
      <c r="E127" s="27">
        <f>E125</f>
        <v>36</v>
      </c>
      <c r="F127" s="27"/>
      <c r="G127" s="27">
        <f>E127</f>
        <v>36</v>
      </c>
      <c r="H127" s="73" t="s">
        <v>36</v>
      </c>
      <c r="I127" s="94">
        <v>3000</v>
      </c>
      <c r="J127" s="95">
        <f t="shared" ref="J127:J129" si="15">G127*I127</f>
        <v>108000</v>
      </c>
      <c r="K127" s="115"/>
    </row>
    <row r="128" spans="1:11" x14ac:dyDescent="0.25">
      <c r="A128" s="38"/>
      <c r="B128" s="27" t="s">
        <v>23</v>
      </c>
      <c r="C128" s="27"/>
      <c r="D128" s="27"/>
      <c r="E128" s="27">
        <f>6+6+6+6</f>
        <v>24</v>
      </c>
      <c r="F128" s="27"/>
      <c r="G128" s="27">
        <f>E128</f>
        <v>24</v>
      </c>
      <c r="H128" s="73" t="s">
        <v>47</v>
      </c>
      <c r="I128" s="94">
        <v>1500</v>
      </c>
      <c r="J128" s="95">
        <f t="shared" si="15"/>
        <v>36000</v>
      </c>
      <c r="K128" s="115"/>
    </row>
    <row r="129" spans="1:11" x14ac:dyDescent="0.25">
      <c r="A129" s="38"/>
      <c r="B129" s="27" t="s">
        <v>24</v>
      </c>
      <c r="C129" s="27"/>
      <c r="D129" s="27"/>
      <c r="E129" s="27">
        <f>G126</f>
        <v>5400</v>
      </c>
      <c r="F129" s="27">
        <v>0.03</v>
      </c>
      <c r="G129" s="27">
        <f>F129*E129</f>
        <v>162</v>
      </c>
      <c r="H129" s="73" t="s">
        <v>36</v>
      </c>
      <c r="I129" s="94">
        <f>I105</f>
        <v>66.239999999999995</v>
      </c>
      <c r="J129" s="95">
        <f t="shared" si="15"/>
        <v>10730.88</v>
      </c>
      <c r="K129" s="115"/>
    </row>
    <row r="130" spans="1:11" x14ac:dyDescent="0.25">
      <c r="A130" s="25">
        <v>2</v>
      </c>
      <c r="B130" s="26" t="s">
        <v>173</v>
      </c>
      <c r="C130" s="27"/>
      <c r="D130" s="27"/>
      <c r="E130" s="27"/>
      <c r="F130" s="24"/>
      <c r="G130" s="24"/>
      <c r="H130" s="73"/>
      <c r="I130" s="94"/>
      <c r="J130" s="95"/>
      <c r="K130" s="24"/>
    </row>
    <row r="131" spans="1:11" x14ac:dyDescent="0.25">
      <c r="A131" s="38"/>
      <c r="B131" s="27" t="s">
        <v>20</v>
      </c>
      <c r="C131" s="27"/>
      <c r="D131" s="27"/>
      <c r="E131" s="27">
        <f>(27*18)+(6*6)+(2*6)</f>
        <v>534</v>
      </c>
      <c r="F131" s="27"/>
      <c r="G131" s="27"/>
      <c r="H131" s="73" t="s">
        <v>36</v>
      </c>
      <c r="I131" s="94"/>
      <c r="J131" s="95"/>
      <c r="K131" s="24"/>
    </row>
    <row r="132" spans="1:11" x14ac:dyDescent="0.25">
      <c r="A132" s="38"/>
      <c r="B132" s="27" t="s">
        <v>21</v>
      </c>
      <c r="C132" s="27"/>
      <c r="D132" s="27"/>
      <c r="E132" s="27">
        <f>SUM(E131:E131)</f>
        <v>534</v>
      </c>
      <c r="F132" s="27">
        <v>150</v>
      </c>
      <c r="G132" s="27">
        <f>F132*E132</f>
        <v>80100</v>
      </c>
      <c r="H132" s="73" t="s">
        <v>56</v>
      </c>
      <c r="I132" s="94">
        <v>81.52</v>
      </c>
      <c r="J132" s="95">
        <f>G132*I132</f>
        <v>6529752</v>
      </c>
      <c r="K132" s="24"/>
    </row>
    <row r="133" spans="1:11" x14ac:dyDescent="0.25">
      <c r="A133" s="38"/>
      <c r="B133" s="27" t="s">
        <v>22</v>
      </c>
      <c r="C133" s="27"/>
      <c r="D133" s="27"/>
      <c r="E133" s="27">
        <f>E131</f>
        <v>534</v>
      </c>
      <c r="F133" s="27"/>
      <c r="G133" s="27">
        <f>E133</f>
        <v>534</v>
      </c>
      <c r="H133" s="73" t="s">
        <v>36</v>
      </c>
      <c r="I133" s="94">
        <v>3000</v>
      </c>
      <c r="J133" s="95">
        <f t="shared" ref="J133:J135" si="16">G133*I133</f>
        <v>1602000</v>
      </c>
      <c r="K133" s="24"/>
    </row>
    <row r="134" spans="1:11" x14ac:dyDescent="0.25">
      <c r="A134" s="38"/>
      <c r="B134" s="27" t="s">
        <v>23</v>
      </c>
      <c r="C134" s="27"/>
      <c r="D134" s="27"/>
      <c r="E134" s="27">
        <f>27+27+18+18+6+6+2+2</f>
        <v>106</v>
      </c>
      <c r="F134" s="27"/>
      <c r="G134" s="27">
        <f>E134</f>
        <v>106</v>
      </c>
      <c r="H134" s="73" t="s">
        <v>47</v>
      </c>
      <c r="I134" s="94">
        <v>1500</v>
      </c>
      <c r="J134" s="95">
        <f t="shared" si="16"/>
        <v>159000</v>
      </c>
      <c r="K134" s="24"/>
    </row>
    <row r="135" spans="1:11" x14ac:dyDescent="0.25">
      <c r="A135" s="38"/>
      <c r="B135" s="27" t="s">
        <v>24</v>
      </c>
      <c r="C135" s="27"/>
      <c r="D135" s="27"/>
      <c r="E135" s="27">
        <f>G132</f>
        <v>80100</v>
      </c>
      <c r="F135" s="27">
        <v>0.03</v>
      </c>
      <c r="G135" s="27">
        <f>F135*E135</f>
        <v>2403</v>
      </c>
      <c r="H135" s="73" t="s">
        <v>36</v>
      </c>
      <c r="I135" s="94">
        <f>I111</f>
        <v>871.25</v>
      </c>
      <c r="J135" s="95">
        <f t="shared" si="16"/>
        <v>2093613.75</v>
      </c>
      <c r="K135" s="24"/>
    </row>
    <row r="136" spans="1:11" x14ac:dyDescent="0.25">
      <c r="A136" s="38"/>
      <c r="B136" s="56" t="s">
        <v>171</v>
      </c>
      <c r="C136" s="27"/>
      <c r="D136" s="27"/>
      <c r="E136" s="27"/>
      <c r="F136" s="27"/>
      <c r="G136" s="27"/>
      <c r="H136" s="73"/>
      <c r="I136" s="94"/>
      <c r="J136" s="95"/>
      <c r="K136" s="24"/>
    </row>
    <row r="137" spans="1:11" x14ac:dyDescent="0.25">
      <c r="A137" s="47"/>
      <c r="B137" s="48" t="s">
        <v>99</v>
      </c>
      <c r="C137" s="48">
        <v>2</v>
      </c>
      <c r="D137" s="48">
        <v>13</v>
      </c>
      <c r="E137" s="48">
        <v>6.5</v>
      </c>
      <c r="F137" s="48"/>
      <c r="G137" s="48">
        <f>C137*D137*E137</f>
        <v>169</v>
      </c>
      <c r="H137" s="75" t="s">
        <v>36</v>
      </c>
      <c r="I137" s="97">
        <v>1500</v>
      </c>
      <c r="J137" s="69">
        <f t="shared" ref="J137:J144" si="17">G137*I137</f>
        <v>253500</v>
      </c>
      <c r="K137" s="24"/>
    </row>
    <row r="138" spans="1:11" x14ac:dyDescent="0.25">
      <c r="A138" s="47"/>
      <c r="B138" s="48" t="s">
        <v>98</v>
      </c>
      <c r="C138" s="48">
        <v>2</v>
      </c>
      <c r="D138" s="48">
        <v>13</v>
      </c>
      <c r="E138" s="48">
        <v>6.5</v>
      </c>
      <c r="F138" s="48">
        <v>0.1</v>
      </c>
      <c r="G138" s="48">
        <f>C138*D138*E138*F138</f>
        <v>16.900000000000002</v>
      </c>
      <c r="H138" s="75" t="s">
        <v>51</v>
      </c>
      <c r="I138" s="97">
        <f>I119</f>
        <v>5329.43</v>
      </c>
      <c r="J138" s="69">
        <f t="shared" si="17"/>
        <v>90067.367000000013</v>
      </c>
      <c r="K138" s="24"/>
    </row>
    <row r="139" spans="1:11" x14ac:dyDescent="0.25">
      <c r="A139" s="47"/>
      <c r="B139" s="48" t="s">
        <v>63</v>
      </c>
      <c r="C139" s="48">
        <v>1</v>
      </c>
      <c r="D139" s="48"/>
      <c r="E139" s="48">
        <f>G138</f>
        <v>16.900000000000002</v>
      </c>
      <c r="F139" s="48">
        <v>100</v>
      </c>
      <c r="G139" s="48">
        <f>C139*E139*F139</f>
        <v>1690.0000000000002</v>
      </c>
      <c r="H139" s="75" t="s">
        <v>56</v>
      </c>
      <c r="I139" s="97">
        <f>I121</f>
        <v>66.239999999999995</v>
      </c>
      <c r="J139" s="70">
        <f t="shared" si="17"/>
        <v>111945.60000000001</v>
      </c>
      <c r="K139" s="24"/>
    </row>
    <row r="140" spans="1:11" x14ac:dyDescent="0.25">
      <c r="A140" s="47"/>
      <c r="B140" s="48" t="s">
        <v>101</v>
      </c>
      <c r="C140" s="48">
        <v>2</v>
      </c>
      <c r="D140" s="48">
        <f>12+6+12+6</f>
        <v>36</v>
      </c>
      <c r="E140" s="48">
        <v>3</v>
      </c>
      <c r="F140" s="48">
        <v>0.75</v>
      </c>
      <c r="G140" s="48">
        <f>C140*D140*E140*F140</f>
        <v>162</v>
      </c>
      <c r="H140" s="75" t="s">
        <v>36</v>
      </c>
      <c r="I140" s="97">
        <f>I122</f>
        <v>718.4</v>
      </c>
      <c r="J140" s="69">
        <f t="shared" si="17"/>
        <v>116380.8</v>
      </c>
      <c r="K140" s="24"/>
    </row>
    <row r="141" spans="1:11" x14ac:dyDescent="0.25">
      <c r="A141" s="47"/>
      <c r="B141" s="48" t="s">
        <v>100</v>
      </c>
      <c r="C141" s="48">
        <v>1</v>
      </c>
      <c r="D141" s="48">
        <v>12</v>
      </c>
      <c r="E141" s="48">
        <v>6</v>
      </c>
      <c r="F141" s="48"/>
      <c r="G141" s="48">
        <f>C141*D141*E141</f>
        <v>72</v>
      </c>
      <c r="H141" s="75" t="s">
        <v>102</v>
      </c>
      <c r="I141" s="97">
        <v>1500</v>
      </c>
      <c r="J141" s="69">
        <f t="shared" si="17"/>
        <v>108000</v>
      </c>
      <c r="K141" s="24"/>
    </row>
    <row r="142" spans="1:11" x14ac:dyDescent="0.25">
      <c r="A142" s="38"/>
      <c r="B142" s="27" t="s">
        <v>103</v>
      </c>
      <c r="C142" s="27">
        <v>1</v>
      </c>
      <c r="D142" s="27">
        <f>D141*2+E141*2+E141</f>
        <v>42</v>
      </c>
      <c r="E142" s="27">
        <v>5.5</v>
      </c>
      <c r="F142" s="27"/>
      <c r="G142" s="27">
        <f>C142*D142*E142</f>
        <v>231</v>
      </c>
      <c r="H142" s="73" t="s">
        <v>36</v>
      </c>
      <c r="I142" s="94">
        <v>5000</v>
      </c>
      <c r="J142" s="69">
        <f t="shared" si="17"/>
        <v>1155000</v>
      </c>
      <c r="K142" s="24"/>
    </row>
    <row r="143" spans="1:11" x14ac:dyDescent="0.25">
      <c r="A143" s="38"/>
      <c r="B143" s="27" t="s">
        <v>329</v>
      </c>
      <c r="C143" s="27">
        <v>1</v>
      </c>
      <c r="D143" s="27">
        <v>12</v>
      </c>
      <c r="E143" s="27">
        <v>6</v>
      </c>
      <c r="F143" s="27"/>
      <c r="G143" s="27">
        <f>C143*D143*E143</f>
        <v>72</v>
      </c>
      <c r="H143" s="73" t="s">
        <v>36</v>
      </c>
      <c r="I143" s="94">
        <f>200*10.76</f>
        <v>2152</v>
      </c>
      <c r="J143" s="69">
        <f t="shared" si="17"/>
        <v>154944</v>
      </c>
      <c r="K143" s="24"/>
    </row>
    <row r="144" spans="1:11" x14ac:dyDescent="0.25">
      <c r="A144" s="38"/>
      <c r="B144" s="27" t="s">
        <v>330</v>
      </c>
      <c r="C144" s="27"/>
      <c r="D144" s="27"/>
      <c r="E144" s="27"/>
      <c r="F144" s="27"/>
      <c r="G144" s="27">
        <v>1</v>
      </c>
      <c r="H144" s="73" t="s">
        <v>4</v>
      </c>
      <c r="I144" s="94">
        <v>25000</v>
      </c>
      <c r="J144" s="69">
        <f t="shared" si="17"/>
        <v>25000</v>
      </c>
      <c r="K144" s="24"/>
    </row>
    <row r="145" spans="1:11" x14ac:dyDescent="0.25">
      <c r="A145" s="25">
        <v>3</v>
      </c>
      <c r="B145" s="26" t="s">
        <v>172</v>
      </c>
      <c r="C145" s="27"/>
      <c r="D145" s="6"/>
      <c r="E145" s="27"/>
      <c r="F145" s="27"/>
      <c r="G145" s="27"/>
      <c r="H145" s="73"/>
      <c r="I145" s="94"/>
      <c r="J145" s="95"/>
      <c r="K145" s="24"/>
    </row>
    <row r="146" spans="1:11" x14ac:dyDescent="0.25">
      <c r="A146" s="38"/>
      <c r="B146" s="27" t="s">
        <v>20</v>
      </c>
      <c r="C146" s="27"/>
      <c r="D146" s="6"/>
      <c r="E146" s="27">
        <f>(12*12)+(6*6)</f>
        <v>180</v>
      </c>
      <c r="F146" s="27"/>
      <c r="G146" s="27"/>
      <c r="H146" s="73" t="s">
        <v>36</v>
      </c>
      <c r="I146" s="94"/>
      <c r="J146" s="95"/>
      <c r="K146" s="24"/>
    </row>
    <row r="147" spans="1:11" x14ac:dyDescent="0.25">
      <c r="A147" s="38"/>
      <c r="B147" s="27" t="s">
        <v>21</v>
      </c>
      <c r="C147" s="27"/>
      <c r="D147" s="6"/>
      <c r="E147" s="27">
        <f>SUM(E146:E146)</f>
        <v>180</v>
      </c>
      <c r="F147" s="27">
        <v>150</v>
      </c>
      <c r="G147" s="27">
        <f>F147*E147</f>
        <v>27000</v>
      </c>
      <c r="H147" s="73" t="s">
        <v>56</v>
      </c>
      <c r="I147" s="94">
        <f>I132</f>
        <v>81.52</v>
      </c>
      <c r="J147" s="95">
        <f>I147*G147</f>
        <v>2201040</v>
      </c>
      <c r="K147" s="24"/>
    </row>
    <row r="148" spans="1:11" x14ac:dyDescent="0.25">
      <c r="A148" s="38"/>
      <c r="B148" s="27" t="s">
        <v>22</v>
      </c>
      <c r="C148" s="27"/>
      <c r="D148" s="6"/>
      <c r="E148" s="27">
        <f>E146</f>
        <v>180</v>
      </c>
      <c r="F148" s="27"/>
      <c r="G148" s="27">
        <f>E148</f>
        <v>180</v>
      </c>
      <c r="H148" s="73" t="s">
        <v>36</v>
      </c>
      <c r="I148" s="94">
        <v>3000</v>
      </c>
      <c r="J148" s="95">
        <f t="shared" ref="J148:J150" si="18">I148*G148</f>
        <v>540000</v>
      </c>
      <c r="K148" s="24"/>
    </row>
    <row r="149" spans="1:11" x14ac:dyDescent="0.25">
      <c r="A149" s="38"/>
      <c r="B149" s="27" t="s">
        <v>23</v>
      </c>
      <c r="C149" s="27"/>
      <c r="D149" s="6"/>
      <c r="E149" s="27">
        <f>12+12+6+6+12+12</f>
        <v>60</v>
      </c>
      <c r="F149" s="27"/>
      <c r="G149" s="27">
        <f>E149</f>
        <v>60</v>
      </c>
      <c r="H149" s="73" t="s">
        <v>47</v>
      </c>
      <c r="I149" s="94">
        <v>1500</v>
      </c>
      <c r="J149" s="95">
        <f t="shared" si="18"/>
        <v>90000</v>
      </c>
      <c r="K149" s="24"/>
    </row>
    <row r="150" spans="1:11" x14ac:dyDescent="0.25">
      <c r="A150" s="38"/>
      <c r="B150" s="27" t="s">
        <v>24</v>
      </c>
      <c r="C150" s="27"/>
      <c r="D150" s="6"/>
      <c r="E150" s="27">
        <f>G147</f>
        <v>27000</v>
      </c>
      <c r="F150" s="27">
        <v>0.03</v>
      </c>
      <c r="G150" s="27">
        <f>F150*E150</f>
        <v>810</v>
      </c>
      <c r="H150" s="73" t="s">
        <v>36</v>
      </c>
      <c r="I150" s="94">
        <f>I135</f>
        <v>871.25</v>
      </c>
      <c r="J150" s="95">
        <f t="shared" si="18"/>
        <v>705712.5</v>
      </c>
      <c r="K150" s="24"/>
    </row>
    <row r="151" spans="1:11" x14ac:dyDescent="0.25">
      <c r="A151" s="25">
        <v>3</v>
      </c>
      <c r="B151" s="26" t="s">
        <v>174</v>
      </c>
      <c r="C151" s="27"/>
      <c r="D151" s="6"/>
      <c r="E151" s="27"/>
      <c r="F151" s="27"/>
      <c r="G151" s="27"/>
      <c r="H151" s="73"/>
      <c r="I151" s="94"/>
      <c r="J151" s="95"/>
      <c r="K151" s="115"/>
    </row>
    <row r="152" spans="1:11" x14ac:dyDescent="0.25">
      <c r="A152" s="38"/>
      <c r="B152" s="27" t="s">
        <v>20</v>
      </c>
      <c r="C152" s="27"/>
      <c r="D152" s="6"/>
      <c r="E152" s="27">
        <f>(27*18)+(6*6)+(2*6)</f>
        <v>534</v>
      </c>
      <c r="F152" s="27"/>
      <c r="G152" s="27"/>
      <c r="H152" s="73" t="s">
        <v>36</v>
      </c>
      <c r="I152" s="94"/>
      <c r="J152" s="95"/>
      <c r="K152" s="115"/>
    </row>
    <row r="153" spans="1:11" x14ac:dyDescent="0.25">
      <c r="A153" s="38"/>
      <c r="B153" s="27" t="s">
        <v>21</v>
      </c>
      <c r="C153" s="27"/>
      <c r="D153" s="6"/>
      <c r="E153" s="27">
        <f>SUM(E152:E152)</f>
        <v>534</v>
      </c>
      <c r="F153" s="27">
        <v>150</v>
      </c>
      <c r="G153" s="27">
        <f>F153*E153</f>
        <v>80100</v>
      </c>
      <c r="H153" s="73" t="s">
        <v>56</v>
      </c>
      <c r="I153" s="94">
        <v>81.52</v>
      </c>
      <c r="J153" s="95">
        <f>I153*G153</f>
        <v>6529752</v>
      </c>
      <c r="K153" s="115"/>
    </row>
    <row r="154" spans="1:11" x14ac:dyDescent="0.25">
      <c r="A154" s="38"/>
      <c r="B154" s="27" t="s">
        <v>22</v>
      </c>
      <c r="C154" s="27"/>
      <c r="D154" s="6"/>
      <c r="E154" s="27">
        <f>E152</f>
        <v>534</v>
      </c>
      <c r="F154" s="27"/>
      <c r="G154" s="27">
        <f>E154</f>
        <v>534</v>
      </c>
      <c r="H154" s="73" t="s">
        <v>36</v>
      </c>
      <c r="I154" s="94">
        <v>3000</v>
      </c>
      <c r="J154" s="95">
        <f t="shared" ref="J154:J156" si="19">I154*G154</f>
        <v>1602000</v>
      </c>
      <c r="K154" s="115"/>
    </row>
    <row r="155" spans="1:11" x14ac:dyDescent="0.25">
      <c r="A155" s="38"/>
      <c r="B155" s="27" t="s">
        <v>23</v>
      </c>
      <c r="C155" s="27"/>
      <c r="D155" s="6"/>
      <c r="E155" s="27">
        <f>27+18+18+27+6+6+2+2</f>
        <v>106</v>
      </c>
      <c r="F155" s="27"/>
      <c r="G155" s="27">
        <f>E155</f>
        <v>106</v>
      </c>
      <c r="H155" s="73" t="s">
        <v>47</v>
      </c>
      <c r="I155" s="94">
        <v>1500</v>
      </c>
      <c r="J155" s="95">
        <f t="shared" si="19"/>
        <v>159000</v>
      </c>
      <c r="K155" s="115"/>
    </row>
    <row r="156" spans="1:11" x14ac:dyDescent="0.25">
      <c r="A156" s="38"/>
      <c r="B156" s="27" t="s">
        <v>24</v>
      </c>
      <c r="C156" s="27"/>
      <c r="D156" s="6"/>
      <c r="E156" s="27">
        <f>G153</f>
        <v>80100</v>
      </c>
      <c r="F156" s="27">
        <v>0.03</v>
      </c>
      <c r="G156" s="27">
        <f>F156*E156</f>
        <v>2403</v>
      </c>
      <c r="H156" s="73" t="s">
        <v>36</v>
      </c>
      <c r="I156" s="94">
        <v>871.25</v>
      </c>
      <c r="J156" s="95">
        <f t="shared" si="19"/>
        <v>2093613.75</v>
      </c>
      <c r="K156" s="115"/>
    </row>
    <row r="157" spans="1:11" x14ac:dyDescent="0.25">
      <c r="A157" s="38"/>
      <c r="B157" s="27"/>
      <c r="C157" s="27"/>
      <c r="D157" s="6"/>
      <c r="E157" s="27"/>
      <c r="F157" s="27"/>
      <c r="G157" s="27"/>
      <c r="H157" s="73"/>
      <c r="I157" s="94"/>
      <c r="J157" s="95"/>
      <c r="K157" s="115"/>
    </row>
    <row r="158" spans="1:11" x14ac:dyDescent="0.25">
      <c r="A158" s="38"/>
      <c r="B158" s="56" t="s">
        <v>74</v>
      </c>
      <c r="C158" s="27"/>
      <c r="D158" s="6"/>
      <c r="E158" s="27"/>
      <c r="F158" s="27"/>
      <c r="G158" s="27"/>
      <c r="H158" s="73"/>
      <c r="I158" s="94"/>
      <c r="J158" s="95"/>
      <c r="K158" s="24"/>
    </row>
    <row r="159" spans="1:11" x14ac:dyDescent="0.25">
      <c r="A159" s="47"/>
      <c r="B159" s="48" t="s">
        <v>104</v>
      </c>
      <c r="C159" s="48">
        <v>1</v>
      </c>
      <c r="D159" s="8">
        <v>13</v>
      </c>
      <c r="E159" s="48">
        <v>6.5</v>
      </c>
      <c r="F159" s="48"/>
      <c r="G159" s="48">
        <f>C159*D159*E159</f>
        <v>84.5</v>
      </c>
      <c r="H159" s="75" t="s">
        <v>51</v>
      </c>
      <c r="I159" s="97">
        <v>1500</v>
      </c>
      <c r="J159" s="69">
        <f t="shared" ref="J159:J167" si="20">G159*I159</f>
        <v>126750</v>
      </c>
      <c r="K159" s="24"/>
    </row>
    <row r="160" spans="1:11" x14ac:dyDescent="0.25">
      <c r="A160" s="47"/>
      <c r="B160" s="48" t="s">
        <v>105</v>
      </c>
      <c r="C160" s="48">
        <v>1</v>
      </c>
      <c r="D160" s="8">
        <v>13</v>
      </c>
      <c r="E160" s="48">
        <v>6.5</v>
      </c>
      <c r="F160" s="48">
        <v>0.1</v>
      </c>
      <c r="G160" s="48">
        <f>C160*D160*E160*F160</f>
        <v>8.4500000000000011</v>
      </c>
      <c r="H160" s="75" t="s">
        <v>51</v>
      </c>
      <c r="I160" s="97">
        <v>5329.43</v>
      </c>
      <c r="J160" s="69">
        <f t="shared" si="20"/>
        <v>45033.683500000006</v>
      </c>
      <c r="K160" s="24"/>
    </row>
    <row r="161" spans="1:11" x14ac:dyDescent="0.25">
      <c r="A161" s="47"/>
      <c r="B161" s="48" t="s">
        <v>63</v>
      </c>
      <c r="C161" s="48">
        <v>1</v>
      </c>
      <c r="D161" s="8"/>
      <c r="E161" s="48">
        <f>G160</f>
        <v>8.4500000000000011</v>
      </c>
      <c r="F161" s="48">
        <v>100</v>
      </c>
      <c r="G161" s="48">
        <f>C161*E161*F161</f>
        <v>845.00000000000011</v>
      </c>
      <c r="H161" s="75" t="s">
        <v>56</v>
      </c>
      <c r="I161" s="97">
        <v>66.239999999999995</v>
      </c>
      <c r="J161" s="70">
        <f t="shared" si="20"/>
        <v>55972.800000000003</v>
      </c>
      <c r="K161" s="24"/>
    </row>
    <row r="162" spans="1:11" x14ac:dyDescent="0.25">
      <c r="A162" s="47"/>
      <c r="B162" s="48" t="s">
        <v>101</v>
      </c>
      <c r="C162" s="48">
        <v>1</v>
      </c>
      <c r="D162" s="8">
        <f>12+6+12+6</f>
        <v>36</v>
      </c>
      <c r="E162" s="48">
        <v>3</v>
      </c>
      <c r="F162" s="48">
        <v>0.1</v>
      </c>
      <c r="G162" s="48">
        <f>C162*D162*E162*F162</f>
        <v>10.8</v>
      </c>
      <c r="H162" s="75" t="s">
        <v>36</v>
      </c>
      <c r="I162" s="97">
        <v>718.4</v>
      </c>
      <c r="J162" s="69">
        <f t="shared" si="20"/>
        <v>7758.72</v>
      </c>
      <c r="K162" s="24"/>
    </row>
    <row r="163" spans="1:11" x14ac:dyDescent="0.25">
      <c r="A163" s="47"/>
      <c r="B163" s="48" t="s">
        <v>100</v>
      </c>
      <c r="C163" s="48">
        <v>1</v>
      </c>
      <c r="D163" s="8">
        <v>12</v>
      </c>
      <c r="E163" s="48">
        <v>6</v>
      </c>
      <c r="F163" s="48"/>
      <c r="G163" s="48">
        <f>C163*D163*E163</f>
        <v>72</v>
      </c>
      <c r="H163" s="75" t="s">
        <v>36</v>
      </c>
      <c r="I163" s="97">
        <v>1500</v>
      </c>
      <c r="J163" s="69">
        <f t="shared" si="20"/>
        <v>108000</v>
      </c>
      <c r="K163" s="24"/>
    </row>
    <row r="164" spans="1:11" x14ac:dyDescent="0.25">
      <c r="A164" s="38"/>
      <c r="B164" s="27" t="s">
        <v>103</v>
      </c>
      <c r="C164" s="27">
        <v>1</v>
      </c>
      <c r="D164" s="6">
        <f>D163*2+E163*2+E163</f>
        <v>42</v>
      </c>
      <c r="E164" s="27">
        <v>5.5</v>
      </c>
      <c r="F164" s="27"/>
      <c r="G164" s="27">
        <f>C164*D164*E164</f>
        <v>231</v>
      </c>
      <c r="H164" s="73" t="s">
        <v>36</v>
      </c>
      <c r="I164" s="94">
        <v>5000</v>
      </c>
      <c r="J164" s="69">
        <f t="shared" si="20"/>
        <v>1155000</v>
      </c>
      <c r="K164" s="24"/>
    </row>
    <row r="165" spans="1:11" x14ac:dyDescent="0.25">
      <c r="A165" s="38"/>
      <c r="B165" s="27" t="s">
        <v>329</v>
      </c>
      <c r="C165" s="27">
        <v>1</v>
      </c>
      <c r="D165" s="6">
        <v>12</v>
      </c>
      <c r="E165" s="27">
        <v>6</v>
      </c>
      <c r="F165" s="27"/>
      <c r="G165" s="27">
        <f>C165*D165*E165</f>
        <v>72</v>
      </c>
      <c r="H165" s="73" t="s">
        <v>36</v>
      </c>
      <c r="I165" s="94">
        <f>200*10.76</f>
        <v>2152</v>
      </c>
      <c r="J165" s="69">
        <f t="shared" si="20"/>
        <v>154944</v>
      </c>
      <c r="K165" s="24"/>
    </row>
    <row r="166" spans="1:11" x14ac:dyDescent="0.25">
      <c r="A166" s="38"/>
      <c r="B166" s="27" t="s">
        <v>330</v>
      </c>
      <c r="C166" s="27"/>
      <c r="D166" s="6"/>
      <c r="E166" s="27"/>
      <c r="F166" s="27"/>
      <c r="G166" s="27">
        <v>1</v>
      </c>
      <c r="H166" s="73" t="s">
        <v>4</v>
      </c>
      <c r="I166" s="94">
        <v>25000</v>
      </c>
      <c r="J166" s="69">
        <f t="shared" si="20"/>
        <v>25000</v>
      </c>
      <c r="K166" s="24"/>
    </row>
    <row r="167" spans="1:11" x14ac:dyDescent="0.25">
      <c r="A167" s="38"/>
      <c r="B167" s="27" t="s">
        <v>106</v>
      </c>
      <c r="C167" s="27">
        <v>1</v>
      </c>
      <c r="D167" s="6">
        <f>D159</f>
        <v>13</v>
      </c>
      <c r="E167" s="27">
        <f>E159</f>
        <v>6.5</v>
      </c>
      <c r="F167" s="27"/>
      <c r="G167" s="27">
        <f>C167*D167*E167</f>
        <v>84.5</v>
      </c>
      <c r="H167" s="73" t="s">
        <v>36</v>
      </c>
      <c r="I167" s="94">
        <v>1200</v>
      </c>
      <c r="J167" s="69">
        <f t="shared" si="20"/>
        <v>101400</v>
      </c>
      <c r="K167" s="24"/>
    </row>
    <row r="168" spans="1:11" x14ac:dyDescent="0.25">
      <c r="A168" s="38"/>
      <c r="B168" s="27"/>
      <c r="C168" s="27"/>
      <c r="D168" s="6"/>
      <c r="E168" s="27"/>
      <c r="F168" s="27"/>
      <c r="G168" s="27"/>
      <c r="H168" s="73"/>
      <c r="I168" s="94"/>
      <c r="J168" s="95"/>
      <c r="K168" s="24"/>
    </row>
    <row r="169" spans="1:11" x14ac:dyDescent="0.25">
      <c r="A169" s="25">
        <v>4</v>
      </c>
      <c r="B169" s="26" t="s">
        <v>175</v>
      </c>
      <c r="C169" s="27"/>
      <c r="D169" s="6"/>
      <c r="E169" s="27"/>
      <c r="F169" s="27"/>
      <c r="G169" s="27"/>
      <c r="H169" s="73"/>
      <c r="I169" s="94"/>
      <c r="J169" s="95"/>
      <c r="K169" s="24"/>
    </row>
    <row r="170" spans="1:11" x14ac:dyDescent="0.25">
      <c r="A170" s="38"/>
      <c r="B170" s="27" t="s">
        <v>20</v>
      </c>
      <c r="C170" s="27"/>
      <c r="D170" s="6"/>
      <c r="E170" s="27">
        <f>(27*18)+(6*1.5)</f>
        <v>495</v>
      </c>
      <c r="F170" s="27"/>
      <c r="G170" s="27"/>
      <c r="H170" s="73" t="s">
        <v>36</v>
      </c>
      <c r="I170" s="94"/>
      <c r="J170" s="95"/>
      <c r="K170" s="24"/>
    </row>
    <row r="171" spans="1:11" x14ac:dyDescent="0.25">
      <c r="A171" s="38"/>
      <c r="B171" s="27" t="s">
        <v>21</v>
      </c>
      <c r="C171" s="27"/>
      <c r="D171" s="6"/>
      <c r="E171" s="27">
        <f>SUM(E170:E170)</f>
        <v>495</v>
      </c>
      <c r="F171" s="27">
        <v>150</v>
      </c>
      <c r="G171" s="27">
        <f>F171*E171</f>
        <v>74250</v>
      </c>
      <c r="H171" s="73" t="s">
        <v>56</v>
      </c>
      <c r="I171" s="94">
        <v>81.52</v>
      </c>
      <c r="J171" s="95">
        <f>I171*G171</f>
        <v>6052860</v>
      </c>
      <c r="K171" s="24"/>
    </row>
    <row r="172" spans="1:11" x14ac:dyDescent="0.25">
      <c r="A172" s="38"/>
      <c r="B172" s="27" t="s">
        <v>22</v>
      </c>
      <c r="C172" s="27"/>
      <c r="D172" s="6"/>
      <c r="E172" s="27">
        <f>E170</f>
        <v>495</v>
      </c>
      <c r="F172" s="27"/>
      <c r="G172" s="27">
        <f>E172</f>
        <v>495</v>
      </c>
      <c r="H172" s="73" t="s">
        <v>36</v>
      </c>
      <c r="I172" s="94">
        <v>3000</v>
      </c>
      <c r="J172" s="95">
        <f t="shared" ref="J172:J174" si="21">I172*G172</f>
        <v>1485000</v>
      </c>
      <c r="K172" s="24"/>
    </row>
    <row r="173" spans="1:11" x14ac:dyDescent="0.25">
      <c r="A173" s="38"/>
      <c r="B173" s="27" t="s">
        <v>23</v>
      </c>
      <c r="C173" s="27"/>
      <c r="D173" s="6"/>
      <c r="E173" s="27">
        <f>12+12+12+12+1.5+1.5</f>
        <v>51</v>
      </c>
      <c r="F173" s="27"/>
      <c r="G173" s="27">
        <f>E173</f>
        <v>51</v>
      </c>
      <c r="H173" s="73" t="s">
        <v>47</v>
      </c>
      <c r="I173" s="94">
        <v>1500</v>
      </c>
      <c r="J173" s="95">
        <f t="shared" si="21"/>
        <v>76500</v>
      </c>
      <c r="K173" s="24"/>
    </row>
    <row r="174" spans="1:11" x14ac:dyDescent="0.25">
      <c r="A174" s="38"/>
      <c r="B174" s="27" t="s">
        <v>24</v>
      </c>
      <c r="C174" s="27"/>
      <c r="D174" s="6"/>
      <c r="E174" s="27">
        <f>G171</f>
        <v>74250</v>
      </c>
      <c r="F174" s="27">
        <v>0.03</v>
      </c>
      <c r="G174" s="27">
        <f>F174*E174</f>
        <v>2227.5</v>
      </c>
      <c r="H174" s="73" t="s">
        <v>36</v>
      </c>
      <c r="I174" s="94">
        <f>I150</f>
        <v>871.25</v>
      </c>
      <c r="J174" s="95">
        <f t="shared" si="21"/>
        <v>1940709.375</v>
      </c>
      <c r="K174" s="24"/>
    </row>
    <row r="175" spans="1:11" x14ac:dyDescent="0.25">
      <c r="A175" s="25">
        <v>5</v>
      </c>
      <c r="B175" s="26" t="s">
        <v>176</v>
      </c>
      <c r="C175" s="27"/>
      <c r="D175" s="6"/>
      <c r="E175" s="27"/>
      <c r="F175" s="27"/>
      <c r="G175" s="27"/>
      <c r="H175" s="73"/>
      <c r="I175" s="94"/>
      <c r="J175" s="95"/>
      <c r="K175" s="24"/>
    </row>
    <row r="176" spans="1:11" x14ac:dyDescent="0.25">
      <c r="A176" s="38"/>
      <c r="B176" s="27" t="s">
        <v>20</v>
      </c>
      <c r="C176" s="27"/>
      <c r="D176" s="6"/>
      <c r="E176" s="27">
        <f>(18*27)+(6*6)</f>
        <v>522</v>
      </c>
      <c r="F176" s="27"/>
      <c r="G176" s="27"/>
      <c r="H176" s="73" t="s">
        <v>36</v>
      </c>
      <c r="I176" s="94"/>
      <c r="J176" s="95"/>
      <c r="K176" s="24"/>
    </row>
    <row r="177" spans="1:11" x14ac:dyDescent="0.25">
      <c r="A177" s="38"/>
      <c r="B177" s="27" t="s">
        <v>21</v>
      </c>
      <c r="C177" s="27"/>
      <c r="D177" s="6"/>
      <c r="E177" s="27">
        <f>SUM(E176:E176)</f>
        <v>522</v>
      </c>
      <c r="F177" s="27">
        <v>150</v>
      </c>
      <c r="G177" s="27">
        <f>F177*E177</f>
        <v>78300</v>
      </c>
      <c r="H177" s="73" t="s">
        <v>56</v>
      </c>
      <c r="I177" s="94">
        <f>I171</f>
        <v>81.52</v>
      </c>
      <c r="J177" s="95">
        <f>I177*G177</f>
        <v>6383016</v>
      </c>
      <c r="K177" s="24"/>
    </row>
    <row r="178" spans="1:11" x14ac:dyDescent="0.25">
      <c r="A178" s="38"/>
      <c r="B178" s="27" t="s">
        <v>22</v>
      </c>
      <c r="C178" s="27"/>
      <c r="D178" s="6"/>
      <c r="E178" s="27">
        <f>E176</f>
        <v>522</v>
      </c>
      <c r="F178" s="27"/>
      <c r="G178" s="27">
        <f>E178</f>
        <v>522</v>
      </c>
      <c r="H178" s="73" t="s">
        <v>36</v>
      </c>
      <c r="I178" s="94">
        <f>I172</f>
        <v>3000</v>
      </c>
      <c r="J178" s="95">
        <f t="shared" ref="J178:J180" si="22">I178*G178</f>
        <v>1566000</v>
      </c>
      <c r="K178" s="24"/>
    </row>
    <row r="179" spans="1:11" x14ac:dyDescent="0.25">
      <c r="A179" s="38"/>
      <c r="B179" s="27" t="s">
        <v>23</v>
      </c>
      <c r="C179" s="27"/>
      <c r="D179" s="6"/>
      <c r="E179" s="27">
        <f>18+18+27+27+6+6</f>
        <v>102</v>
      </c>
      <c r="F179" s="27"/>
      <c r="G179" s="27">
        <f>E179</f>
        <v>102</v>
      </c>
      <c r="H179" s="73" t="s">
        <v>47</v>
      </c>
      <c r="I179" s="94">
        <f>I173</f>
        <v>1500</v>
      </c>
      <c r="J179" s="95">
        <f t="shared" si="22"/>
        <v>153000</v>
      </c>
      <c r="K179" s="24"/>
    </row>
    <row r="180" spans="1:11" x14ac:dyDescent="0.25">
      <c r="A180" s="38"/>
      <c r="B180" s="27" t="s">
        <v>24</v>
      </c>
      <c r="C180" s="27"/>
      <c r="D180" s="6"/>
      <c r="E180" s="27">
        <f>G177</f>
        <v>78300</v>
      </c>
      <c r="F180" s="27">
        <v>0.03</v>
      </c>
      <c r="G180" s="27">
        <f>F180*E180</f>
        <v>2349</v>
      </c>
      <c r="H180" s="73" t="s">
        <v>36</v>
      </c>
      <c r="I180" s="94">
        <f>I174</f>
        <v>871.25</v>
      </c>
      <c r="J180" s="95">
        <f t="shared" si="22"/>
        <v>2046566.25</v>
      </c>
      <c r="K180" s="24"/>
    </row>
    <row r="181" spans="1:11" x14ac:dyDescent="0.25">
      <c r="A181" s="25">
        <v>6</v>
      </c>
      <c r="B181" s="26" t="s">
        <v>177</v>
      </c>
      <c r="C181" s="27"/>
      <c r="D181" s="6"/>
      <c r="E181" s="27"/>
      <c r="F181" s="27"/>
      <c r="G181" s="27"/>
      <c r="H181" s="73"/>
      <c r="I181" s="94"/>
      <c r="J181" s="95"/>
      <c r="K181" s="24"/>
    </row>
    <row r="182" spans="1:11" x14ac:dyDescent="0.25">
      <c r="A182" s="38"/>
      <c r="B182" s="27" t="s">
        <v>20</v>
      </c>
      <c r="C182" s="27"/>
      <c r="D182" s="6"/>
      <c r="E182" s="27">
        <f>E176</f>
        <v>522</v>
      </c>
      <c r="F182" s="27"/>
      <c r="G182" s="27"/>
      <c r="H182" s="73" t="s">
        <v>36</v>
      </c>
      <c r="I182" s="94"/>
      <c r="J182" s="95"/>
      <c r="K182" s="24"/>
    </row>
    <row r="183" spans="1:11" x14ac:dyDescent="0.25">
      <c r="A183" s="38"/>
      <c r="B183" s="27" t="s">
        <v>21</v>
      </c>
      <c r="C183" s="27"/>
      <c r="D183" s="6"/>
      <c r="E183" s="27">
        <f>SUM(E182:E182)</f>
        <v>522</v>
      </c>
      <c r="F183" s="27">
        <v>150</v>
      </c>
      <c r="G183" s="27">
        <f>F183*E183</f>
        <v>78300</v>
      </c>
      <c r="H183" s="73" t="s">
        <v>56</v>
      </c>
      <c r="I183" s="94">
        <f>I177</f>
        <v>81.52</v>
      </c>
      <c r="J183" s="95">
        <f>I183*G183</f>
        <v>6383016</v>
      </c>
      <c r="K183" s="24"/>
    </row>
    <row r="184" spans="1:11" x14ac:dyDescent="0.25">
      <c r="A184" s="38"/>
      <c r="B184" s="27" t="s">
        <v>22</v>
      </c>
      <c r="C184" s="27"/>
      <c r="D184" s="6"/>
      <c r="E184" s="27">
        <f>E182</f>
        <v>522</v>
      </c>
      <c r="F184" s="27"/>
      <c r="G184" s="27">
        <f>E184</f>
        <v>522</v>
      </c>
      <c r="H184" s="73" t="s">
        <v>36</v>
      </c>
      <c r="I184" s="94">
        <f>I178</f>
        <v>3000</v>
      </c>
      <c r="J184" s="95">
        <f t="shared" ref="J184:J186" si="23">I184*G184</f>
        <v>1566000</v>
      </c>
      <c r="K184" s="24"/>
    </row>
    <row r="185" spans="1:11" x14ac:dyDescent="0.25">
      <c r="A185" s="38"/>
      <c r="B185" s="27" t="s">
        <v>23</v>
      </c>
      <c r="C185" s="27"/>
      <c r="D185" s="6"/>
      <c r="E185" s="27">
        <f>E179</f>
        <v>102</v>
      </c>
      <c r="F185" s="27"/>
      <c r="G185" s="27">
        <f>E185</f>
        <v>102</v>
      </c>
      <c r="H185" s="73" t="s">
        <v>47</v>
      </c>
      <c r="I185" s="94">
        <f>I179</f>
        <v>1500</v>
      </c>
      <c r="J185" s="95">
        <f t="shared" si="23"/>
        <v>153000</v>
      </c>
      <c r="K185" s="24"/>
    </row>
    <row r="186" spans="1:11" x14ac:dyDescent="0.25">
      <c r="A186" s="38"/>
      <c r="B186" s="27" t="s">
        <v>24</v>
      </c>
      <c r="C186" s="27"/>
      <c r="D186" s="6"/>
      <c r="E186" s="27">
        <f>G183</f>
        <v>78300</v>
      </c>
      <c r="F186" s="27">
        <v>0.03</v>
      </c>
      <c r="G186" s="27">
        <f>F186*E186</f>
        <v>2349</v>
      </c>
      <c r="H186" s="73" t="s">
        <v>36</v>
      </c>
      <c r="I186" s="94">
        <f>I180</f>
        <v>871.25</v>
      </c>
      <c r="J186" s="95">
        <f t="shared" si="23"/>
        <v>2046566.25</v>
      </c>
      <c r="K186" s="24"/>
    </row>
    <row r="187" spans="1:11" x14ac:dyDescent="0.25">
      <c r="A187" s="25">
        <v>7</v>
      </c>
      <c r="B187" s="26" t="s">
        <v>178</v>
      </c>
      <c r="C187" s="27"/>
      <c r="D187" s="6"/>
      <c r="E187" s="27"/>
      <c r="F187" s="27"/>
      <c r="G187" s="27"/>
      <c r="H187" s="73"/>
      <c r="I187" s="94"/>
      <c r="J187" s="95"/>
      <c r="K187" s="24"/>
    </row>
    <row r="188" spans="1:11" x14ac:dyDescent="0.25">
      <c r="A188" s="38"/>
      <c r="B188" s="27" t="s">
        <v>20</v>
      </c>
      <c r="C188" s="27"/>
      <c r="D188" s="6"/>
      <c r="E188" s="27">
        <f>E182</f>
        <v>522</v>
      </c>
      <c r="F188" s="27"/>
      <c r="G188" s="27"/>
      <c r="H188" s="73" t="s">
        <v>36</v>
      </c>
      <c r="I188" s="94"/>
      <c r="J188" s="95"/>
      <c r="K188" s="24"/>
    </row>
    <row r="189" spans="1:11" x14ac:dyDescent="0.25">
      <c r="A189" s="38" t="s">
        <v>25</v>
      </c>
      <c r="B189" s="27" t="s">
        <v>21</v>
      </c>
      <c r="C189" s="27"/>
      <c r="D189" s="6"/>
      <c r="E189" s="27">
        <f>SUM(E188:E188)</f>
        <v>522</v>
      </c>
      <c r="F189" s="27">
        <v>150</v>
      </c>
      <c r="G189" s="27">
        <f>F189*E189</f>
        <v>78300</v>
      </c>
      <c r="H189" s="73" t="s">
        <v>56</v>
      </c>
      <c r="I189" s="94">
        <f>I183</f>
        <v>81.52</v>
      </c>
      <c r="J189" s="95">
        <f>I189*G189</f>
        <v>6383016</v>
      </c>
      <c r="K189" s="24"/>
    </row>
    <row r="190" spans="1:11" x14ac:dyDescent="0.25">
      <c r="A190" s="38"/>
      <c r="B190" s="27" t="s">
        <v>22</v>
      </c>
      <c r="C190" s="27"/>
      <c r="D190" s="6"/>
      <c r="E190" s="27">
        <f>E188</f>
        <v>522</v>
      </c>
      <c r="F190" s="27"/>
      <c r="G190" s="27">
        <f>E190</f>
        <v>522</v>
      </c>
      <c r="H190" s="73" t="s">
        <v>36</v>
      </c>
      <c r="I190" s="94">
        <f>I184</f>
        <v>3000</v>
      </c>
      <c r="J190" s="95">
        <f t="shared" ref="J190:J192" si="24">I190*G190</f>
        <v>1566000</v>
      </c>
      <c r="K190" s="24"/>
    </row>
    <row r="191" spans="1:11" x14ac:dyDescent="0.25">
      <c r="A191" s="38"/>
      <c r="B191" s="27" t="s">
        <v>23</v>
      </c>
      <c r="C191" s="27"/>
      <c r="D191" s="6"/>
      <c r="E191" s="27">
        <f>E185</f>
        <v>102</v>
      </c>
      <c r="F191" s="27"/>
      <c r="G191" s="27">
        <f>E191</f>
        <v>102</v>
      </c>
      <c r="H191" s="73" t="s">
        <v>47</v>
      </c>
      <c r="I191" s="94">
        <f>I185</f>
        <v>1500</v>
      </c>
      <c r="J191" s="95">
        <f t="shared" si="24"/>
        <v>153000</v>
      </c>
      <c r="K191" s="24"/>
    </row>
    <row r="192" spans="1:11" x14ac:dyDescent="0.25">
      <c r="A192" s="38"/>
      <c r="B192" s="27" t="s">
        <v>24</v>
      </c>
      <c r="C192" s="27"/>
      <c r="D192" s="6"/>
      <c r="E192" s="27">
        <f>G189</f>
        <v>78300</v>
      </c>
      <c r="F192" s="27">
        <v>0.03</v>
      </c>
      <c r="G192" s="27">
        <f>F192*E192</f>
        <v>2349</v>
      </c>
      <c r="H192" s="73" t="s">
        <v>36</v>
      </c>
      <c r="I192" s="94">
        <f>I186</f>
        <v>871.25</v>
      </c>
      <c r="J192" s="95">
        <f t="shared" si="24"/>
        <v>2046566.25</v>
      </c>
      <c r="K192" s="24"/>
    </row>
    <row r="193" spans="1:11" x14ac:dyDescent="0.25">
      <c r="A193" s="25">
        <v>7</v>
      </c>
      <c r="B193" s="26" t="s">
        <v>183</v>
      </c>
      <c r="C193" s="27"/>
      <c r="D193" s="6"/>
      <c r="E193" s="27"/>
      <c r="F193" s="27"/>
      <c r="G193" s="27"/>
      <c r="H193" s="73"/>
      <c r="I193" s="94"/>
      <c r="J193" s="95"/>
      <c r="K193" s="115"/>
    </row>
    <row r="194" spans="1:11" x14ac:dyDescent="0.25">
      <c r="A194" s="38"/>
      <c r="B194" s="27" t="s">
        <v>20</v>
      </c>
      <c r="C194" s="27">
        <v>10</v>
      </c>
      <c r="D194" s="6">
        <v>6</v>
      </c>
      <c r="E194" s="27">
        <f>C194*D194</f>
        <v>60</v>
      </c>
      <c r="F194" s="27"/>
      <c r="G194" s="27"/>
      <c r="H194" s="73" t="s">
        <v>36</v>
      </c>
      <c r="I194" s="94"/>
      <c r="J194" s="95"/>
      <c r="K194" s="115"/>
    </row>
    <row r="195" spans="1:11" x14ac:dyDescent="0.25">
      <c r="A195" s="38" t="s">
        <v>25</v>
      </c>
      <c r="B195" s="27" t="s">
        <v>21</v>
      </c>
      <c r="C195" s="27"/>
      <c r="D195" s="6"/>
      <c r="E195" s="27">
        <f>SUM(E194:E194)</f>
        <v>60</v>
      </c>
      <c r="F195" s="27">
        <v>150</v>
      </c>
      <c r="G195" s="27">
        <f>F195*E195</f>
        <v>9000</v>
      </c>
      <c r="H195" s="73" t="s">
        <v>56</v>
      </c>
      <c r="I195" s="94">
        <f>I189</f>
        <v>81.52</v>
      </c>
      <c r="J195" s="95">
        <f>I195*G195</f>
        <v>733680</v>
      </c>
      <c r="K195" s="115"/>
    </row>
    <row r="196" spans="1:11" x14ac:dyDescent="0.25">
      <c r="A196" s="38"/>
      <c r="B196" s="27" t="s">
        <v>22</v>
      </c>
      <c r="C196" s="27"/>
      <c r="D196" s="6"/>
      <c r="E196" s="27">
        <f>E194</f>
        <v>60</v>
      </c>
      <c r="F196" s="27"/>
      <c r="G196" s="27">
        <f>E196</f>
        <v>60</v>
      </c>
      <c r="H196" s="73" t="s">
        <v>36</v>
      </c>
      <c r="I196" s="94">
        <f>I190</f>
        <v>3000</v>
      </c>
      <c r="J196" s="95">
        <f t="shared" ref="J196:J198" si="25">I196*G196</f>
        <v>180000</v>
      </c>
      <c r="K196" s="115"/>
    </row>
    <row r="197" spans="1:11" x14ac:dyDescent="0.25">
      <c r="A197" s="38"/>
      <c r="B197" s="27" t="s">
        <v>23</v>
      </c>
      <c r="C197" s="27"/>
      <c r="D197" s="6"/>
      <c r="E197" s="6">
        <f>C194+C194+D194+D194</f>
        <v>32</v>
      </c>
      <c r="F197" s="27"/>
      <c r="G197" s="27">
        <f>E197</f>
        <v>32</v>
      </c>
      <c r="H197" s="73" t="s">
        <v>47</v>
      </c>
      <c r="I197" s="94">
        <f>I191</f>
        <v>1500</v>
      </c>
      <c r="J197" s="95">
        <f t="shared" si="25"/>
        <v>48000</v>
      </c>
      <c r="K197" s="115"/>
    </row>
    <row r="198" spans="1:11" x14ac:dyDescent="0.25">
      <c r="A198" s="38"/>
      <c r="B198" s="27" t="s">
        <v>24</v>
      </c>
      <c r="C198" s="27"/>
      <c r="D198" s="6"/>
      <c r="E198" s="27">
        <f>G195</f>
        <v>9000</v>
      </c>
      <c r="F198" s="27">
        <v>0.03</v>
      </c>
      <c r="G198" s="27">
        <f>F198*E198</f>
        <v>270</v>
      </c>
      <c r="H198" s="73" t="s">
        <v>36</v>
      </c>
      <c r="I198" s="94">
        <f>I192</f>
        <v>871.25</v>
      </c>
      <c r="J198" s="95">
        <f t="shared" si="25"/>
        <v>235237.5</v>
      </c>
      <c r="K198" s="115"/>
    </row>
    <row r="199" spans="1:11" x14ac:dyDescent="0.25">
      <c r="A199" s="25">
        <v>8</v>
      </c>
      <c r="B199" s="26" t="s">
        <v>179</v>
      </c>
      <c r="C199" s="27"/>
      <c r="D199" s="6"/>
      <c r="E199" s="27"/>
      <c r="F199" s="27"/>
      <c r="G199" s="27"/>
      <c r="H199" s="73"/>
      <c r="I199" s="94"/>
      <c r="J199" s="95"/>
      <c r="K199" s="24"/>
    </row>
    <row r="200" spans="1:11" x14ac:dyDescent="0.25">
      <c r="A200" s="38"/>
      <c r="B200" s="27" t="s">
        <v>20</v>
      </c>
      <c r="C200" s="27">
        <v>12</v>
      </c>
      <c r="D200" s="6">
        <v>8</v>
      </c>
      <c r="E200" s="27">
        <f>D200*C200</f>
        <v>96</v>
      </c>
      <c r="F200" s="27"/>
      <c r="G200" s="27"/>
      <c r="H200" s="73" t="s">
        <v>36</v>
      </c>
      <c r="I200" s="94"/>
      <c r="J200" s="95"/>
      <c r="K200" s="24"/>
    </row>
    <row r="201" spans="1:11" x14ac:dyDescent="0.25">
      <c r="A201" s="38" t="s">
        <v>25</v>
      </c>
      <c r="B201" s="27" t="s">
        <v>48</v>
      </c>
      <c r="C201" s="27"/>
      <c r="D201" s="6"/>
      <c r="E201" s="27">
        <f>SUM(E200:E200)</f>
        <v>96</v>
      </c>
      <c r="F201" s="27">
        <v>150</v>
      </c>
      <c r="G201" s="27">
        <f>F201*E201</f>
        <v>14400</v>
      </c>
      <c r="H201" s="73" t="s">
        <v>56</v>
      </c>
      <c r="I201" s="94">
        <f>I189</f>
        <v>81.52</v>
      </c>
      <c r="J201" s="95">
        <f>I201*G201</f>
        <v>1173888</v>
      </c>
      <c r="K201" s="24"/>
    </row>
    <row r="202" spans="1:11" x14ac:dyDescent="0.25">
      <c r="A202" s="38"/>
      <c r="B202" s="27" t="s">
        <v>22</v>
      </c>
      <c r="C202" s="27"/>
      <c r="D202" s="6"/>
      <c r="E202" s="27">
        <f>E200</f>
        <v>96</v>
      </c>
      <c r="F202" s="27"/>
      <c r="G202" s="27">
        <f>E202</f>
        <v>96</v>
      </c>
      <c r="H202" s="73" t="s">
        <v>36</v>
      </c>
      <c r="I202" s="94">
        <f>I190</f>
        <v>3000</v>
      </c>
      <c r="J202" s="95">
        <f t="shared" ref="J202:J204" si="26">I202*G202</f>
        <v>288000</v>
      </c>
      <c r="K202" s="24"/>
    </row>
    <row r="203" spans="1:11" x14ac:dyDescent="0.25">
      <c r="A203" s="38"/>
      <c r="B203" s="27" t="s">
        <v>23</v>
      </c>
      <c r="C203" s="27"/>
      <c r="D203" s="6"/>
      <c r="E203" s="27">
        <f>C200+D200+D200+C200</f>
        <v>40</v>
      </c>
      <c r="F203" s="27"/>
      <c r="G203" s="27">
        <f>E203</f>
        <v>40</v>
      </c>
      <c r="H203" s="73" t="s">
        <v>47</v>
      </c>
      <c r="I203" s="94">
        <f>I191</f>
        <v>1500</v>
      </c>
      <c r="J203" s="95">
        <f t="shared" si="26"/>
        <v>60000</v>
      </c>
      <c r="K203" s="24"/>
    </row>
    <row r="204" spans="1:11" x14ac:dyDescent="0.25">
      <c r="A204" s="38"/>
      <c r="B204" s="27" t="s">
        <v>24</v>
      </c>
      <c r="C204" s="27"/>
      <c r="D204" s="6"/>
      <c r="E204" s="27">
        <f>G201</f>
        <v>14400</v>
      </c>
      <c r="F204" s="27">
        <v>0.03</v>
      </c>
      <c r="G204" s="27">
        <f>F204*E204</f>
        <v>432</v>
      </c>
      <c r="H204" s="73" t="s">
        <v>36</v>
      </c>
      <c r="I204" s="94">
        <f>I192</f>
        <v>871.25</v>
      </c>
      <c r="J204" s="95">
        <f t="shared" si="26"/>
        <v>376380</v>
      </c>
      <c r="K204" s="24"/>
    </row>
    <row r="205" spans="1:11" x14ac:dyDescent="0.25">
      <c r="A205" s="25">
        <v>9</v>
      </c>
      <c r="B205" s="26" t="s">
        <v>180</v>
      </c>
      <c r="C205" s="27"/>
      <c r="D205" s="6"/>
      <c r="E205" s="27"/>
      <c r="F205" s="27"/>
      <c r="G205" s="27"/>
      <c r="H205" s="73"/>
      <c r="I205" s="94"/>
      <c r="J205" s="95"/>
      <c r="K205" s="24"/>
    </row>
    <row r="206" spans="1:11" x14ac:dyDescent="0.25">
      <c r="A206" s="38"/>
      <c r="B206" s="27" t="s">
        <v>20</v>
      </c>
      <c r="C206" s="27">
        <v>12</v>
      </c>
      <c r="D206" s="6">
        <v>6</v>
      </c>
      <c r="E206" s="27">
        <f>D206*C206</f>
        <v>72</v>
      </c>
      <c r="F206" s="27"/>
      <c r="G206" s="27"/>
      <c r="H206" s="73" t="s">
        <v>36</v>
      </c>
      <c r="I206" s="94"/>
      <c r="J206" s="95"/>
      <c r="K206" s="24"/>
    </row>
    <row r="207" spans="1:11" x14ac:dyDescent="0.25">
      <c r="A207" s="38" t="s">
        <v>25</v>
      </c>
      <c r="B207" s="27" t="s">
        <v>21</v>
      </c>
      <c r="C207" s="27">
        <v>1.25</v>
      </c>
      <c r="D207" s="6"/>
      <c r="E207" s="27">
        <f>SUM(E206:E206)</f>
        <v>72</v>
      </c>
      <c r="F207" s="27">
        <v>150</v>
      </c>
      <c r="G207" s="27">
        <f>C207*E207*F207</f>
        <v>13500</v>
      </c>
      <c r="H207" s="73" t="s">
        <v>56</v>
      </c>
      <c r="I207" s="94">
        <v>81.52</v>
      </c>
      <c r="J207" s="95">
        <f>I207*G207</f>
        <v>1100520</v>
      </c>
      <c r="K207" s="24"/>
    </row>
    <row r="208" spans="1:11" x14ac:dyDescent="0.25">
      <c r="A208" s="38"/>
      <c r="B208" s="27" t="s">
        <v>249</v>
      </c>
      <c r="C208" s="27">
        <v>1.25</v>
      </c>
      <c r="D208" s="6"/>
      <c r="E208" s="27">
        <f>E206</f>
        <v>72</v>
      </c>
      <c r="F208" s="27"/>
      <c r="G208" s="27">
        <f>C208*E208</f>
        <v>90</v>
      </c>
      <c r="H208" s="73" t="s">
        <v>36</v>
      </c>
      <c r="I208" s="94">
        <v>504.41</v>
      </c>
      <c r="J208" s="95">
        <f>I208*G208</f>
        <v>45396.9</v>
      </c>
      <c r="K208" s="24"/>
    </row>
    <row r="209" spans="1:11" x14ac:dyDescent="0.25">
      <c r="A209" s="38"/>
      <c r="B209" s="27" t="s">
        <v>24</v>
      </c>
      <c r="C209" s="27"/>
      <c r="D209" s="6"/>
      <c r="E209" s="27">
        <f>G207</f>
        <v>13500</v>
      </c>
      <c r="F209" s="27">
        <v>0.03</v>
      </c>
      <c r="G209" s="27">
        <f>F209*E209</f>
        <v>405</v>
      </c>
      <c r="H209" s="73" t="s">
        <v>36</v>
      </c>
      <c r="I209" s="94">
        <f>I204</f>
        <v>871.25</v>
      </c>
      <c r="J209" s="95">
        <f>I209*G209</f>
        <v>352856.25</v>
      </c>
      <c r="K209" s="24"/>
    </row>
    <row r="210" spans="1:11" x14ac:dyDescent="0.25">
      <c r="A210" s="25">
        <v>9</v>
      </c>
      <c r="B210" s="26" t="s">
        <v>181</v>
      </c>
      <c r="C210" s="27"/>
      <c r="D210" s="6"/>
      <c r="E210" s="27"/>
      <c r="F210" s="27"/>
      <c r="G210" s="27"/>
      <c r="H210" s="73"/>
      <c r="I210" s="94"/>
      <c r="J210" s="95"/>
      <c r="K210" s="115"/>
    </row>
    <row r="211" spans="1:11" x14ac:dyDescent="0.25">
      <c r="A211" s="38"/>
      <c r="B211" s="27" t="s">
        <v>20</v>
      </c>
      <c r="C211" s="27">
        <v>12</v>
      </c>
      <c r="D211" s="6">
        <v>6</v>
      </c>
      <c r="E211" s="27">
        <f>D211*C211</f>
        <v>72</v>
      </c>
      <c r="F211" s="27"/>
      <c r="G211" s="27"/>
      <c r="H211" s="73" t="s">
        <v>36</v>
      </c>
      <c r="I211" s="94"/>
      <c r="J211" s="95"/>
      <c r="K211" s="115"/>
    </row>
    <row r="212" spans="1:11" x14ac:dyDescent="0.25">
      <c r="A212" s="38" t="s">
        <v>25</v>
      </c>
      <c r="B212" s="27" t="s">
        <v>21</v>
      </c>
      <c r="C212" s="27">
        <v>1.25</v>
      </c>
      <c r="D212" s="6"/>
      <c r="E212" s="27">
        <f>SUM(E211:E211)</f>
        <v>72</v>
      </c>
      <c r="F212" s="27">
        <v>150</v>
      </c>
      <c r="G212" s="27">
        <f>C212*E212*F212</f>
        <v>13500</v>
      </c>
      <c r="H212" s="73" t="s">
        <v>56</v>
      </c>
      <c r="I212" s="94">
        <v>81.52</v>
      </c>
      <c r="J212" s="95">
        <f>I212*G212</f>
        <v>1100520</v>
      </c>
      <c r="K212" s="115"/>
    </row>
    <row r="213" spans="1:11" x14ac:dyDescent="0.25">
      <c r="A213" s="38"/>
      <c r="B213" s="27" t="s">
        <v>249</v>
      </c>
      <c r="C213" s="27">
        <v>1.25</v>
      </c>
      <c r="D213" s="6"/>
      <c r="E213" s="27">
        <f>E211</f>
        <v>72</v>
      </c>
      <c r="F213" s="27"/>
      <c r="G213" s="27">
        <f>C213*E213</f>
        <v>90</v>
      </c>
      <c r="H213" s="73" t="s">
        <v>36</v>
      </c>
      <c r="I213" s="94">
        <v>504.41</v>
      </c>
      <c r="J213" s="95">
        <f>I213*G213</f>
        <v>45396.9</v>
      </c>
      <c r="K213" s="115"/>
    </row>
    <row r="214" spans="1:11" x14ac:dyDescent="0.25">
      <c r="A214" s="38"/>
      <c r="B214" s="27" t="s">
        <v>24</v>
      </c>
      <c r="C214" s="27"/>
      <c r="D214" s="6"/>
      <c r="E214" s="27">
        <f>G212</f>
        <v>13500</v>
      </c>
      <c r="F214" s="27">
        <v>0.03</v>
      </c>
      <c r="G214" s="27">
        <f>F214*E214</f>
        <v>405</v>
      </c>
      <c r="H214" s="73" t="s">
        <v>36</v>
      </c>
      <c r="I214" s="94">
        <f>I209</f>
        <v>871.25</v>
      </c>
      <c r="J214" s="95">
        <f>I214*G214</f>
        <v>352856.25</v>
      </c>
      <c r="K214" s="115"/>
    </row>
    <row r="215" spans="1:11" ht="18.75" x14ac:dyDescent="0.3">
      <c r="A215" s="38"/>
      <c r="B215" s="27"/>
      <c r="C215" s="27"/>
      <c r="D215" s="27"/>
      <c r="E215" s="27"/>
      <c r="F215" s="27"/>
      <c r="G215" s="331" t="s">
        <v>26</v>
      </c>
      <c r="H215" s="331"/>
      <c r="I215" s="331"/>
      <c r="J215" s="266">
        <f>SUM(J7:J214)</f>
        <v>88637364.012458682</v>
      </c>
      <c r="K215" s="267">
        <f>J215</f>
        <v>88637364.012458682</v>
      </c>
    </row>
  </sheetData>
  <mergeCells count="10">
    <mergeCell ref="A1:K1"/>
    <mergeCell ref="F112:I112"/>
    <mergeCell ref="G215:I215"/>
    <mergeCell ref="G75:I75"/>
    <mergeCell ref="D91:E91"/>
    <mergeCell ref="D93:E93"/>
    <mergeCell ref="D94:E94"/>
    <mergeCell ref="D95:E95"/>
    <mergeCell ref="G97:I97"/>
    <mergeCell ref="G89:I89"/>
  </mergeCells>
  <pageMargins left="0.7" right="0.7" top="0.75" bottom="0.75" header="0.3" footer="0.3"/>
  <pageSetup scale="51" orientation="portrait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6"/>
  <sheetViews>
    <sheetView topLeftCell="A262" zoomScaleNormal="100" workbookViewId="0">
      <selection activeCell="C283" sqref="C283"/>
    </sheetView>
  </sheetViews>
  <sheetFormatPr defaultRowHeight="15" x14ac:dyDescent="0.25"/>
  <cols>
    <col min="1" max="1" width="3.28515625" bestFit="1" customWidth="1"/>
    <col min="2" max="2" width="64.5703125" bestFit="1" customWidth="1"/>
    <col min="3" max="3" width="7.85546875" bestFit="1" customWidth="1"/>
    <col min="4" max="4" width="9" customWidth="1"/>
    <col min="5" max="5" width="9.85546875" customWidth="1"/>
    <col min="6" max="6" width="10.140625" bestFit="1" customWidth="1"/>
    <col min="7" max="7" width="12.42578125" customWidth="1"/>
    <col min="8" max="8" width="8.42578125" customWidth="1"/>
    <col min="9" max="9" width="11.28515625" bestFit="1" customWidth="1"/>
    <col min="10" max="10" width="11.85546875" bestFit="1" customWidth="1"/>
    <col min="11" max="11" width="16.42578125" bestFit="1" customWidth="1"/>
  </cols>
  <sheetData>
    <row r="2" spans="1:11" ht="28.5" customHeight="1" x14ac:dyDescent="0.35">
      <c r="A2" s="336" t="s">
        <v>369</v>
      </c>
      <c r="B2" s="337"/>
      <c r="C2" s="337"/>
      <c r="D2" s="337"/>
      <c r="E2" s="337"/>
      <c r="F2" s="337"/>
      <c r="G2" s="337"/>
      <c r="H2" s="337"/>
      <c r="I2" s="337"/>
      <c r="J2" s="337"/>
      <c r="K2" s="338"/>
    </row>
    <row r="3" spans="1:11" ht="20.25" customHeight="1" x14ac:dyDescent="0.25">
      <c r="A3" s="339" t="s">
        <v>162</v>
      </c>
      <c r="B3" s="339"/>
      <c r="C3" s="339"/>
      <c r="D3" s="263"/>
      <c r="E3" s="263"/>
      <c r="F3" s="263"/>
      <c r="G3" s="63"/>
      <c r="H3" s="63"/>
      <c r="I3" s="63"/>
      <c r="J3" s="63"/>
      <c r="K3" s="63"/>
    </row>
    <row r="4" spans="1:11" ht="15.75" x14ac:dyDescent="0.25">
      <c r="A4" s="263"/>
      <c r="B4" s="263" t="s">
        <v>145</v>
      </c>
      <c r="C4" s="263">
        <v>28</v>
      </c>
      <c r="D4" s="263"/>
      <c r="E4" s="263"/>
      <c r="F4" s="263"/>
      <c r="G4" s="63"/>
      <c r="H4" s="63"/>
      <c r="I4" s="63"/>
      <c r="J4" s="63"/>
      <c r="K4" s="63"/>
    </row>
    <row r="5" spans="1:11" ht="15.75" x14ac:dyDescent="0.25">
      <c r="A5" s="263"/>
      <c r="B5" s="263" t="s">
        <v>146</v>
      </c>
      <c r="C5" s="263">
        <v>10.824</v>
      </c>
      <c r="D5" s="263"/>
      <c r="E5" s="263"/>
      <c r="F5" s="263"/>
      <c r="G5" s="63"/>
      <c r="H5" s="63"/>
      <c r="I5" s="63"/>
      <c r="J5" s="63"/>
      <c r="K5" s="63"/>
    </row>
    <row r="6" spans="1:11" ht="15.75" x14ac:dyDescent="0.25">
      <c r="A6" s="263"/>
      <c r="B6" s="263" t="s">
        <v>147</v>
      </c>
      <c r="C6" s="263">
        <v>11.423999999999999</v>
      </c>
      <c r="D6" s="263"/>
      <c r="E6" s="263"/>
      <c r="F6" s="263"/>
      <c r="G6" s="63"/>
      <c r="H6" s="63"/>
      <c r="I6" s="63"/>
      <c r="J6" s="63"/>
      <c r="K6" s="63"/>
    </row>
    <row r="7" spans="1:11" ht="15.75" x14ac:dyDescent="0.25">
      <c r="A7" s="263"/>
      <c r="B7" s="263" t="s">
        <v>320</v>
      </c>
      <c r="C7" s="263">
        <f>(C6-C5)/2</f>
        <v>0.29999999999999982</v>
      </c>
      <c r="D7" s="263"/>
      <c r="E7" s="263"/>
      <c r="F7" s="263"/>
      <c r="G7" s="63"/>
      <c r="H7" s="63"/>
      <c r="I7" s="63"/>
      <c r="J7" s="63"/>
      <c r="K7" s="63"/>
    </row>
    <row r="8" spans="1:11" ht="15.75" x14ac:dyDescent="0.25">
      <c r="A8" s="263"/>
      <c r="B8" s="263" t="s">
        <v>149</v>
      </c>
      <c r="C8" s="263">
        <f>1.05</f>
        <v>1.05</v>
      </c>
      <c r="D8" s="263"/>
      <c r="E8" s="263"/>
      <c r="F8" s="263"/>
      <c r="G8" s="63"/>
      <c r="H8" s="63"/>
      <c r="I8" s="63"/>
      <c r="J8" s="63"/>
      <c r="K8" s="63"/>
    </row>
    <row r="9" spans="1:11" ht="15.75" x14ac:dyDescent="0.25">
      <c r="A9" s="263"/>
      <c r="B9" s="263" t="s">
        <v>148</v>
      </c>
      <c r="C9" s="263">
        <v>0.6</v>
      </c>
      <c r="D9" s="263"/>
      <c r="E9" s="263"/>
      <c r="F9" s="263"/>
      <c r="G9" s="63"/>
      <c r="H9" s="63"/>
      <c r="I9" s="63"/>
      <c r="J9" s="63"/>
      <c r="K9" s="63"/>
    </row>
    <row r="10" spans="1:11" ht="15.75" x14ac:dyDescent="0.25">
      <c r="A10" s="263"/>
      <c r="B10" s="263" t="s">
        <v>321</v>
      </c>
      <c r="C10" s="263">
        <f>0.05+0.05+0.1+0.5</f>
        <v>0.7</v>
      </c>
      <c r="D10" s="263"/>
      <c r="E10" s="263"/>
      <c r="F10" s="263"/>
      <c r="G10" s="63"/>
      <c r="H10" s="63"/>
      <c r="I10" s="63"/>
      <c r="J10" s="63"/>
      <c r="K10" s="63"/>
    </row>
    <row r="11" spans="1:11" ht="15.75" x14ac:dyDescent="0.25">
      <c r="A11" s="263"/>
      <c r="B11" s="263" t="s">
        <v>150</v>
      </c>
      <c r="C11" s="263">
        <f>C8-C15</f>
        <v>1</v>
      </c>
      <c r="D11" s="263"/>
      <c r="E11" s="263"/>
      <c r="F11" s="263"/>
      <c r="G11" s="63"/>
      <c r="H11" s="63"/>
      <c r="I11" s="63"/>
      <c r="J11" s="63"/>
      <c r="K11" s="63"/>
    </row>
    <row r="12" spans="1:11" ht="15.75" x14ac:dyDescent="0.25">
      <c r="A12" s="263"/>
      <c r="B12" s="263" t="s">
        <v>154</v>
      </c>
      <c r="C12" s="263">
        <v>30</v>
      </c>
      <c r="D12" s="263" t="s">
        <v>164</v>
      </c>
      <c r="E12" s="263" t="s">
        <v>113</v>
      </c>
      <c r="F12" s="263" t="s">
        <v>165</v>
      </c>
      <c r="G12" s="63"/>
      <c r="H12" s="63"/>
      <c r="I12" s="63"/>
      <c r="J12" s="63"/>
      <c r="K12" s="63"/>
    </row>
    <row r="13" spans="1:11" ht="15.75" x14ac:dyDescent="0.25">
      <c r="A13" s="263"/>
      <c r="B13" s="263" t="s">
        <v>322</v>
      </c>
      <c r="C13" s="263">
        <f>((D13*D13/162)*E13)+F13</f>
        <v>33.481481481481481</v>
      </c>
      <c r="D13" s="263">
        <v>50</v>
      </c>
      <c r="E13" s="263">
        <v>2.04</v>
      </c>
      <c r="F13" s="263">
        <v>2</v>
      </c>
      <c r="G13" s="63"/>
      <c r="H13" s="63"/>
      <c r="I13" s="63"/>
      <c r="J13" s="63"/>
      <c r="K13" s="63"/>
    </row>
    <row r="14" spans="1:11" ht="15.75" x14ac:dyDescent="0.25">
      <c r="A14" s="263"/>
      <c r="B14" s="263" t="s">
        <v>323</v>
      </c>
      <c r="C14" s="263">
        <v>0.05</v>
      </c>
      <c r="D14" s="263"/>
      <c r="E14" s="263"/>
      <c r="F14" s="263"/>
      <c r="G14" s="63"/>
      <c r="H14" s="63"/>
      <c r="I14" s="63"/>
      <c r="J14" s="63"/>
      <c r="K14" s="63"/>
    </row>
    <row r="15" spans="1:11" ht="15.75" x14ac:dyDescent="0.25">
      <c r="A15" s="263"/>
      <c r="B15" s="263" t="s">
        <v>159</v>
      </c>
      <c r="C15" s="263">
        <v>0.05</v>
      </c>
      <c r="D15" s="263"/>
      <c r="E15" s="263"/>
      <c r="F15" s="263"/>
      <c r="G15" s="63"/>
      <c r="H15" s="63"/>
      <c r="I15" s="63"/>
      <c r="J15" s="63"/>
      <c r="K15" s="63"/>
    </row>
    <row r="16" spans="1:11" ht="15.75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</row>
    <row r="17" spans="1:11" ht="15.75" x14ac:dyDescent="0.25">
      <c r="A17" s="38"/>
      <c r="B17" s="268" t="s">
        <v>141</v>
      </c>
      <c r="C17" s="40"/>
      <c r="D17" s="13"/>
      <c r="E17" s="40"/>
      <c r="F17" s="40"/>
      <c r="G17" s="40"/>
      <c r="H17" s="78"/>
      <c r="I17" s="96"/>
      <c r="J17" s="68"/>
      <c r="K17" s="131"/>
    </row>
    <row r="18" spans="1:11" ht="15.75" x14ac:dyDescent="0.25">
      <c r="A18" s="113" t="s">
        <v>95</v>
      </c>
      <c r="B18" s="141" t="s">
        <v>69</v>
      </c>
      <c r="C18" s="30"/>
      <c r="D18" s="67"/>
      <c r="E18" s="46"/>
      <c r="F18" s="46"/>
      <c r="G18" s="46"/>
      <c r="H18" s="78"/>
      <c r="I18" s="96"/>
      <c r="J18" s="68"/>
      <c r="K18" s="131"/>
    </row>
    <row r="19" spans="1:11" ht="15.75" x14ac:dyDescent="0.25">
      <c r="A19" s="30"/>
      <c r="B19" s="34" t="s">
        <v>324</v>
      </c>
      <c r="C19" s="27">
        <v>1</v>
      </c>
      <c r="D19" s="6"/>
      <c r="E19" s="46"/>
      <c r="F19" s="46"/>
      <c r="G19" s="71">
        <f>C19</f>
        <v>1</v>
      </c>
      <c r="H19" s="74" t="s">
        <v>4</v>
      </c>
      <c r="I19" s="21">
        <v>305703.42</v>
      </c>
      <c r="J19" s="70">
        <f>G19*I19</f>
        <v>305703.42</v>
      </c>
      <c r="K19" s="131"/>
    </row>
    <row r="20" spans="1:11" ht="15.75" x14ac:dyDescent="0.25">
      <c r="A20" s="30"/>
      <c r="B20" s="34" t="s">
        <v>70</v>
      </c>
      <c r="C20" s="27">
        <v>1</v>
      </c>
      <c r="D20" s="6"/>
      <c r="E20" s="46"/>
      <c r="F20" s="46"/>
      <c r="G20" s="71">
        <f>C20</f>
        <v>1</v>
      </c>
      <c r="H20" s="74" t="s">
        <v>4</v>
      </c>
      <c r="I20" s="21">
        <v>229277.57</v>
      </c>
      <c r="J20" s="70">
        <f t="shared" ref="J20:J23" si="0">G20*I20</f>
        <v>229277.57</v>
      </c>
      <c r="K20" s="131"/>
    </row>
    <row r="21" spans="1:11" ht="15.75" x14ac:dyDescent="0.25">
      <c r="A21" s="30"/>
      <c r="B21" s="34" t="s">
        <v>71</v>
      </c>
      <c r="C21" s="27">
        <f>C4</f>
        <v>28</v>
      </c>
      <c r="D21" s="6">
        <v>18</v>
      </c>
      <c r="E21" s="46"/>
      <c r="F21" s="46"/>
      <c r="G21" s="71">
        <f>C21*D21</f>
        <v>504</v>
      </c>
      <c r="H21" s="74" t="s">
        <v>39</v>
      </c>
      <c r="I21" s="21">
        <v>2394.6799999999998</v>
      </c>
      <c r="J21" s="70">
        <f t="shared" si="0"/>
        <v>1206918.72</v>
      </c>
      <c r="K21" s="131"/>
    </row>
    <row r="22" spans="1:11" ht="15.75" x14ac:dyDescent="0.25">
      <c r="A22" s="30"/>
      <c r="B22" s="34" t="s">
        <v>31</v>
      </c>
      <c r="C22" s="27">
        <f>C4</f>
        <v>28</v>
      </c>
      <c r="D22" s="6"/>
      <c r="E22" s="46"/>
      <c r="F22" s="46"/>
      <c r="G22" s="71">
        <f>C22</f>
        <v>28</v>
      </c>
      <c r="H22" s="74" t="s">
        <v>67</v>
      </c>
      <c r="I22" s="21">
        <v>509.51</v>
      </c>
      <c r="J22" s="70">
        <f t="shared" si="0"/>
        <v>14266.279999999999</v>
      </c>
      <c r="K22" s="131"/>
    </row>
    <row r="23" spans="1:11" ht="15.75" x14ac:dyDescent="0.25">
      <c r="A23" s="30"/>
      <c r="B23" s="37" t="s">
        <v>32</v>
      </c>
      <c r="C23" s="27">
        <f>C4</f>
        <v>28</v>
      </c>
      <c r="D23" s="6"/>
      <c r="E23" s="46"/>
      <c r="F23" s="46"/>
      <c r="G23" s="71">
        <f>C23</f>
        <v>28</v>
      </c>
      <c r="H23" s="74" t="s">
        <v>67</v>
      </c>
      <c r="I23" s="21">
        <v>1273.76</v>
      </c>
      <c r="J23" s="70">
        <f t="shared" si="0"/>
        <v>35665.279999999999</v>
      </c>
      <c r="K23" s="131"/>
    </row>
    <row r="24" spans="1:11" ht="15.75" x14ac:dyDescent="0.25">
      <c r="A24" s="38" t="s">
        <v>96</v>
      </c>
      <c r="B24" s="140" t="s">
        <v>208</v>
      </c>
      <c r="C24" s="46"/>
      <c r="D24" s="14"/>
      <c r="E24" s="46"/>
      <c r="F24" s="46"/>
      <c r="G24" s="46"/>
      <c r="H24" s="78"/>
      <c r="I24" s="96"/>
      <c r="J24" s="68"/>
      <c r="K24" s="131"/>
    </row>
    <row r="25" spans="1:11" ht="15.75" x14ac:dyDescent="0.25">
      <c r="A25" s="47">
        <v>1</v>
      </c>
      <c r="B25" s="48" t="s">
        <v>60</v>
      </c>
      <c r="C25" s="48">
        <v>1</v>
      </c>
      <c r="D25" s="8">
        <f>C6+0.5</f>
        <v>11.923999999999999</v>
      </c>
      <c r="E25" s="8">
        <f>D25</f>
        <v>11.923999999999999</v>
      </c>
      <c r="F25" s="48">
        <f>C10</f>
        <v>0.7</v>
      </c>
      <c r="G25" s="8">
        <f>D25*E25*F25</f>
        <v>99.527243199999987</v>
      </c>
      <c r="H25" s="75" t="s">
        <v>51</v>
      </c>
      <c r="I25" s="97">
        <v>315.89</v>
      </c>
      <c r="J25" s="69">
        <f>G25*I25</f>
        <v>31439.660854447993</v>
      </c>
      <c r="K25" s="131"/>
    </row>
    <row r="26" spans="1:11" ht="15.75" x14ac:dyDescent="0.25">
      <c r="A26" s="47">
        <v>2</v>
      </c>
      <c r="B26" s="48" t="s">
        <v>61</v>
      </c>
      <c r="C26" s="48"/>
      <c r="D26" s="8"/>
      <c r="E26" s="48"/>
      <c r="F26" s="44" t="s">
        <v>37</v>
      </c>
      <c r="G26" s="111">
        <f>G25</f>
        <v>99.527243199999987</v>
      </c>
      <c r="H26" s="75" t="s">
        <v>51</v>
      </c>
      <c r="I26" s="97">
        <v>100</v>
      </c>
      <c r="J26" s="69">
        <f t="shared" ref="J26:J47" si="1">G26*I26</f>
        <v>9952.7243199999994</v>
      </c>
      <c r="K26" s="131"/>
    </row>
    <row r="27" spans="1:11" ht="15.75" x14ac:dyDescent="0.25">
      <c r="A27" s="47">
        <v>3</v>
      </c>
      <c r="B27" s="48" t="s">
        <v>163</v>
      </c>
      <c r="C27" s="48">
        <v>3.14</v>
      </c>
      <c r="D27" s="8">
        <f>C6/2</f>
        <v>5.7119999999999997</v>
      </c>
      <c r="E27" s="8">
        <f>D27</f>
        <v>5.7119999999999997</v>
      </c>
      <c r="F27" s="48">
        <f>C9</f>
        <v>0.6</v>
      </c>
      <c r="G27" s="8">
        <f>C27*D27*E27*F27</f>
        <v>61.469162495999996</v>
      </c>
      <c r="H27" s="75"/>
      <c r="I27" s="97"/>
      <c r="J27" s="69"/>
      <c r="K27" s="131"/>
    </row>
    <row r="28" spans="1:11" ht="15.75" x14ac:dyDescent="0.25">
      <c r="A28" s="47"/>
      <c r="B28" s="48" t="s">
        <v>151</v>
      </c>
      <c r="C28" s="48">
        <v>3.14</v>
      </c>
      <c r="D28" s="8">
        <f>C6-C7</f>
        <v>11.123999999999999</v>
      </c>
      <c r="E28" s="8">
        <f>C7</f>
        <v>0.29999999999999982</v>
      </c>
      <c r="F28" s="48">
        <f>C8</f>
        <v>1.05</v>
      </c>
      <c r="G28" s="8">
        <f>C28*D28*E28*F28</f>
        <v>11.002748399999993</v>
      </c>
      <c r="H28" s="75"/>
      <c r="I28" s="97"/>
      <c r="J28" s="69"/>
      <c r="K28" s="131"/>
    </row>
    <row r="29" spans="1:11" ht="15.75" x14ac:dyDescent="0.25">
      <c r="A29" s="47"/>
      <c r="B29" s="48" t="s">
        <v>158</v>
      </c>
      <c r="C29" s="48">
        <v>1</v>
      </c>
      <c r="D29" s="8">
        <v>1.3</v>
      </c>
      <c r="E29" s="8">
        <v>1.3</v>
      </c>
      <c r="F29" s="48">
        <f>F28</f>
        <v>1.05</v>
      </c>
      <c r="G29" s="8">
        <f>C29*D29*E29*F29</f>
        <v>1.7745000000000002</v>
      </c>
      <c r="H29" s="75"/>
      <c r="I29" s="97"/>
      <c r="J29" s="69"/>
      <c r="K29" s="131"/>
    </row>
    <row r="30" spans="1:11" ht="15.75" x14ac:dyDescent="0.25">
      <c r="A30" s="47"/>
      <c r="B30" s="48" t="s">
        <v>160</v>
      </c>
      <c r="C30" s="48">
        <v>3.14</v>
      </c>
      <c r="D30" s="8">
        <f>(C6+3)/2</f>
        <v>7.2119999999999997</v>
      </c>
      <c r="E30" s="8">
        <f>D30</f>
        <v>7.2119999999999997</v>
      </c>
      <c r="F30" s="48">
        <v>0.15</v>
      </c>
      <c r="G30" s="8">
        <f t="shared" ref="G30:G31" si="2">C30*D30*E30*F30</f>
        <v>24.498096623999995</v>
      </c>
      <c r="H30" s="75"/>
      <c r="I30" s="97"/>
      <c r="J30" s="69"/>
      <c r="K30" s="131"/>
    </row>
    <row r="31" spans="1:11" ht="15.75" x14ac:dyDescent="0.25">
      <c r="A31" s="47"/>
      <c r="B31" s="48" t="s">
        <v>161</v>
      </c>
      <c r="C31" s="48">
        <v>3.14</v>
      </c>
      <c r="D31" s="8">
        <f>D30-(D30-0.2)</f>
        <v>0.20000000000000018</v>
      </c>
      <c r="E31" s="8">
        <f>D30</f>
        <v>7.2119999999999997</v>
      </c>
      <c r="F31" s="48">
        <f>0.75-0.15</f>
        <v>0.6</v>
      </c>
      <c r="G31" s="8">
        <f t="shared" si="2"/>
        <v>2.7174816000000024</v>
      </c>
      <c r="H31" s="75"/>
      <c r="I31" s="97"/>
      <c r="J31" s="69"/>
      <c r="K31" s="131"/>
    </row>
    <row r="32" spans="1:11" ht="15.75" x14ac:dyDescent="0.25">
      <c r="A32" s="47"/>
      <c r="B32" s="48"/>
      <c r="C32" s="48"/>
      <c r="D32" s="8"/>
      <c r="E32" s="8"/>
      <c r="F32" s="44" t="s">
        <v>37</v>
      </c>
      <c r="G32" s="111">
        <f>SUM(G27:G31)</f>
        <v>101.46198911999998</v>
      </c>
      <c r="H32" s="75" t="s">
        <v>51</v>
      </c>
      <c r="I32" s="97">
        <v>5329.43</v>
      </c>
      <c r="J32" s="69">
        <f t="shared" si="1"/>
        <v>540734.56867580151</v>
      </c>
      <c r="K32" s="131"/>
    </row>
    <row r="33" spans="1:11" ht="15.75" x14ac:dyDescent="0.25">
      <c r="A33" s="47">
        <v>4</v>
      </c>
      <c r="B33" s="48" t="s">
        <v>155</v>
      </c>
      <c r="C33" s="48">
        <v>3.14</v>
      </c>
      <c r="D33" s="8">
        <f>C5/2</f>
        <v>5.4119999999999999</v>
      </c>
      <c r="E33" s="8">
        <f>D33</f>
        <v>5.4119999999999999</v>
      </c>
      <c r="F33" s="48">
        <f>C11</f>
        <v>1</v>
      </c>
      <c r="G33" s="8">
        <f>D33*E33*F33</f>
        <v>29.289743999999999</v>
      </c>
      <c r="H33" s="75"/>
      <c r="I33" s="97"/>
      <c r="J33" s="69"/>
      <c r="K33" s="131"/>
    </row>
    <row r="34" spans="1:11" ht="15.75" x14ac:dyDescent="0.25">
      <c r="A34" s="47"/>
      <c r="B34" s="48" t="s">
        <v>156</v>
      </c>
      <c r="C34" s="48">
        <v>3.14</v>
      </c>
      <c r="D34" s="8">
        <f>(C6+0.2)/2</f>
        <v>5.8119999999999994</v>
      </c>
      <c r="E34" s="8">
        <f>D34</f>
        <v>5.8119999999999994</v>
      </c>
      <c r="F34" s="48">
        <v>0.05</v>
      </c>
      <c r="G34" s="8">
        <f t="shared" ref="G34:G35" si="3">D34*E34*F34</f>
        <v>1.6889671999999998</v>
      </c>
      <c r="H34" s="75"/>
      <c r="I34" s="97"/>
      <c r="J34" s="69"/>
      <c r="K34" s="131"/>
    </row>
    <row r="35" spans="1:11" ht="15.75" x14ac:dyDescent="0.25">
      <c r="A35" s="47"/>
      <c r="B35" s="48" t="s">
        <v>160</v>
      </c>
      <c r="C35" s="48">
        <v>3.14</v>
      </c>
      <c r="D35" s="8">
        <f>D30</f>
        <v>7.2119999999999997</v>
      </c>
      <c r="E35" s="8">
        <f>D35</f>
        <v>7.2119999999999997</v>
      </c>
      <c r="F35" s="48">
        <v>0.05</v>
      </c>
      <c r="G35" s="8">
        <f t="shared" si="3"/>
        <v>2.6006472</v>
      </c>
      <c r="H35" s="75"/>
      <c r="I35" s="97"/>
      <c r="J35" s="69"/>
      <c r="K35" s="131"/>
    </row>
    <row r="36" spans="1:11" ht="15.75" x14ac:dyDescent="0.25">
      <c r="A36" s="47"/>
      <c r="B36" s="48"/>
      <c r="C36" s="48"/>
      <c r="D36" s="8"/>
      <c r="E36" s="8"/>
      <c r="F36" s="44" t="s">
        <v>37</v>
      </c>
      <c r="G36" s="111">
        <f>SUM(G33:G35)</f>
        <v>33.579358399999997</v>
      </c>
      <c r="H36" s="75" t="s">
        <v>51</v>
      </c>
      <c r="I36" s="97">
        <v>927.3</v>
      </c>
      <c r="J36" s="69">
        <f t="shared" si="1"/>
        <v>31138.139044319996</v>
      </c>
      <c r="K36" s="131"/>
    </row>
    <row r="37" spans="1:11" ht="15.75" x14ac:dyDescent="0.25">
      <c r="A37" s="47">
        <v>5</v>
      </c>
      <c r="B37" s="48" t="s">
        <v>152</v>
      </c>
      <c r="C37" s="48">
        <v>3.14</v>
      </c>
      <c r="D37" s="8">
        <f>C6</f>
        <v>11.423999999999999</v>
      </c>
      <c r="E37" s="48"/>
      <c r="F37" s="48">
        <f>C8</f>
        <v>1.05</v>
      </c>
      <c r="G37" s="8">
        <f>C37*D37*F37</f>
        <v>37.664928000000003</v>
      </c>
      <c r="H37" s="75"/>
      <c r="I37" s="97"/>
      <c r="J37" s="69"/>
      <c r="K37" s="131"/>
    </row>
    <row r="38" spans="1:11" ht="15.75" x14ac:dyDescent="0.25">
      <c r="A38" s="47"/>
      <c r="B38" s="48" t="s">
        <v>153</v>
      </c>
      <c r="C38" s="48">
        <v>3.14</v>
      </c>
      <c r="D38" s="8">
        <f>C5</f>
        <v>10.824</v>
      </c>
      <c r="E38" s="48"/>
      <c r="F38" s="48">
        <f>C8</f>
        <v>1.05</v>
      </c>
      <c r="G38" s="8">
        <f t="shared" ref="G38:G39" si="4">C38*D38*F38</f>
        <v>35.686728000000002</v>
      </c>
      <c r="H38" s="75"/>
      <c r="I38" s="97"/>
      <c r="J38" s="69"/>
      <c r="K38" s="131"/>
    </row>
    <row r="39" spans="1:11" ht="15.75" x14ac:dyDescent="0.25">
      <c r="A39" s="47"/>
      <c r="B39" s="48" t="s">
        <v>33</v>
      </c>
      <c r="C39" s="48">
        <v>3.14</v>
      </c>
      <c r="D39" s="8">
        <f>C6</f>
        <v>11.423999999999999</v>
      </c>
      <c r="E39" s="48"/>
      <c r="F39" s="48">
        <f>C9</f>
        <v>0.6</v>
      </c>
      <c r="G39" s="8">
        <f t="shared" si="4"/>
        <v>21.522816000000002</v>
      </c>
      <c r="H39" s="75"/>
      <c r="I39" s="97"/>
      <c r="J39" s="69"/>
      <c r="K39" s="131"/>
    </row>
    <row r="40" spans="1:11" ht="15.75" x14ac:dyDescent="0.25">
      <c r="A40" s="47"/>
      <c r="B40" s="48" t="s">
        <v>161</v>
      </c>
      <c r="C40" s="48">
        <v>3.14</v>
      </c>
      <c r="D40" s="8">
        <v>2</v>
      </c>
      <c r="E40" s="8">
        <f>E31</f>
        <v>7.2119999999999997</v>
      </c>
      <c r="F40" s="48">
        <f>0.75-0.15</f>
        <v>0.6</v>
      </c>
      <c r="G40" s="8">
        <f t="shared" ref="G40" si="5">C40*D40*E40*F40</f>
        <v>27.174815999999996</v>
      </c>
      <c r="H40" s="75"/>
      <c r="I40" s="97"/>
      <c r="J40" s="69"/>
      <c r="K40" s="131"/>
    </row>
    <row r="41" spans="1:11" ht="15.75" x14ac:dyDescent="0.25">
      <c r="A41" s="47"/>
      <c r="B41" s="48"/>
      <c r="C41" s="48"/>
      <c r="D41" s="8"/>
      <c r="E41" s="48"/>
      <c r="F41" s="44" t="s">
        <v>37</v>
      </c>
      <c r="G41" s="111">
        <f>SUM(G37:G40)</f>
        <v>122.049288</v>
      </c>
      <c r="H41" s="75" t="s">
        <v>36</v>
      </c>
      <c r="I41" s="97">
        <v>718.4</v>
      </c>
      <c r="J41" s="69">
        <f t="shared" si="1"/>
        <v>87680.208499200002</v>
      </c>
      <c r="K41" s="131"/>
    </row>
    <row r="42" spans="1:11" ht="15.75" x14ac:dyDescent="0.25">
      <c r="A42" s="47">
        <v>6</v>
      </c>
      <c r="B42" s="48" t="s">
        <v>65</v>
      </c>
      <c r="C42" s="48">
        <f>C12</f>
        <v>30</v>
      </c>
      <c r="D42" s="8"/>
      <c r="E42" s="48">
        <f>C13</f>
        <v>33.481481481481481</v>
      </c>
      <c r="F42" s="48"/>
      <c r="G42" s="8">
        <f>C42*E42</f>
        <v>1004.4444444444445</v>
      </c>
      <c r="H42" s="75" t="s">
        <v>56</v>
      </c>
      <c r="I42" s="97">
        <v>125</v>
      </c>
      <c r="J42" s="69">
        <f t="shared" si="1"/>
        <v>125555.55555555556</v>
      </c>
      <c r="K42" s="131"/>
    </row>
    <row r="43" spans="1:11" ht="15.75" x14ac:dyDescent="0.25">
      <c r="A43" s="47">
        <v>7</v>
      </c>
      <c r="B43" s="48" t="s">
        <v>73</v>
      </c>
      <c r="C43" s="48">
        <v>3.14</v>
      </c>
      <c r="D43" s="8">
        <f>(C6+0.2)/2</f>
        <v>5.8119999999999994</v>
      </c>
      <c r="E43" s="8">
        <f>D43</f>
        <v>5.8119999999999994</v>
      </c>
      <c r="F43" s="48">
        <v>0.05</v>
      </c>
      <c r="G43" s="8">
        <f>C43*D43*E43*F43</f>
        <v>5.303357007999999</v>
      </c>
      <c r="H43" s="75"/>
      <c r="I43" s="97"/>
      <c r="J43" s="69"/>
      <c r="K43" s="131"/>
    </row>
    <row r="44" spans="1:11" ht="15.75" x14ac:dyDescent="0.25">
      <c r="A44" s="47"/>
      <c r="B44" s="48" t="s">
        <v>160</v>
      </c>
      <c r="C44" s="48">
        <v>3.14</v>
      </c>
      <c r="D44" s="8">
        <f>D35</f>
        <v>7.2119999999999997</v>
      </c>
      <c r="E44" s="8">
        <f>D44</f>
        <v>7.2119999999999997</v>
      </c>
      <c r="F44" s="48">
        <v>0.05</v>
      </c>
      <c r="G44" s="8">
        <f>C44*D44*E44*F44</f>
        <v>8.166032207999999</v>
      </c>
      <c r="H44" s="75"/>
      <c r="I44" s="97"/>
      <c r="J44" s="69"/>
      <c r="K44" s="131"/>
    </row>
    <row r="45" spans="1:11" ht="15.75" x14ac:dyDescent="0.25">
      <c r="A45" s="47"/>
      <c r="B45" s="48"/>
      <c r="C45" s="48"/>
      <c r="D45" s="8"/>
      <c r="E45" s="8"/>
      <c r="F45" s="44" t="s">
        <v>37</v>
      </c>
      <c r="G45" s="111">
        <f>SUM(G43:G44)</f>
        <v>13.469389215999998</v>
      </c>
      <c r="H45" s="75" t="s">
        <v>51</v>
      </c>
      <c r="I45" s="97">
        <v>3535.97</v>
      </c>
      <c r="J45" s="69">
        <f t="shared" si="1"/>
        <v>47627.356186099511</v>
      </c>
      <c r="K45" s="131"/>
    </row>
    <row r="46" spans="1:11" ht="15.75" x14ac:dyDescent="0.25">
      <c r="A46" s="47">
        <v>8</v>
      </c>
      <c r="B46" s="48" t="s">
        <v>157</v>
      </c>
      <c r="C46" s="48">
        <v>3.14</v>
      </c>
      <c r="D46" s="8">
        <f>C5/2</f>
        <v>5.4119999999999999</v>
      </c>
      <c r="E46" s="8">
        <f>D46</f>
        <v>5.4119999999999999</v>
      </c>
      <c r="F46" s="48">
        <v>0.05</v>
      </c>
      <c r="G46" s="8">
        <f>C46*D46*E46</f>
        <v>91.969796160000001</v>
      </c>
      <c r="H46" s="75" t="s">
        <v>36</v>
      </c>
      <c r="I46" s="97">
        <v>750</v>
      </c>
      <c r="J46" s="69">
        <f t="shared" si="1"/>
        <v>68977.347120000006</v>
      </c>
      <c r="K46" s="131"/>
    </row>
    <row r="47" spans="1:11" ht="15.75" x14ac:dyDescent="0.25">
      <c r="A47" s="47">
        <v>9</v>
      </c>
      <c r="B47" s="48" t="s">
        <v>63</v>
      </c>
      <c r="C47" s="48">
        <v>1</v>
      </c>
      <c r="D47" s="8"/>
      <c r="E47" s="8">
        <f>G32</f>
        <v>101.46198911999998</v>
      </c>
      <c r="F47" s="48">
        <v>100</v>
      </c>
      <c r="G47" s="8">
        <f>E47*F47</f>
        <v>10146.198911999998</v>
      </c>
      <c r="H47" s="75" t="s">
        <v>56</v>
      </c>
      <c r="I47" s="97">
        <v>66.239999999999995</v>
      </c>
      <c r="J47" s="69">
        <f t="shared" si="1"/>
        <v>672084.21593087981</v>
      </c>
      <c r="K47" s="131"/>
    </row>
    <row r="48" spans="1:11" ht="15.75" x14ac:dyDescent="0.25">
      <c r="A48" s="47">
        <v>10</v>
      </c>
      <c r="B48" s="48" t="s">
        <v>166</v>
      </c>
      <c r="C48" s="48">
        <v>3.14</v>
      </c>
      <c r="D48" s="8">
        <f>C6/2</f>
        <v>5.7119999999999997</v>
      </c>
      <c r="E48" s="8">
        <f>D48</f>
        <v>5.7119999999999997</v>
      </c>
      <c r="F48" s="48">
        <f>12*7.85</f>
        <v>94.199999999999989</v>
      </c>
      <c r="G48" s="8">
        <f>C48*D48*E48*F48</f>
        <v>9650.6585118719995</v>
      </c>
      <c r="H48" s="75" t="s">
        <v>56</v>
      </c>
      <c r="I48" s="97">
        <v>81.52</v>
      </c>
      <c r="J48" s="69">
        <f>G48*I48</f>
        <v>786721.68188780535</v>
      </c>
      <c r="K48" s="131"/>
    </row>
    <row r="49" spans="1:11" ht="15.75" x14ac:dyDescent="0.25">
      <c r="A49" s="112"/>
      <c r="B49" s="112"/>
      <c r="C49" s="112"/>
      <c r="D49" s="112"/>
      <c r="E49" s="271" t="s">
        <v>26</v>
      </c>
      <c r="F49" s="272"/>
      <c r="G49" s="272">
        <v>2</v>
      </c>
      <c r="H49" s="272" t="s">
        <v>67</v>
      </c>
      <c r="I49" s="273"/>
      <c r="J49" s="274">
        <f>SUM(J19:J48)</f>
        <v>4193742.7280741101</v>
      </c>
      <c r="K49" s="265">
        <f>G49*J49</f>
        <v>8387485.4561482202</v>
      </c>
    </row>
    <row r="50" spans="1:11" ht="15.75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31"/>
      <c r="K50" s="112"/>
    </row>
    <row r="51" spans="1:11" ht="28.5" x14ac:dyDescent="0.45">
      <c r="A51" s="144" t="s">
        <v>370</v>
      </c>
      <c r="B51" s="136"/>
      <c r="C51" s="134"/>
      <c r="D51" s="134"/>
      <c r="E51" s="134"/>
      <c r="F51" s="134"/>
      <c r="G51" s="134"/>
      <c r="H51" s="134"/>
      <c r="I51" s="134"/>
      <c r="J51" s="134"/>
      <c r="K51" s="135"/>
    </row>
    <row r="52" spans="1:11" ht="18.75" customHeight="1" x14ac:dyDescent="0.25">
      <c r="A52" s="339" t="s">
        <v>162</v>
      </c>
      <c r="B52" s="339"/>
      <c r="C52" s="339"/>
      <c r="D52" s="263"/>
      <c r="E52" s="263"/>
      <c r="F52" s="263"/>
      <c r="G52" s="63"/>
      <c r="H52" s="63"/>
      <c r="I52" s="63"/>
      <c r="J52" s="63"/>
      <c r="K52" s="63"/>
    </row>
    <row r="53" spans="1:11" ht="15.75" x14ac:dyDescent="0.25">
      <c r="A53" s="263"/>
      <c r="B53" s="263" t="s">
        <v>145</v>
      </c>
      <c r="C53" s="263">
        <v>38</v>
      </c>
      <c r="D53" s="263"/>
      <c r="E53" s="263"/>
      <c r="F53" s="263"/>
      <c r="G53" s="63"/>
      <c r="H53" s="63"/>
      <c r="I53" s="63"/>
      <c r="J53" s="63"/>
      <c r="K53" s="63"/>
    </row>
    <row r="54" spans="1:11" ht="15.75" x14ac:dyDescent="0.25">
      <c r="A54" s="263"/>
      <c r="B54" s="263" t="s">
        <v>146</v>
      </c>
      <c r="C54" s="263">
        <v>12.82</v>
      </c>
      <c r="D54" s="263"/>
      <c r="E54" s="263"/>
      <c r="F54" s="263"/>
      <c r="G54" s="63"/>
      <c r="H54" s="63"/>
      <c r="I54" s="63"/>
      <c r="J54" s="63"/>
      <c r="K54" s="63"/>
    </row>
    <row r="55" spans="1:11" ht="15.75" x14ac:dyDescent="0.25">
      <c r="A55" s="263"/>
      <c r="B55" s="263" t="s">
        <v>147</v>
      </c>
      <c r="C55" s="263">
        <v>13.42</v>
      </c>
      <c r="D55" s="263"/>
      <c r="E55" s="263"/>
      <c r="F55" s="263"/>
      <c r="G55" s="63"/>
      <c r="H55" s="63"/>
      <c r="I55" s="63"/>
      <c r="J55" s="63"/>
      <c r="K55" s="63"/>
    </row>
    <row r="56" spans="1:11" ht="15.75" x14ac:dyDescent="0.25">
      <c r="A56" s="263"/>
      <c r="B56" s="263" t="s">
        <v>320</v>
      </c>
      <c r="C56" s="263">
        <f>(C55-C54)/2</f>
        <v>0.29999999999999982</v>
      </c>
      <c r="D56" s="263"/>
      <c r="E56" s="263"/>
      <c r="F56" s="263"/>
      <c r="G56" s="63"/>
      <c r="H56" s="63"/>
      <c r="I56" s="63"/>
      <c r="J56" s="63"/>
      <c r="K56" s="63"/>
    </row>
    <row r="57" spans="1:11" ht="15.75" x14ac:dyDescent="0.25">
      <c r="A57" s="263"/>
      <c r="B57" s="263" t="s">
        <v>149</v>
      </c>
      <c r="C57" s="263">
        <f>1.05</f>
        <v>1.05</v>
      </c>
      <c r="D57" s="263"/>
      <c r="E57" s="263"/>
      <c r="F57" s="263"/>
      <c r="G57" s="63"/>
      <c r="H57" s="63"/>
      <c r="I57" s="63"/>
      <c r="J57" s="63"/>
      <c r="K57" s="63"/>
    </row>
    <row r="58" spans="1:11" ht="15.75" x14ac:dyDescent="0.25">
      <c r="A58" s="263"/>
      <c r="B58" s="263" t="s">
        <v>148</v>
      </c>
      <c r="C58" s="263">
        <v>0.6</v>
      </c>
      <c r="D58" s="263"/>
      <c r="E58" s="263"/>
      <c r="F58" s="263"/>
      <c r="G58" s="63"/>
      <c r="H58" s="63"/>
      <c r="I58" s="63"/>
      <c r="J58" s="63"/>
      <c r="K58" s="63"/>
    </row>
    <row r="59" spans="1:11" ht="15.75" x14ac:dyDescent="0.25">
      <c r="A59" s="263"/>
      <c r="B59" s="263" t="s">
        <v>321</v>
      </c>
      <c r="C59" s="263">
        <f>0.05+0.05+0.1+0.5</f>
        <v>0.7</v>
      </c>
      <c r="D59" s="263"/>
      <c r="E59" s="263"/>
      <c r="F59" s="263"/>
      <c r="G59" s="63"/>
      <c r="H59" s="63"/>
      <c r="I59" s="63"/>
      <c r="J59" s="63"/>
      <c r="K59" s="63"/>
    </row>
    <row r="60" spans="1:11" ht="15.75" x14ac:dyDescent="0.25">
      <c r="A60" s="263"/>
      <c r="B60" s="263" t="s">
        <v>150</v>
      </c>
      <c r="C60" s="263">
        <f>C57-C64</f>
        <v>1</v>
      </c>
      <c r="D60" s="263"/>
      <c r="E60" s="263"/>
      <c r="F60" s="263"/>
      <c r="G60" s="63"/>
      <c r="H60" s="63"/>
      <c r="I60" s="63"/>
      <c r="J60" s="63"/>
      <c r="K60" s="63"/>
    </row>
    <row r="61" spans="1:11" ht="15.75" x14ac:dyDescent="0.25">
      <c r="A61" s="263"/>
      <c r="B61" s="263" t="s">
        <v>154</v>
      </c>
      <c r="C61" s="263">
        <v>36</v>
      </c>
      <c r="D61" s="263" t="s">
        <v>164</v>
      </c>
      <c r="E61" s="263" t="s">
        <v>113</v>
      </c>
      <c r="F61" s="263" t="s">
        <v>165</v>
      </c>
      <c r="G61" s="63"/>
      <c r="H61" s="63"/>
      <c r="I61" s="63"/>
      <c r="J61" s="63"/>
      <c r="K61" s="63"/>
    </row>
    <row r="62" spans="1:11" ht="15.75" x14ac:dyDescent="0.25">
      <c r="A62" s="263"/>
      <c r="B62" s="263" t="s">
        <v>322</v>
      </c>
      <c r="C62" s="263">
        <f>((D62*D62/162)*E62)+F62</f>
        <v>33.481481481481481</v>
      </c>
      <c r="D62" s="263">
        <v>50</v>
      </c>
      <c r="E62" s="263">
        <v>2.04</v>
      </c>
      <c r="F62" s="263">
        <v>2</v>
      </c>
      <c r="G62" s="63"/>
      <c r="H62" s="63"/>
      <c r="I62" s="63"/>
      <c r="J62" s="63"/>
      <c r="K62" s="63"/>
    </row>
    <row r="63" spans="1:11" ht="15.75" x14ac:dyDescent="0.25">
      <c r="A63" s="263"/>
      <c r="B63" s="263" t="s">
        <v>323</v>
      </c>
      <c r="C63" s="263">
        <v>0.05</v>
      </c>
      <c r="D63" s="263"/>
      <c r="E63" s="263"/>
      <c r="F63" s="263"/>
      <c r="G63" s="63"/>
      <c r="H63" s="63"/>
      <c r="I63" s="63"/>
      <c r="J63" s="63"/>
      <c r="K63" s="63"/>
    </row>
    <row r="64" spans="1:11" ht="15.75" x14ac:dyDescent="0.25">
      <c r="A64" s="263"/>
      <c r="B64" s="263" t="s">
        <v>159</v>
      </c>
      <c r="C64" s="263">
        <v>0.05</v>
      </c>
      <c r="D64" s="263"/>
      <c r="E64" s="263"/>
      <c r="F64" s="263"/>
      <c r="G64" s="63"/>
      <c r="H64" s="63"/>
      <c r="I64" s="63"/>
      <c r="J64" s="63"/>
      <c r="K64" s="63"/>
    </row>
    <row r="65" spans="1:11" ht="15.75" x14ac:dyDescent="0.25">
      <c r="A65" s="263"/>
      <c r="B65" s="263"/>
      <c r="C65" s="263"/>
      <c r="D65" s="263"/>
      <c r="E65" s="263"/>
      <c r="F65" s="263"/>
      <c r="G65" s="63"/>
      <c r="H65" s="63"/>
      <c r="I65" s="63"/>
      <c r="J65" s="63"/>
      <c r="K65" s="63"/>
    </row>
    <row r="66" spans="1:11" ht="15.75" x14ac:dyDescent="0.25">
      <c r="A66" s="269"/>
      <c r="B66" s="268" t="s">
        <v>141</v>
      </c>
      <c r="C66" s="268"/>
      <c r="D66" s="270"/>
      <c r="E66" s="268"/>
      <c r="F66" s="268"/>
      <c r="G66" s="40"/>
      <c r="H66" s="78"/>
      <c r="I66" s="96"/>
      <c r="J66" s="68"/>
      <c r="K66" s="131"/>
    </row>
    <row r="67" spans="1:11" ht="15.75" x14ac:dyDescent="0.25">
      <c r="A67" s="113" t="s">
        <v>95</v>
      </c>
      <c r="B67" s="141" t="s">
        <v>69</v>
      </c>
      <c r="C67" s="30"/>
      <c r="D67" s="67"/>
      <c r="E67" s="46"/>
      <c r="F67" s="46"/>
      <c r="G67" s="46"/>
      <c r="H67" s="78"/>
      <c r="I67" s="96"/>
      <c r="J67" s="68"/>
      <c r="K67" s="131"/>
    </row>
    <row r="68" spans="1:11" ht="15.75" x14ac:dyDescent="0.25">
      <c r="A68" s="30"/>
      <c r="B68" s="34" t="s">
        <v>324</v>
      </c>
      <c r="C68" s="27">
        <v>0</v>
      </c>
      <c r="D68" s="6"/>
      <c r="E68" s="46"/>
      <c r="F68" s="46"/>
      <c r="G68" s="71">
        <f>C68</f>
        <v>0</v>
      </c>
      <c r="H68" s="74" t="s">
        <v>4</v>
      </c>
      <c r="I68" s="21">
        <v>305703.42</v>
      </c>
      <c r="J68" s="70">
        <f>G68*I68</f>
        <v>0</v>
      </c>
      <c r="K68" s="131"/>
    </row>
    <row r="69" spans="1:11" ht="15.75" x14ac:dyDescent="0.25">
      <c r="A69" s="30"/>
      <c r="B69" s="34" t="s">
        <v>70</v>
      </c>
      <c r="C69" s="27">
        <v>0</v>
      </c>
      <c r="D69" s="6"/>
      <c r="E69" s="46"/>
      <c r="F69" s="46"/>
      <c r="G69" s="71">
        <f>C69</f>
        <v>0</v>
      </c>
      <c r="H69" s="74" t="s">
        <v>4</v>
      </c>
      <c r="I69" s="21">
        <v>229277.57</v>
      </c>
      <c r="J69" s="70">
        <f t="shared" ref="J69:J72" si="6">G69*I69</f>
        <v>0</v>
      </c>
      <c r="K69" s="131"/>
    </row>
    <row r="70" spans="1:11" ht="15.75" x14ac:dyDescent="0.25">
      <c r="A70" s="30"/>
      <c r="B70" s="34" t="s">
        <v>71</v>
      </c>
      <c r="C70" s="27">
        <f>C53</f>
        <v>38</v>
      </c>
      <c r="D70" s="6">
        <v>18</v>
      </c>
      <c r="E70" s="46"/>
      <c r="F70" s="46"/>
      <c r="G70" s="71">
        <f>C70*D70</f>
        <v>684</v>
      </c>
      <c r="H70" s="74" t="s">
        <v>39</v>
      </c>
      <c r="I70" s="21">
        <v>2394.6799999999998</v>
      </c>
      <c r="J70" s="70">
        <f t="shared" si="6"/>
        <v>1637961.1199999999</v>
      </c>
      <c r="K70" s="131"/>
    </row>
    <row r="71" spans="1:11" ht="15.75" x14ac:dyDescent="0.25">
      <c r="A71" s="30"/>
      <c r="B71" s="34" t="s">
        <v>31</v>
      </c>
      <c r="C71" s="27">
        <f>C53</f>
        <v>38</v>
      </c>
      <c r="D71" s="6"/>
      <c r="E71" s="46"/>
      <c r="F71" s="46"/>
      <c r="G71" s="71">
        <f>C71</f>
        <v>38</v>
      </c>
      <c r="H71" s="74" t="s">
        <v>67</v>
      </c>
      <c r="I71" s="21">
        <v>509.51</v>
      </c>
      <c r="J71" s="70">
        <f t="shared" si="6"/>
        <v>19361.38</v>
      </c>
      <c r="K71" s="131"/>
    </row>
    <row r="72" spans="1:11" ht="15.75" x14ac:dyDescent="0.25">
      <c r="A72" s="30"/>
      <c r="B72" s="37" t="s">
        <v>32</v>
      </c>
      <c r="C72" s="27">
        <f>C53</f>
        <v>38</v>
      </c>
      <c r="D72" s="6"/>
      <c r="E72" s="46"/>
      <c r="F72" s="46"/>
      <c r="G72" s="71">
        <f>C72</f>
        <v>38</v>
      </c>
      <c r="H72" s="74" t="s">
        <v>67</v>
      </c>
      <c r="I72" s="21">
        <v>1273.76</v>
      </c>
      <c r="J72" s="70">
        <f t="shared" si="6"/>
        <v>48402.879999999997</v>
      </c>
      <c r="K72" s="131"/>
    </row>
    <row r="73" spans="1:11" ht="15.75" x14ac:dyDescent="0.25">
      <c r="A73" s="38" t="s">
        <v>96</v>
      </c>
      <c r="B73" s="140" t="s">
        <v>208</v>
      </c>
      <c r="C73" s="46"/>
      <c r="D73" s="14"/>
      <c r="E73" s="46"/>
      <c r="F73" s="46"/>
      <c r="G73" s="46"/>
      <c r="H73" s="78"/>
      <c r="I73" s="96"/>
      <c r="J73" s="68"/>
      <c r="K73" s="131"/>
    </row>
    <row r="74" spans="1:11" ht="15.75" x14ac:dyDescent="0.25">
      <c r="A74" s="47">
        <v>1</v>
      </c>
      <c r="B74" s="48" t="s">
        <v>60</v>
      </c>
      <c r="C74" s="48">
        <v>1</v>
      </c>
      <c r="D74" s="8">
        <f>C55+0.5</f>
        <v>13.92</v>
      </c>
      <c r="E74" s="8">
        <f>D74</f>
        <v>13.92</v>
      </c>
      <c r="F74" s="48">
        <f>C59</f>
        <v>0.7</v>
      </c>
      <c r="G74" s="8">
        <f>D74*E74*F74</f>
        <v>135.63648000000001</v>
      </c>
      <c r="H74" s="75" t="s">
        <v>51</v>
      </c>
      <c r="I74" s="97">
        <v>315.89</v>
      </c>
      <c r="J74" s="69">
        <f>G74*I74</f>
        <v>42846.207667199997</v>
      </c>
      <c r="K74" s="131"/>
    </row>
    <row r="75" spans="1:11" ht="15.75" x14ac:dyDescent="0.25">
      <c r="A75" s="47">
        <v>2</v>
      </c>
      <c r="B75" s="48" t="s">
        <v>61</v>
      </c>
      <c r="C75" s="48"/>
      <c r="D75" s="8"/>
      <c r="E75" s="48"/>
      <c r="F75" s="48"/>
      <c r="G75" s="8">
        <f>G74</f>
        <v>135.63648000000001</v>
      </c>
      <c r="H75" s="75" t="s">
        <v>51</v>
      </c>
      <c r="I75" s="97">
        <v>100</v>
      </c>
      <c r="J75" s="69">
        <f t="shared" ref="J75" si="7">G75*I75</f>
        <v>13563.648000000001</v>
      </c>
      <c r="K75" s="131"/>
    </row>
    <row r="76" spans="1:11" ht="15.75" x14ac:dyDescent="0.25">
      <c r="A76" s="47">
        <v>3</v>
      </c>
      <c r="B76" s="48" t="s">
        <v>163</v>
      </c>
      <c r="C76" s="48">
        <v>3.14</v>
      </c>
      <c r="D76" s="8">
        <f>C55/2</f>
        <v>6.71</v>
      </c>
      <c r="E76" s="8">
        <f>D76</f>
        <v>6.71</v>
      </c>
      <c r="F76" s="48">
        <f>C58</f>
        <v>0.6</v>
      </c>
      <c r="G76" s="8">
        <f>C76*D76*E76*F76</f>
        <v>84.825404399999996</v>
      </c>
      <c r="H76" s="75"/>
      <c r="I76" s="97"/>
      <c r="J76" s="69"/>
      <c r="K76" s="131"/>
    </row>
    <row r="77" spans="1:11" ht="15.75" x14ac:dyDescent="0.25">
      <c r="A77" s="47"/>
      <c r="B77" s="48" t="s">
        <v>151</v>
      </c>
      <c r="C77" s="48">
        <v>3.14</v>
      </c>
      <c r="D77" s="8">
        <f>C55-C56</f>
        <v>13.120000000000001</v>
      </c>
      <c r="E77" s="8">
        <f>C56</f>
        <v>0.29999999999999982</v>
      </c>
      <c r="F77" s="48">
        <f>C57</f>
        <v>1.05</v>
      </c>
      <c r="G77" s="8">
        <f>C77*D77*E77*F77</f>
        <v>12.976991999999994</v>
      </c>
      <c r="H77" s="75"/>
      <c r="I77" s="97"/>
      <c r="J77" s="69"/>
      <c r="K77" s="131"/>
    </row>
    <row r="78" spans="1:11" ht="15.75" x14ac:dyDescent="0.25">
      <c r="A78" s="47"/>
      <c r="B78" s="48" t="s">
        <v>158</v>
      </c>
      <c r="C78" s="48">
        <v>1</v>
      </c>
      <c r="D78" s="8">
        <v>1.3</v>
      </c>
      <c r="E78" s="8">
        <v>1.3</v>
      </c>
      <c r="F78" s="48">
        <f>F77</f>
        <v>1.05</v>
      </c>
      <c r="G78" s="8">
        <f>C78*D78*E78*F78</f>
        <v>1.7745000000000002</v>
      </c>
      <c r="H78" s="75"/>
      <c r="I78" s="97"/>
      <c r="J78" s="69"/>
      <c r="K78" s="131"/>
    </row>
    <row r="79" spans="1:11" ht="15.75" x14ac:dyDescent="0.25">
      <c r="A79" s="47"/>
      <c r="B79" s="48" t="s">
        <v>160</v>
      </c>
      <c r="C79" s="48">
        <v>3.14</v>
      </c>
      <c r="D79" s="8">
        <f>(C55+3)/2</f>
        <v>8.2100000000000009</v>
      </c>
      <c r="E79" s="8">
        <f>D79</f>
        <v>8.2100000000000009</v>
      </c>
      <c r="F79" s="48">
        <v>0.15</v>
      </c>
      <c r="G79" s="8">
        <f t="shared" ref="G79:G80" si="8">C79*D79*E79*F79</f>
        <v>31.747331100000004</v>
      </c>
      <c r="H79" s="75"/>
      <c r="I79" s="97"/>
      <c r="J79" s="69"/>
      <c r="K79" s="131"/>
    </row>
    <row r="80" spans="1:11" ht="15.75" x14ac:dyDescent="0.25">
      <c r="A80" s="47"/>
      <c r="B80" s="48" t="s">
        <v>161</v>
      </c>
      <c r="C80" s="48">
        <v>3.14</v>
      </c>
      <c r="D80" s="8">
        <f>D79-(D79-0.2)</f>
        <v>0.19999999999999929</v>
      </c>
      <c r="E80" s="8">
        <f>D79</f>
        <v>8.2100000000000009</v>
      </c>
      <c r="F80" s="48">
        <f>0.75-0.15</f>
        <v>0.6</v>
      </c>
      <c r="G80" s="8">
        <f t="shared" si="8"/>
        <v>3.093527999999989</v>
      </c>
      <c r="H80" s="75"/>
      <c r="I80" s="97"/>
      <c r="J80" s="69"/>
      <c r="K80" s="131"/>
    </row>
    <row r="81" spans="1:11" ht="15.75" x14ac:dyDescent="0.25">
      <c r="A81" s="47"/>
      <c r="B81" s="48"/>
      <c r="C81" s="48"/>
      <c r="D81" s="8"/>
      <c r="E81" s="8"/>
      <c r="F81" s="48" t="s">
        <v>37</v>
      </c>
      <c r="G81" s="8">
        <f>SUM(G76:G80)</f>
        <v>134.4177555</v>
      </c>
      <c r="H81" s="75" t="s">
        <v>51</v>
      </c>
      <c r="I81" s="97">
        <v>5329.43</v>
      </c>
      <c r="J81" s="69">
        <f t="shared" ref="J81" si="9">G81*I81</f>
        <v>716370.01869436505</v>
      </c>
      <c r="K81" s="131"/>
    </row>
    <row r="82" spans="1:11" ht="15.75" x14ac:dyDescent="0.25">
      <c r="A82" s="47">
        <v>4</v>
      </c>
      <c r="B82" s="48" t="s">
        <v>155</v>
      </c>
      <c r="C82" s="48">
        <v>3.14</v>
      </c>
      <c r="D82" s="8">
        <f>C54/2</f>
        <v>6.41</v>
      </c>
      <c r="E82" s="8">
        <f>D82</f>
        <v>6.41</v>
      </c>
      <c r="F82" s="48">
        <f>C60</f>
        <v>1</v>
      </c>
      <c r="G82" s="8">
        <f>D82*E82*F82</f>
        <v>41.088100000000004</v>
      </c>
      <c r="H82" s="75"/>
      <c r="I82" s="97"/>
      <c r="J82" s="69"/>
      <c r="K82" s="131"/>
    </row>
    <row r="83" spans="1:11" ht="15.75" x14ac:dyDescent="0.25">
      <c r="A83" s="47"/>
      <c r="B83" s="48" t="s">
        <v>156</v>
      </c>
      <c r="C83" s="48">
        <v>3.14</v>
      </c>
      <c r="D83" s="8">
        <f>(C55+0.2)/2</f>
        <v>6.81</v>
      </c>
      <c r="E83" s="8">
        <f>D83</f>
        <v>6.81</v>
      </c>
      <c r="F83" s="48">
        <v>0.05</v>
      </c>
      <c r="G83" s="8">
        <f t="shared" ref="G83:G84" si="10">D83*E83*F83</f>
        <v>2.3188049999999998</v>
      </c>
      <c r="H83" s="75"/>
      <c r="I83" s="97"/>
      <c r="J83" s="69"/>
      <c r="K83" s="131"/>
    </row>
    <row r="84" spans="1:11" ht="15.75" x14ac:dyDescent="0.25">
      <c r="A84" s="47"/>
      <c r="B84" s="48" t="s">
        <v>160</v>
      </c>
      <c r="C84" s="48">
        <v>3.14</v>
      </c>
      <c r="D84" s="8">
        <f>D79</f>
        <v>8.2100000000000009</v>
      </c>
      <c r="E84" s="8">
        <f>D84</f>
        <v>8.2100000000000009</v>
      </c>
      <c r="F84" s="48">
        <v>0.05</v>
      </c>
      <c r="G84" s="8">
        <f t="shared" si="10"/>
        <v>3.3702050000000008</v>
      </c>
      <c r="H84" s="75"/>
      <c r="I84" s="97"/>
      <c r="J84" s="69"/>
      <c r="K84" s="131"/>
    </row>
    <row r="85" spans="1:11" ht="15.75" x14ac:dyDescent="0.25">
      <c r="A85" s="47"/>
      <c r="B85" s="48"/>
      <c r="C85" s="48"/>
      <c r="D85" s="8"/>
      <c r="E85" s="8"/>
      <c r="F85" s="48" t="s">
        <v>37</v>
      </c>
      <c r="G85" s="8">
        <f>SUM(G82:G84)</f>
        <v>46.77711</v>
      </c>
      <c r="H85" s="75" t="s">
        <v>51</v>
      </c>
      <c r="I85" s="97">
        <v>927.3</v>
      </c>
      <c r="J85" s="69">
        <f t="shared" ref="J85" si="11">G85*I85</f>
        <v>43376.414102999996</v>
      </c>
      <c r="K85" s="131"/>
    </row>
    <row r="86" spans="1:11" ht="15.75" x14ac:dyDescent="0.25">
      <c r="A86" s="47">
        <v>5</v>
      </c>
      <c r="B86" s="48" t="s">
        <v>152</v>
      </c>
      <c r="C86" s="48">
        <v>3.14</v>
      </c>
      <c r="D86" s="8">
        <f>C55</f>
        <v>13.42</v>
      </c>
      <c r="E86" s="48"/>
      <c r="F86" s="48">
        <f>C57</f>
        <v>1.05</v>
      </c>
      <c r="G86" s="8">
        <f>C86*D86*F86</f>
        <v>44.245740000000005</v>
      </c>
      <c r="H86" s="75"/>
      <c r="I86" s="97"/>
      <c r="J86" s="69"/>
      <c r="K86" s="131"/>
    </row>
    <row r="87" spans="1:11" ht="15.75" x14ac:dyDescent="0.25">
      <c r="A87" s="47"/>
      <c r="B87" s="48" t="s">
        <v>153</v>
      </c>
      <c r="C87" s="48">
        <v>3.14</v>
      </c>
      <c r="D87" s="8">
        <f>C54</f>
        <v>12.82</v>
      </c>
      <c r="E87" s="48"/>
      <c r="F87" s="48">
        <f>C57</f>
        <v>1.05</v>
      </c>
      <c r="G87" s="8">
        <f t="shared" ref="G87:G88" si="12">C87*D87*F87</f>
        <v>42.267540000000004</v>
      </c>
      <c r="H87" s="75"/>
      <c r="I87" s="97"/>
      <c r="J87" s="69"/>
      <c r="K87" s="131"/>
    </row>
    <row r="88" spans="1:11" ht="15.75" x14ac:dyDescent="0.25">
      <c r="A88" s="47"/>
      <c r="B88" s="48" t="s">
        <v>33</v>
      </c>
      <c r="C88" s="48">
        <v>3.14</v>
      </c>
      <c r="D88" s="8">
        <f>C55</f>
        <v>13.42</v>
      </c>
      <c r="E88" s="48"/>
      <c r="F88" s="48">
        <f>C58</f>
        <v>0.6</v>
      </c>
      <c r="G88" s="8">
        <f t="shared" si="12"/>
        <v>25.283280000000001</v>
      </c>
      <c r="H88" s="75"/>
      <c r="I88" s="97"/>
      <c r="J88" s="69"/>
      <c r="K88" s="131"/>
    </row>
    <row r="89" spans="1:11" ht="15.75" x14ac:dyDescent="0.25">
      <c r="A89" s="47"/>
      <c r="B89" s="48" t="s">
        <v>161</v>
      </c>
      <c r="C89" s="48">
        <v>3.14</v>
      </c>
      <c r="D89" s="8">
        <v>2</v>
      </c>
      <c r="E89" s="8">
        <f>E80</f>
        <v>8.2100000000000009</v>
      </c>
      <c r="F89" s="48">
        <f>0.75-0.15</f>
        <v>0.6</v>
      </c>
      <c r="G89" s="8">
        <f t="shared" ref="G89" si="13">C89*D89*E89*F89</f>
        <v>30.935280000000002</v>
      </c>
      <c r="H89" s="75"/>
      <c r="I89" s="97"/>
      <c r="J89" s="69"/>
      <c r="K89" s="131"/>
    </row>
    <row r="90" spans="1:11" ht="15.75" x14ac:dyDescent="0.25">
      <c r="A90" s="47"/>
      <c r="B90" s="48"/>
      <c r="C90" s="48"/>
      <c r="D90" s="8"/>
      <c r="E90" s="48"/>
      <c r="F90" s="48" t="s">
        <v>37</v>
      </c>
      <c r="G90" s="8">
        <f>SUM(G86:G89)</f>
        <v>142.73184000000001</v>
      </c>
      <c r="H90" s="75" t="s">
        <v>36</v>
      </c>
      <c r="I90" s="97">
        <v>718.4</v>
      </c>
      <c r="J90" s="69">
        <f t="shared" ref="J90:J91" si="14">G90*I90</f>
        <v>102538.553856</v>
      </c>
      <c r="K90" s="131"/>
    </row>
    <row r="91" spans="1:11" ht="15.75" x14ac:dyDescent="0.25">
      <c r="A91" s="47">
        <v>6</v>
      </c>
      <c r="B91" s="48" t="s">
        <v>65</v>
      </c>
      <c r="C91" s="48">
        <f>C61</f>
        <v>36</v>
      </c>
      <c r="D91" s="8"/>
      <c r="E91" s="48">
        <f>C62</f>
        <v>33.481481481481481</v>
      </c>
      <c r="F91" s="48"/>
      <c r="G91" s="8">
        <f>C91*E91</f>
        <v>1205.3333333333333</v>
      </c>
      <c r="H91" s="75" t="s">
        <v>56</v>
      </c>
      <c r="I91" s="97">
        <v>125</v>
      </c>
      <c r="J91" s="69">
        <f t="shared" si="14"/>
        <v>150666.66666666666</v>
      </c>
      <c r="K91" s="131"/>
    </row>
    <row r="92" spans="1:11" ht="15.75" x14ac:dyDescent="0.25">
      <c r="A92" s="47">
        <v>7</v>
      </c>
      <c r="B92" s="48" t="s">
        <v>73</v>
      </c>
      <c r="C92" s="48">
        <v>3.14</v>
      </c>
      <c r="D92" s="8">
        <f>(C55+0.2)/2</f>
        <v>6.81</v>
      </c>
      <c r="E92" s="8">
        <f>D92</f>
        <v>6.81</v>
      </c>
      <c r="F92" s="48">
        <v>0.05</v>
      </c>
      <c r="G92" s="8">
        <f>C92*D92*E92*F92</f>
        <v>7.2810476999999993</v>
      </c>
      <c r="H92" s="75"/>
      <c r="I92" s="97"/>
      <c r="J92" s="69"/>
      <c r="K92" s="131"/>
    </row>
    <row r="93" spans="1:11" ht="15.75" x14ac:dyDescent="0.25">
      <c r="A93" s="47"/>
      <c r="B93" s="48" t="s">
        <v>160</v>
      </c>
      <c r="C93" s="48">
        <v>3.14</v>
      </c>
      <c r="D93" s="8">
        <f>D84</f>
        <v>8.2100000000000009</v>
      </c>
      <c r="E93" s="8">
        <f>D93</f>
        <v>8.2100000000000009</v>
      </c>
      <c r="F93" s="48">
        <v>0.05</v>
      </c>
      <c r="G93" s="8">
        <f>C93*D93*E93*F93</f>
        <v>10.582443700000002</v>
      </c>
      <c r="H93" s="75"/>
      <c r="I93" s="97"/>
      <c r="J93" s="69"/>
      <c r="K93" s="131"/>
    </row>
    <row r="94" spans="1:11" ht="15.75" x14ac:dyDescent="0.25">
      <c r="A94" s="47"/>
      <c r="B94" s="48"/>
      <c r="C94" s="48"/>
      <c r="D94" s="8"/>
      <c r="E94" s="8"/>
      <c r="F94" s="48" t="s">
        <v>37</v>
      </c>
      <c r="G94" s="8">
        <f>SUM(G92:G93)</f>
        <v>17.863491400000001</v>
      </c>
      <c r="H94" s="75" t="s">
        <v>51</v>
      </c>
      <c r="I94" s="97">
        <v>3535.97</v>
      </c>
      <c r="J94" s="69">
        <f t="shared" ref="J94:J96" si="15">G94*I94</f>
        <v>63164.769685658001</v>
      </c>
      <c r="K94" s="131"/>
    </row>
    <row r="95" spans="1:11" ht="15.75" x14ac:dyDescent="0.25">
      <c r="A95" s="47">
        <v>8</v>
      </c>
      <c r="B95" s="48" t="s">
        <v>157</v>
      </c>
      <c r="C95" s="48">
        <v>3.14</v>
      </c>
      <c r="D95" s="8">
        <f>C54/2</f>
        <v>6.41</v>
      </c>
      <c r="E95" s="8">
        <f>D95</f>
        <v>6.41</v>
      </c>
      <c r="F95" s="48">
        <v>0.05</v>
      </c>
      <c r="G95" s="8">
        <f>C95*D95*E95</f>
        <v>129.01663400000001</v>
      </c>
      <c r="H95" s="75" t="s">
        <v>36</v>
      </c>
      <c r="I95" s="97">
        <v>750</v>
      </c>
      <c r="J95" s="69">
        <f t="shared" si="15"/>
        <v>96762.475500000015</v>
      </c>
      <c r="K95" s="131"/>
    </row>
    <row r="96" spans="1:11" ht="15.75" x14ac:dyDescent="0.25">
      <c r="A96" s="47">
        <v>9</v>
      </c>
      <c r="B96" s="48" t="s">
        <v>63</v>
      </c>
      <c r="C96" s="48">
        <v>1</v>
      </c>
      <c r="D96" s="8"/>
      <c r="E96" s="8">
        <f>G81</f>
        <v>134.4177555</v>
      </c>
      <c r="F96" s="48">
        <v>100</v>
      </c>
      <c r="G96" s="8">
        <f>E96*F96</f>
        <v>13441.77555</v>
      </c>
      <c r="H96" s="75" t="s">
        <v>56</v>
      </c>
      <c r="I96" s="97">
        <v>66.239999999999995</v>
      </c>
      <c r="J96" s="69">
        <f t="shared" si="15"/>
        <v>890383.21243199997</v>
      </c>
      <c r="K96" s="131"/>
    </row>
    <row r="97" spans="1:11" ht="15.75" x14ac:dyDescent="0.25">
      <c r="A97" s="47">
        <v>10</v>
      </c>
      <c r="B97" s="48" t="s">
        <v>166</v>
      </c>
      <c r="C97" s="48">
        <v>3.14</v>
      </c>
      <c r="D97" s="8">
        <f>C55/2</f>
        <v>6.71</v>
      </c>
      <c r="E97" s="8">
        <f>D97</f>
        <v>6.71</v>
      </c>
      <c r="F97" s="48">
        <f>12*7.85</f>
        <v>94.199999999999989</v>
      </c>
      <c r="G97" s="8">
        <f>C97*D97*E97*F97</f>
        <v>13317.588490799999</v>
      </c>
      <c r="H97" s="75" t="s">
        <v>56</v>
      </c>
      <c r="I97" s="97">
        <v>81.52</v>
      </c>
      <c r="J97" s="69">
        <f>G97*I97</f>
        <v>1085649.813770016</v>
      </c>
      <c r="K97" s="131"/>
    </row>
    <row r="98" spans="1:11" ht="15.75" x14ac:dyDescent="0.25">
      <c r="A98" s="112"/>
      <c r="B98" s="112"/>
      <c r="C98" s="112"/>
      <c r="D98" s="112"/>
      <c r="E98" s="340" t="s">
        <v>26</v>
      </c>
      <c r="F98" s="341"/>
      <c r="G98" s="341"/>
      <c r="H98" s="341"/>
      <c r="I98" s="273">
        <v>2</v>
      </c>
      <c r="J98" s="274">
        <f>SUM(J68:J97)</f>
        <v>4911047.160374905</v>
      </c>
      <c r="K98" s="265">
        <f>I98*J98</f>
        <v>9822094.32074981</v>
      </c>
    </row>
    <row r="99" spans="1:11" ht="28.5" x14ac:dyDescent="0.45">
      <c r="A99" s="143" t="s">
        <v>371</v>
      </c>
      <c r="B99" s="142"/>
      <c r="C99" s="119"/>
      <c r="D99" s="119"/>
      <c r="E99" s="119"/>
      <c r="F99" s="119"/>
      <c r="G99" s="119"/>
      <c r="H99" s="119"/>
      <c r="I99" s="119"/>
      <c r="J99" s="119"/>
      <c r="K99" s="120"/>
    </row>
    <row r="100" spans="1:11" ht="15.75" x14ac:dyDescent="0.25">
      <c r="A100" s="339" t="s">
        <v>162</v>
      </c>
      <c r="B100" s="339"/>
      <c r="C100" s="339"/>
      <c r="D100" s="263"/>
      <c r="E100" s="263"/>
      <c r="F100" s="263"/>
      <c r="G100" s="63"/>
      <c r="H100" s="63"/>
      <c r="I100" s="63"/>
      <c r="J100" s="63"/>
      <c r="K100" s="63"/>
    </row>
    <row r="101" spans="1:11" ht="15.75" x14ac:dyDescent="0.25">
      <c r="A101" s="263"/>
      <c r="B101" s="263" t="s">
        <v>145</v>
      </c>
      <c r="C101" s="263">
        <v>20</v>
      </c>
      <c r="D101" s="263"/>
      <c r="E101" s="263"/>
      <c r="F101" s="263"/>
      <c r="G101" s="63"/>
      <c r="H101" s="63"/>
      <c r="I101" s="63"/>
      <c r="J101" s="63"/>
      <c r="K101" s="63"/>
    </row>
    <row r="102" spans="1:11" ht="15.75" x14ac:dyDescent="0.25">
      <c r="A102" s="263"/>
      <c r="B102" s="263" t="s">
        <v>146</v>
      </c>
      <c r="C102" s="263">
        <v>8</v>
      </c>
      <c r="D102" s="263"/>
      <c r="E102" s="263"/>
      <c r="F102" s="263"/>
      <c r="G102" s="63"/>
      <c r="H102" s="63"/>
      <c r="I102" s="63"/>
      <c r="J102" s="63"/>
      <c r="K102" s="63"/>
    </row>
    <row r="103" spans="1:11" ht="15.75" x14ac:dyDescent="0.25">
      <c r="A103" s="263"/>
      <c r="B103" s="263" t="s">
        <v>147</v>
      </c>
      <c r="C103" s="263">
        <v>9.1999999999999993</v>
      </c>
      <c r="D103" s="263"/>
      <c r="E103" s="263"/>
      <c r="F103" s="263"/>
      <c r="G103" s="63"/>
      <c r="H103" s="63"/>
      <c r="I103" s="63"/>
      <c r="J103" s="63"/>
      <c r="K103" s="63"/>
    </row>
    <row r="104" spans="1:11" ht="15.75" x14ac:dyDescent="0.25">
      <c r="A104" s="263"/>
      <c r="B104" s="263" t="s">
        <v>320</v>
      </c>
      <c r="C104" s="263">
        <f>(C103-C102)/2</f>
        <v>0.59999999999999964</v>
      </c>
      <c r="D104" s="263"/>
      <c r="E104" s="263"/>
      <c r="F104" s="263"/>
      <c r="G104" s="63"/>
      <c r="H104" s="63"/>
      <c r="I104" s="63"/>
      <c r="J104" s="63"/>
      <c r="K104" s="63"/>
    </row>
    <row r="105" spans="1:11" ht="15.75" x14ac:dyDescent="0.25">
      <c r="A105" s="263"/>
      <c r="B105" s="263" t="s">
        <v>149</v>
      </c>
      <c r="C105" s="263">
        <f>1.05</f>
        <v>1.05</v>
      </c>
      <c r="D105" s="263"/>
      <c r="E105" s="263"/>
      <c r="F105" s="263"/>
      <c r="G105" s="63"/>
      <c r="H105" s="63"/>
      <c r="I105" s="63"/>
      <c r="J105" s="63"/>
      <c r="K105" s="63"/>
    </row>
    <row r="106" spans="1:11" ht="15.75" x14ac:dyDescent="0.25">
      <c r="A106" s="263"/>
      <c r="B106" s="263" t="s">
        <v>148</v>
      </c>
      <c r="C106" s="263">
        <v>0.6</v>
      </c>
      <c r="D106" s="263"/>
      <c r="E106" s="263"/>
      <c r="F106" s="263"/>
      <c r="G106" s="63"/>
      <c r="H106" s="63"/>
      <c r="I106" s="63"/>
      <c r="J106" s="63"/>
      <c r="K106" s="63"/>
    </row>
    <row r="107" spans="1:11" ht="15.75" x14ac:dyDescent="0.25">
      <c r="A107" s="263"/>
      <c r="B107" s="263" t="s">
        <v>321</v>
      </c>
      <c r="C107" s="263">
        <f>0.05+0.05+0.1+0.5</f>
        <v>0.7</v>
      </c>
      <c r="D107" s="263"/>
      <c r="E107" s="263"/>
      <c r="F107" s="263"/>
      <c r="G107" s="63"/>
      <c r="H107" s="63"/>
      <c r="I107" s="63"/>
      <c r="J107" s="63"/>
      <c r="K107" s="63"/>
    </row>
    <row r="108" spans="1:11" ht="15.75" x14ac:dyDescent="0.25">
      <c r="A108" s="263"/>
      <c r="B108" s="263" t="s">
        <v>150</v>
      </c>
      <c r="C108" s="263">
        <f>C105-C112</f>
        <v>1</v>
      </c>
      <c r="D108" s="263"/>
      <c r="E108" s="263"/>
      <c r="F108" s="263"/>
      <c r="G108" s="63"/>
      <c r="H108" s="63"/>
      <c r="I108" s="63"/>
      <c r="J108" s="63"/>
      <c r="K108" s="63"/>
    </row>
    <row r="109" spans="1:11" ht="15.75" x14ac:dyDescent="0.25">
      <c r="A109" s="263"/>
      <c r="B109" s="263" t="s">
        <v>154</v>
      </c>
      <c r="C109" s="263">
        <v>24</v>
      </c>
      <c r="D109" s="263" t="s">
        <v>164</v>
      </c>
      <c r="E109" s="263" t="s">
        <v>113</v>
      </c>
      <c r="F109" s="263" t="s">
        <v>165</v>
      </c>
      <c r="G109" s="63"/>
      <c r="H109" s="63"/>
      <c r="I109" s="63"/>
      <c r="J109" s="63"/>
      <c r="K109" s="63"/>
    </row>
    <row r="110" spans="1:11" ht="15.75" x14ac:dyDescent="0.25">
      <c r="A110" s="263"/>
      <c r="B110" s="263" t="s">
        <v>322</v>
      </c>
      <c r="C110" s="263">
        <f>((D110*D110/162)*E110)+F110</f>
        <v>33.481481481481481</v>
      </c>
      <c r="D110" s="263">
        <v>50</v>
      </c>
      <c r="E110" s="263">
        <v>2.04</v>
      </c>
      <c r="F110" s="263">
        <v>2</v>
      </c>
      <c r="G110" s="63"/>
      <c r="H110" s="63"/>
      <c r="I110" s="63"/>
      <c r="J110" s="63"/>
      <c r="K110" s="63"/>
    </row>
    <row r="111" spans="1:11" ht="15.75" x14ac:dyDescent="0.25">
      <c r="A111" s="263"/>
      <c r="B111" s="263" t="s">
        <v>323</v>
      </c>
      <c r="C111" s="263">
        <v>0.05</v>
      </c>
      <c r="D111" s="263"/>
      <c r="E111" s="263"/>
      <c r="F111" s="263"/>
      <c r="G111" s="63"/>
      <c r="H111" s="63"/>
      <c r="I111" s="63"/>
      <c r="J111" s="63"/>
      <c r="K111" s="63"/>
    </row>
    <row r="112" spans="1:11" ht="15.75" x14ac:dyDescent="0.25">
      <c r="A112" s="263"/>
      <c r="B112" s="263" t="s">
        <v>159</v>
      </c>
      <c r="C112" s="263">
        <v>0.05</v>
      </c>
      <c r="D112" s="263"/>
      <c r="E112" s="263"/>
      <c r="F112" s="263"/>
      <c r="G112" s="63"/>
      <c r="H112" s="63"/>
      <c r="I112" s="63"/>
      <c r="J112" s="63"/>
      <c r="K112" s="63"/>
    </row>
    <row r="113" spans="1:11" ht="15.75" x14ac:dyDescent="0.25">
      <c r="A113" s="263"/>
      <c r="B113" s="263"/>
      <c r="C113" s="263"/>
      <c r="D113" s="263"/>
      <c r="E113" s="263"/>
      <c r="F113" s="263"/>
      <c r="G113" s="63"/>
      <c r="H113" s="63"/>
      <c r="I113" s="63"/>
      <c r="J113" s="63"/>
      <c r="K113" s="63"/>
    </row>
    <row r="114" spans="1:11" ht="15.75" x14ac:dyDescent="0.25">
      <c r="A114" s="269"/>
      <c r="B114" s="268" t="s">
        <v>141</v>
      </c>
      <c r="C114" s="268"/>
      <c r="D114" s="270"/>
      <c r="E114" s="268"/>
      <c r="F114" s="268"/>
      <c r="G114" s="40"/>
      <c r="H114" s="78"/>
      <c r="I114" s="96"/>
      <c r="J114" s="68"/>
      <c r="K114" s="131"/>
    </row>
    <row r="115" spans="1:11" ht="15.75" x14ac:dyDescent="0.25">
      <c r="A115" s="113" t="s">
        <v>95</v>
      </c>
      <c r="B115" s="141" t="s">
        <v>69</v>
      </c>
      <c r="C115" s="30"/>
      <c r="D115" s="67"/>
      <c r="E115" s="46"/>
      <c r="F115" s="46"/>
      <c r="G115" s="46"/>
      <c r="H115" s="78"/>
      <c r="I115" s="96"/>
      <c r="J115" s="68"/>
      <c r="K115" s="131"/>
    </row>
    <row r="116" spans="1:11" ht="15.75" x14ac:dyDescent="0.25">
      <c r="A116" s="30"/>
      <c r="B116" s="34" t="s">
        <v>324</v>
      </c>
      <c r="C116" s="27">
        <v>0</v>
      </c>
      <c r="D116" s="6"/>
      <c r="E116" s="46"/>
      <c r="F116" s="46"/>
      <c r="G116" s="71">
        <f>C116</f>
        <v>0</v>
      </c>
      <c r="H116" s="74" t="s">
        <v>4</v>
      </c>
      <c r="I116" s="21">
        <v>305703.42</v>
      </c>
      <c r="J116" s="70">
        <f>G116*I116</f>
        <v>0</v>
      </c>
      <c r="K116" s="131"/>
    </row>
    <row r="117" spans="1:11" ht="15.75" x14ac:dyDescent="0.25">
      <c r="A117" s="30"/>
      <c r="B117" s="34" t="s">
        <v>70</v>
      </c>
      <c r="C117" s="27">
        <v>0</v>
      </c>
      <c r="D117" s="6"/>
      <c r="E117" s="46"/>
      <c r="F117" s="46"/>
      <c r="G117" s="71">
        <f>C117</f>
        <v>0</v>
      </c>
      <c r="H117" s="74" t="s">
        <v>4</v>
      </c>
      <c r="I117" s="21">
        <v>229277.57</v>
      </c>
      <c r="J117" s="70">
        <f t="shared" ref="J117:J120" si="16">G117*I117</f>
        <v>0</v>
      </c>
      <c r="K117" s="131"/>
    </row>
    <row r="118" spans="1:11" ht="15.75" x14ac:dyDescent="0.25">
      <c r="A118" s="30"/>
      <c r="B118" s="34" t="s">
        <v>71</v>
      </c>
      <c r="C118" s="27">
        <f>C101</f>
        <v>20</v>
      </c>
      <c r="D118" s="6">
        <v>18</v>
      </c>
      <c r="E118" s="46"/>
      <c r="F118" s="46"/>
      <c r="G118" s="71">
        <f>C118*D118</f>
        <v>360</v>
      </c>
      <c r="H118" s="74" t="s">
        <v>39</v>
      </c>
      <c r="I118" s="21">
        <v>2394.6799999999998</v>
      </c>
      <c r="J118" s="70">
        <f t="shared" si="16"/>
        <v>862084.79999999993</v>
      </c>
      <c r="K118" s="131"/>
    </row>
    <row r="119" spans="1:11" ht="15.75" x14ac:dyDescent="0.25">
      <c r="A119" s="30"/>
      <c r="B119" s="34" t="s">
        <v>31</v>
      </c>
      <c r="C119" s="27">
        <f>C101</f>
        <v>20</v>
      </c>
      <c r="D119" s="6"/>
      <c r="E119" s="46"/>
      <c r="F119" s="46"/>
      <c r="G119" s="71">
        <f>C119</f>
        <v>20</v>
      </c>
      <c r="H119" s="74" t="s">
        <v>67</v>
      </c>
      <c r="I119" s="21">
        <v>509.51</v>
      </c>
      <c r="J119" s="70">
        <f t="shared" si="16"/>
        <v>10190.200000000001</v>
      </c>
      <c r="K119" s="131"/>
    </row>
    <row r="120" spans="1:11" ht="15.75" x14ac:dyDescent="0.25">
      <c r="A120" s="30"/>
      <c r="B120" s="37" t="s">
        <v>32</v>
      </c>
      <c r="C120" s="27">
        <f>C101</f>
        <v>20</v>
      </c>
      <c r="D120" s="6"/>
      <c r="E120" s="46"/>
      <c r="F120" s="46"/>
      <c r="G120" s="71">
        <f>C120</f>
        <v>20</v>
      </c>
      <c r="H120" s="74" t="s">
        <v>67</v>
      </c>
      <c r="I120" s="21">
        <v>1273.76</v>
      </c>
      <c r="J120" s="70">
        <f t="shared" si="16"/>
        <v>25475.200000000001</v>
      </c>
      <c r="K120" s="131"/>
    </row>
    <row r="121" spans="1:11" ht="15.75" x14ac:dyDescent="0.25">
      <c r="A121" s="38" t="s">
        <v>96</v>
      </c>
      <c r="B121" s="140" t="s">
        <v>207</v>
      </c>
      <c r="C121" s="46"/>
      <c r="D121" s="14"/>
      <c r="E121" s="46"/>
      <c r="F121" s="46"/>
      <c r="G121" s="46"/>
      <c r="H121" s="78"/>
      <c r="I121" s="96"/>
      <c r="J121" s="68"/>
      <c r="K121" s="131"/>
    </row>
    <row r="122" spans="1:11" ht="15.75" x14ac:dyDescent="0.25">
      <c r="A122" s="47">
        <v>1</v>
      </c>
      <c r="B122" s="48" t="s">
        <v>60</v>
      </c>
      <c r="C122" s="48">
        <v>1</v>
      </c>
      <c r="D122" s="8">
        <f>C103+0.5</f>
        <v>9.6999999999999993</v>
      </c>
      <c r="E122" s="8">
        <f>D122</f>
        <v>9.6999999999999993</v>
      </c>
      <c r="F122" s="48">
        <f>C107</f>
        <v>0.7</v>
      </c>
      <c r="G122" s="8">
        <f>D122*E122*F122</f>
        <v>65.862999999999985</v>
      </c>
      <c r="H122" s="75" t="s">
        <v>51</v>
      </c>
      <c r="I122" s="97">
        <v>315.89</v>
      </c>
      <c r="J122" s="69">
        <f>G122*I122</f>
        <v>20805.463069999994</v>
      </c>
      <c r="K122" s="131"/>
    </row>
    <row r="123" spans="1:11" ht="15.75" x14ac:dyDescent="0.25">
      <c r="A123" s="47">
        <v>2</v>
      </c>
      <c r="B123" s="48" t="s">
        <v>61</v>
      </c>
      <c r="C123" s="48"/>
      <c r="D123" s="8"/>
      <c r="E123" s="48"/>
      <c r="F123" s="48"/>
      <c r="G123" s="8">
        <f>G122</f>
        <v>65.862999999999985</v>
      </c>
      <c r="H123" s="75" t="s">
        <v>51</v>
      </c>
      <c r="I123" s="97">
        <v>100</v>
      </c>
      <c r="J123" s="69">
        <f t="shared" ref="J123" si="17">G123*I123</f>
        <v>6586.2999999999984</v>
      </c>
      <c r="K123" s="131"/>
    </row>
    <row r="124" spans="1:11" ht="15.75" x14ac:dyDescent="0.25">
      <c r="A124" s="47">
        <v>3</v>
      </c>
      <c r="B124" s="48" t="s">
        <v>163</v>
      </c>
      <c r="C124" s="48">
        <v>3.14</v>
      </c>
      <c r="D124" s="8">
        <f>C103/2</f>
        <v>4.5999999999999996</v>
      </c>
      <c r="E124" s="8">
        <f>D124</f>
        <v>4.5999999999999996</v>
      </c>
      <c r="F124" s="48">
        <f>C106</f>
        <v>0.6</v>
      </c>
      <c r="G124" s="8">
        <f>C124*D124*E124*F124</f>
        <v>39.865439999999992</v>
      </c>
      <c r="H124" s="75"/>
      <c r="I124" s="97"/>
      <c r="J124" s="69"/>
      <c r="K124" s="131"/>
    </row>
    <row r="125" spans="1:11" ht="15.75" x14ac:dyDescent="0.25">
      <c r="A125" s="47"/>
      <c r="B125" s="48" t="s">
        <v>151</v>
      </c>
      <c r="C125" s="48">
        <v>3.14</v>
      </c>
      <c r="D125" s="8">
        <f>C103-C104</f>
        <v>8.6</v>
      </c>
      <c r="E125" s="8">
        <f>C104</f>
        <v>0.59999999999999964</v>
      </c>
      <c r="F125" s="48">
        <f>C105</f>
        <v>1.05</v>
      </c>
      <c r="G125" s="8">
        <f>C125*D125*E125*F125</f>
        <v>17.012519999999991</v>
      </c>
      <c r="H125" s="75"/>
      <c r="I125" s="97"/>
      <c r="J125" s="69"/>
      <c r="K125" s="131"/>
    </row>
    <row r="126" spans="1:11" ht="15.75" x14ac:dyDescent="0.25">
      <c r="A126" s="47"/>
      <c r="B126" s="48" t="s">
        <v>158</v>
      </c>
      <c r="C126" s="48">
        <v>1</v>
      </c>
      <c r="D126" s="8">
        <v>1.3</v>
      </c>
      <c r="E126" s="8">
        <v>1.3</v>
      </c>
      <c r="F126" s="48">
        <f>F125</f>
        <v>1.05</v>
      </c>
      <c r="G126" s="8">
        <f>C126*D126*E126*F126</f>
        <v>1.7745000000000002</v>
      </c>
      <c r="H126" s="75"/>
      <c r="I126" s="97"/>
      <c r="J126" s="69"/>
      <c r="K126" s="131"/>
    </row>
    <row r="127" spans="1:11" ht="15.75" x14ac:dyDescent="0.25">
      <c r="A127" s="47"/>
      <c r="B127" s="48" t="s">
        <v>160</v>
      </c>
      <c r="C127" s="48">
        <v>3.14</v>
      </c>
      <c r="D127" s="8">
        <f>(C103+3)/2</f>
        <v>6.1</v>
      </c>
      <c r="E127" s="8">
        <f>D127</f>
        <v>6.1</v>
      </c>
      <c r="F127" s="48">
        <v>0.15</v>
      </c>
      <c r="G127" s="8">
        <f t="shared" ref="G127:G128" si="18">C127*D127*E127*F127</f>
        <v>17.52591</v>
      </c>
      <c r="H127" s="75"/>
      <c r="I127" s="97"/>
      <c r="J127" s="69"/>
      <c r="K127" s="131"/>
    </row>
    <row r="128" spans="1:11" ht="15.75" x14ac:dyDescent="0.25">
      <c r="A128" s="47"/>
      <c r="B128" s="48" t="s">
        <v>161</v>
      </c>
      <c r="C128" s="48">
        <v>3.14</v>
      </c>
      <c r="D128" s="8">
        <f>D127-(D127-0.2)</f>
        <v>0.20000000000000018</v>
      </c>
      <c r="E128" s="8">
        <f>D127</f>
        <v>6.1</v>
      </c>
      <c r="F128" s="48">
        <f>0.75-0.15</f>
        <v>0.6</v>
      </c>
      <c r="G128" s="8">
        <f t="shared" si="18"/>
        <v>2.2984800000000019</v>
      </c>
      <c r="H128" s="75"/>
      <c r="I128" s="97"/>
      <c r="J128" s="69"/>
      <c r="K128" s="131"/>
    </row>
    <row r="129" spans="1:11" ht="15.75" x14ac:dyDescent="0.25">
      <c r="A129" s="47"/>
      <c r="B129" s="48"/>
      <c r="C129" s="48"/>
      <c r="D129" s="8"/>
      <c r="E129" s="8"/>
      <c r="F129" s="48" t="s">
        <v>37</v>
      </c>
      <c r="G129" s="8">
        <f>SUM(G124:G128)</f>
        <v>78.476849999999985</v>
      </c>
      <c r="H129" s="75" t="s">
        <v>51</v>
      </c>
      <c r="I129" s="97">
        <v>5329.43</v>
      </c>
      <c r="J129" s="69">
        <f t="shared" ref="J129" si="19">G129*I129</f>
        <v>418236.87869549997</v>
      </c>
      <c r="K129" s="131"/>
    </row>
    <row r="130" spans="1:11" ht="15.75" x14ac:dyDescent="0.25">
      <c r="A130" s="47">
        <v>4</v>
      </c>
      <c r="B130" s="48" t="s">
        <v>155</v>
      </c>
      <c r="C130" s="48">
        <v>3.14</v>
      </c>
      <c r="D130" s="8">
        <f>C102/2</f>
        <v>4</v>
      </c>
      <c r="E130" s="8">
        <f>D130</f>
        <v>4</v>
      </c>
      <c r="F130" s="48">
        <f>C108</f>
        <v>1</v>
      </c>
      <c r="G130" s="8">
        <f>D130*E130*F130</f>
        <v>16</v>
      </c>
      <c r="H130" s="75"/>
      <c r="I130" s="97"/>
      <c r="J130" s="69"/>
      <c r="K130" s="131"/>
    </row>
    <row r="131" spans="1:11" ht="15.75" x14ac:dyDescent="0.25">
      <c r="A131" s="47"/>
      <c r="B131" s="48" t="s">
        <v>156</v>
      </c>
      <c r="C131" s="48">
        <v>3.14</v>
      </c>
      <c r="D131" s="8">
        <f>(C103+0.2)/2</f>
        <v>4.6999999999999993</v>
      </c>
      <c r="E131" s="8">
        <f>D131</f>
        <v>4.6999999999999993</v>
      </c>
      <c r="F131" s="48">
        <v>0.05</v>
      </c>
      <c r="G131" s="8">
        <f t="shared" ref="G131:G132" si="20">D131*E131*F131</f>
        <v>1.1044999999999996</v>
      </c>
      <c r="H131" s="75"/>
      <c r="I131" s="97"/>
      <c r="J131" s="69"/>
      <c r="K131" s="131"/>
    </row>
    <row r="132" spans="1:11" ht="15.75" x14ac:dyDescent="0.25">
      <c r="A132" s="47"/>
      <c r="B132" s="48" t="s">
        <v>160</v>
      </c>
      <c r="C132" s="48">
        <v>3.14</v>
      </c>
      <c r="D132" s="8">
        <f>D127</f>
        <v>6.1</v>
      </c>
      <c r="E132" s="8">
        <f>D132</f>
        <v>6.1</v>
      </c>
      <c r="F132" s="48">
        <v>0.05</v>
      </c>
      <c r="G132" s="8">
        <f t="shared" si="20"/>
        <v>1.8604999999999998</v>
      </c>
      <c r="H132" s="75"/>
      <c r="I132" s="97"/>
      <c r="J132" s="69"/>
      <c r="K132" s="131"/>
    </row>
    <row r="133" spans="1:11" ht="15.75" x14ac:dyDescent="0.25">
      <c r="A133" s="47"/>
      <c r="B133" s="48"/>
      <c r="C133" s="48"/>
      <c r="D133" s="8"/>
      <c r="E133" s="8"/>
      <c r="F133" s="48" t="s">
        <v>37</v>
      </c>
      <c r="G133" s="8">
        <f>SUM(G130:G132)</f>
        <v>18.964999999999996</v>
      </c>
      <c r="H133" s="75" t="s">
        <v>51</v>
      </c>
      <c r="I133" s="97">
        <v>927.3</v>
      </c>
      <c r="J133" s="69">
        <f t="shared" ref="J133" si="21">G133*I133</f>
        <v>17586.244499999997</v>
      </c>
      <c r="K133" s="131"/>
    </row>
    <row r="134" spans="1:11" ht="15.75" x14ac:dyDescent="0.25">
      <c r="A134" s="47">
        <v>5</v>
      </c>
      <c r="B134" s="48" t="s">
        <v>152</v>
      </c>
      <c r="C134" s="48">
        <v>3.14</v>
      </c>
      <c r="D134" s="8">
        <f>C103</f>
        <v>9.1999999999999993</v>
      </c>
      <c r="E134" s="48"/>
      <c r="F134" s="48">
        <f>C105</f>
        <v>1.05</v>
      </c>
      <c r="G134" s="8">
        <f>C134*D134*F134</f>
        <v>30.3324</v>
      </c>
      <c r="H134" s="75"/>
      <c r="I134" s="97"/>
      <c r="J134" s="69"/>
      <c r="K134" s="131"/>
    </row>
    <row r="135" spans="1:11" ht="15.75" x14ac:dyDescent="0.25">
      <c r="A135" s="47"/>
      <c r="B135" s="48" t="s">
        <v>153</v>
      </c>
      <c r="C135" s="48">
        <v>3.14</v>
      </c>
      <c r="D135" s="8">
        <f>C102</f>
        <v>8</v>
      </c>
      <c r="E135" s="48"/>
      <c r="F135" s="48">
        <f>C105</f>
        <v>1.05</v>
      </c>
      <c r="G135" s="8">
        <f t="shared" ref="G135:G136" si="22">C135*D135*F135</f>
        <v>26.376000000000001</v>
      </c>
      <c r="H135" s="75"/>
      <c r="I135" s="97"/>
      <c r="J135" s="69"/>
      <c r="K135" s="131"/>
    </row>
    <row r="136" spans="1:11" ht="15.75" x14ac:dyDescent="0.25">
      <c r="A136" s="47"/>
      <c r="B136" s="48" t="s">
        <v>33</v>
      </c>
      <c r="C136" s="48">
        <v>3.14</v>
      </c>
      <c r="D136" s="8">
        <f>C103</f>
        <v>9.1999999999999993</v>
      </c>
      <c r="E136" s="48"/>
      <c r="F136" s="48">
        <f>C106</f>
        <v>0.6</v>
      </c>
      <c r="G136" s="8">
        <f t="shared" si="22"/>
        <v>17.332799999999999</v>
      </c>
      <c r="H136" s="75"/>
      <c r="I136" s="97"/>
      <c r="J136" s="69"/>
      <c r="K136" s="131"/>
    </row>
    <row r="137" spans="1:11" ht="15.75" x14ac:dyDescent="0.25">
      <c r="A137" s="47"/>
      <c r="B137" s="48" t="s">
        <v>161</v>
      </c>
      <c r="C137" s="48">
        <v>3.14</v>
      </c>
      <c r="D137" s="8">
        <v>2</v>
      </c>
      <c r="E137" s="8">
        <f>E128</f>
        <v>6.1</v>
      </c>
      <c r="F137" s="48">
        <f>0.75-0.15</f>
        <v>0.6</v>
      </c>
      <c r="G137" s="8">
        <f t="shared" ref="G137" si="23">C137*D137*E137*F137</f>
        <v>22.9848</v>
      </c>
      <c r="H137" s="75"/>
      <c r="I137" s="97"/>
      <c r="J137" s="69"/>
      <c r="K137" s="131"/>
    </row>
    <row r="138" spans="1:11" ht="15.75" x14ac:dyDescent="0.25">
      <c r="A138" s="47"/>
      <c r="B138" s="48"/>
      <c r="C138" s="48"/>
      <c r="D138" s="8"/>
      <c r="E138" s="48"/>
      <c r="F138" s="48" t="s">
        <v>37</v>
      </c>
      <c r="G138" s="8">
        <f>SUM(G134:G137)</f>
        <v>97.02600000000001</v>
      </c>
      <c r="H138" s="75" t="s">
        <v>36</v>
      </c>
      <c r="I138" s="97">
        <v>718.4</v>
      </c>
      <c r="J138" s="69">
        <f t="shared" ref="J138:J139" si="24">G138*I138</f>
        <v>69703.478400000007</v>
      </c>
      <c r="K138" s="131"/>
    </row>
    <row r="139" spans="1:11" ht="15.75" x14ac:dyDescent="0.25">
      <c r="A139" s="47">
        <v>6</v>
      </c>
      <c r="B139" s="48" t="s">
        <v>65</v>
      </c>
      <c r="C139" s="48">
        <f>C109</f>
        <v>24</v>
      </c>
      <c r="D139" s="8"/>
      <c r="E139" s="48">
        <f>C110</f>
        <v>33.481481481481481</v>
      </c>
      <c r="F139" s="48"/>
      <c r="G139" s="8">
        <f>C139*E139</f>
        <v>803.55555555555554</v>
      </c>
      <c r="H139" s="75" t="s">
        <v>56</v>
      </c>
      <c r="I139" s="97">
        <v>125</v>
      </c>
      <c r="J139" s="69">
        <f t="shared" si="24"/>
        <v>100444.44444444444</v>
      </c>
      <c r="K139" s="131"/>
    </row>
    <row r="140" spans="1:11" ht="15.75" x14ac:dyDescent="0.25">
      <c r="A140" s="47">
        <v>7</v>
      </c>
      <c r="B140" s="48" t="s">
        <v>73</v>
      </c>
      <c r="C140" s="48">
        <v>3.14</v>
      </c>
      <c r="D140" s="8">
        <f>(C103+0.2)/2</f>
        <v>4.6999999999999993</v>
      </c>
      <c r="E140" s="8">
        <f>D140</f>
        <v>4.6999999999999993</v>
      </c>
      <c r="F140" s="48">
        <v>0.05</v>
      </c>
      <c r="G140" s="8">
        <f>C140*D140*E140*F140</f>
        <v>3.4681299999999995</v>
      </c>
      <c r="H140" s="75"/>
      <c r="I140" s="97"/>
      <c r="J140" s="69"/>
      <c r="K140" s="131"/>
    </row>
    <row r="141" spans="1:11" ht="15.75" x14ac:dyDescent="0.25">
      <c r="A141" s="47"/>
      <c r="B141" s="48" t="s">
        <v>160</v>
      </c>
      <c r="C141" s="48">
        <v>3.14</v>
      </c>
      <c r="D141" s="8">
        <f>D132</f>
        <v>6.1</v>
      </c>
      <c r="E141" s="8">
        <f>D141</f>
        <v>6.1</v>
      </c>
      <c r="F141" s="48">
        <v>0.05</v>
      </c>
      <c r="G141" s="8">
        <f>C141*D141*E141*F141</f>
        <v>5.8419699999999999</v>
      </c>
      <c r="H141" s="75"/>
      <c r="I141" s="97"/>
      <c r="J141" s="69"/>
      <c r="K141" s="131"/>
    </row>
    <row r="142" spans="1:11" ht="15.75" x14ac:dyDescent="0.25">
      <c r="A142" s="47"/>
      <c r="B142" s="48"/>
      <c r="C142" s="48"/>
      <c r="D142" s="8"/>
      <c r="E142" s="8"/>
      <c r="F142" s="48" t="s">
        <v>37</v>
      </c>
      <c r="G142" s="8">
        <f>SUM(G140:G141)</f>
        <v>9.3100999999999985</v>
      </c>
      <c r="H142" s="75" t="s">
        <v>51</v>
      </c>
      <c r="I142" s="97">
        <v>3535.97</v>
      </c>
      <c r="J142" s="69">
        <f t="shared" ref="J142:J144" si="25">G142*I142</f>
        <v>32920.234296999995</v>
      </c>
      <c r="K142" s="131"/>
    </row>
    <row r="143" spans="1:11" ht="15.75" x14ac:dyDescent="0.25">
      <c r="A143" s="47">
        <v>8</v>
      </c>
      <c r="B143" s="48" t="s">
        <v>157</v>
      </c>
      <c r="C143" s="48">
        <v>3.14</v>
      </c>
      <c r="D143" s="8">
        <f>C102/2</f>
        <v>4</v>
      </c>
      <c r="E143" s="8">
        <f>D143</f>
        <v>4</v>
      </c>
      <c r="F143" s="48">
        <v>0.05</v>
      </c>
      <c r="G143" s="8">
        <f>C143*D143*E143</f>
        <v>50.24</v>
      </c>
      <c r="H143" s="75" t="s">
        <v>36</v>
      </c>
      <c r="I143" s="97">
        <v>750</v>
      </c>
      <c r="J143" s="69">
        <f t="shared" si="25"/>
        <v>37680</v>
      </c>
      <c r="K143" s="131"/>
    </row>
    <row r="144" spans="1:11" ht="15.75" x14ac:dyDescent="0.25">
      <c r="A144" s="47">
        <v>9</v>
      </c>
      <c r="B144" s="48" t="s">
        <v>63</v>
      </c>
      <c r="C144" s="48">
        <v>1</v>
      </c>
      <c r="D144" s="8"/>
      <c r="E144" s="8">
        <f>G129</f>
        <v>78.476849999999985</v>
      </c>
      <c r="F144" s="48">
        <v>100</v>
      </c>
      <c r="G144" s="8">
        <f>E144*F144</f>
        <v>7847.6849999999986</v>
      </c>
      <c r="H144" s="75" t="s">
        <v>56</v>
      </c>
      <c r="I144" s="97">
        <v>66.239999999999995</v>
      </c>
      <c r="J144" s="69">
        <f t="shared" si="25"/>
        <v>519830.65439999988</v>
      </c>
      <c r="K144" s="131"/>
    </row>
    <row r="145" spans="1:11" ht="15.75" x14ac:dyDescent="0.25">
      <c r="A145" s="47">
        <v>10</v>
      </c>
      <c r="B145" s="48" t="s">
        <v>166</v>
      </c>
      <c r="C145" s="48">
        <v>3.14</v>
      </c>
      <c r="D145" s="8">
        <f>C103/2</f>
        <v>4.5999999999999996</v>
      </c>
      <c r="E145" s="8">
        <f>D145</f>
        <v>4.5999999999999996</v>
      </c>
      <c r="F145" s="48">
        <f>12*7.85</f>
        <v>94.199999999999989</v>
      </c>
      <c r="G145" s="8">
        <f>C145*D145*E145*F145</f>
        <v>6258.8740799999987</v>
      </c>
      <c r="H145" s="75" t="s">
        <v>56</v>
      </c>
      <c r="I145" s="97">
        <v>81.52</v>
      </c>
      <c r="J145" s="69">
        <f>G145*I145</f>
        <v>510223.41500159987</v>
      </c>
      <c r="K145" s="131"/>
    </row>
    <row r="146" spans="1:11" ht="15.75" x14ac:dyDescent="0.25">
      <c r="A146" s="47"/>
      <c r="B146" s="48"/>
      <c r="C146" s="271"/>
      <c r="D146" s="272"/>
      <c r="E146" s="271" t="s">
        <v>26</v>
      </c>
      <c r="F146" s="272"/>
      <c r="G146" s="272">
        <v>4</v>
      </c>
      <c r="H146" s="272" t="s">
        <v>67</v>
      </c>
      <c r="I146" s="273">
        <v>4</v>
      </c>
      <c r="J146" s="274">
        <f>SUM(J116:J145)</f>
        <v>2631767.3128085444</v>
      </c>
      <c r="K146" s="265">
        <f>I146*J146</f>
        <v>10527069.251234178</v>
      </c>
    </row>
    <row r="147" spans="1:11" s="116" customFormat="1" ht="15.75" x14ac:dyDescent="0.25">
      <c r="A147" s="91"/>
      <c r="B147" s="26" t="s">
        <v>167</v>
      </c>
      <c r="C147" s="40"/>
      <c r="D147" s="13"/>
      <c r="E147" s="40"/>
      <c r="F147" s="40"/>
      <c r="G147" s="13"/>
      <c r="H147" s="78"/>
      <c r="I147" s="96"/>
      <c r="J147" s="68"/>
      <c r="K147" s="92"/>
    </row>
    <row r="148" spans="1:11" s="116" customFormat="1" ht="15.75" x14ac:dyDescent="0.25">
      <c r="A148" s="91"/>
      <c r="B148" s="42" t="s">
        <v>50</v>
      </c>
      <c r="C148" s="43">
        <v>2.1</v>
      </c>
      <c r="D148" s="66">
        <v>1.6</v>
      </c>
      <c r="E148" s="43">
        <v>1.2</v>
      </c>
      <c r="F148" s="43">
        <v>1</v>
      </c>
      <c r="G148" s="66">
        <f>F148*E148*D148*C148</f>
        <v>4.032</v>
      </c>
      <c r="H148" s="73" t="s">
        <v>51</v>
      </c>
      <c r="I148" s="94">
        <v>315.89</v>
      </c>
      <c r="J148" s="95">
        <f>I148*G148</f>
        <v>1273.66848</v>
      </c>
      <c r="K148" s="92"/>
    </row>
    <row r="149" spans="1:11" s="116" customFormat="1" ht="15.75" x14ac:dyDescent="0.25">
      <c r="A149" s="91"/>
      <c r="B149" s="42" t="s">
        <v>13</v>
      </c>
      <c r="C149" s="43">
        <f>C151+0.3</f>
        <v>1.8</v>
      </c>
      <c r="D149" s="66">
        <f>D148</f>
        <v>1.6</v>
      </c>
      <c r="E149" s="43">
        <v>0.23</v>
      </c>
      <c r="F149" s="43">
        <f>F148</f>
        <v>1</v>
      </c>
      <c r="G149" s="66">
        <f>F149*E149*D149*C149</f>
        <v>0.6624000000000001</v>
      </c>
      <c r="H149" s="73" t="s">
        <v>51</v>
      </c>
      <c r="I149" s="94">
        <v>950</v>
      </c>
      <c r="J149" s="95">
        <f>I149*G149</f>
        <v>629.28000000000009</v>
      </c>
      <c r="K149" s="92"/>
    </row>
    <row r="150" spans="1:11" s="116" customFormat="1" ht="15.75" x14ac:dyDescent="0.25">
      <c r="A150" s="91"/>
      <c r="B150" s="42" t="s">
        <v>53</v>
      </c>
      <c r="C150" s="43">
        <f>C149</f>
        <v>1.8</v>
      </c>
      <c r="D150" s="66">
        <f>D148</f>
        <v>1.6</v>
      </c>
      <c r="E150" s="43">
        <v>0.1</v>
      </c>
      <c r="F150" s="43">
        <f>F148</f>
        <v>1</v>
      </c>
      <c r="G150" s="66">
        <f>F150*E150*D150*C150</f>
        <v>0.28800000000000009</v>
      </c>
      <c r="H150" s="73" t="s">
        <v>51</v>
      </c>
      <c r="I150" s="94">
        <v>3535.97</v>
      </c>
      <c r="J150" s="95">
        <f>I150*G150</f>
        <v>1018.3593600000003</v>
      </c>
      <c r="K150" s="92"/>
    </row>
    <row r="151" spans="1:11" s="116" customFormat="1" ht="15.75" x14ac:dyDescent="0.25">
      <c r="A151" s="91"/>
      <c r="B151" s="42" t="s">
        <v>54</v>
      </c>
      <c r="C151" s="43">
        <v>1.5</v>
      </c>
      <c r="D151" s="66">
        <v>1</v>
      </c>
      <c r="E151" s="43">
        <v>0.75</v>
      </c>
      <c r="F151" s="43">
        <f>F148</f>
        <v>1</v>
      </c>
      <c r="G151" s="66">
        <f>F151*E151*D151*C151</f>
        <v>1.125</v>
      </c>
      <c r="H151" s="73" t="s">
        <v>51</v>
      </c>
      <c r="I151" s="94"/>
      <c r="J151" s="95"/>
      <c r="K151" s="92"/>
    </row>
    <row r="152" spans="1:11" s="116" customFormat="1" ht="15.75" x14ac:dyDescent="0.25">
      <c r="A152" s="91"/>
      <c r="B152" s="42"/>
      <c r="C152" s="43"/>
      <c r="D152" s="66"/>
      <c r="E152" s="43"/>
      <c r="F152" s="43"/>
      <c r="G152" s="66">
        <f>G151</f>
        <v>1.125</v>
      </c>
      <c r="H152" s="73" t="s">
        <v>51</v>
      </c>
      <c r="I152" s="94">
        <v>5329.43</v>
      </c>
      <c r="J152" s="95">
        <f>I152*G152</f>
        <v>5995.6087500000003</v>
      </c>
      <c r="K152" s="92"/>
    </row>
    <row r="153" spans="1:11" s="116" customFormat="1" ht="15.75" x14ac:dyDescent="0.25">
      <c r="A153" s="91"/>
      <c r="B153" s="42" t="s">
        <v>55</v>
      </c>
      <c r="C153" s="43">
        <f>G152</f>
        <v>1.125</v>
      </c>
      <c r="D153" s="66"/>
      <c r="E153" s="43"/>
      <c r="F153" s="43">
        <v>8</v>
      </c>
      <c r="G153" s="66">
        <f>F153*C153</f>
        <v>9</v>
      </c>
      <c r="H153" s="73" t="s">
        <v>36</v>
      </c>
      <c r="I153" s="94">
        <v>718.4</v>
      </c>
      <c r="J153" s="95">
        <f t="shared" ref="J153:J157" si="26">I153*G153</f>
        <v>6465.5999999999995</v>
      </c>
      <c r="K153" s="92"/>
    </row>
    <row r="154" spans="1:11" s="116" customFormat="1" ht="15.75" x14ac:dyDescent="0.25">
      <c r="A154" s="91"/>
      <c r="B154" s="42" t="s">
        <v>5</v>
      </c>
      <c r="C154" s="43">
        <f>G152</f>
        <v>1.125</v>
      </c>
      <c r="D154" s="66"/>
      <c r="E154" s="43"/>
      <c r="F154" s="43">
        <v>125</v>
      </c>
      <c r="G154" s="66">
        <f>F154*C154</f>
        <v>140.625</v>
      </c>
      <c r="H154" s="73" t="s">
        <v>56</v>
      </c>
      <c r="I154" s="94">
        <v>66.239999999999995</v>
      </c>
      <c r="J154" s="95">
        <f t="shared" si="26"/>
        <v>9315</v>
      </c>
      <c r="K154" s="92"/>
    </row>
    <row r="155" spans="1:11" s="116" customFormat="1" ht="15.75" x14ac:dyDescent="0.25">
      <c r="A155" s="91"/>
      <c r="B155" s="42" t="s">
        <v>44</v>
      </c>
      <c r="C155" s="43">
        <f>G148-G149-G150-G151</f>
        <v>1.9565999999999999</v>
      </c>
      <c r="D155" s="66"/>
      <c r="E155" s="43"/>
      <c r="F155" s="43">
        <v>1</v>
      </c>
      <c r="G155" s="66">
        <f>F155*C155</f>
        <v>1.9565999999999999</v>
      </c>
      <c r="H155" s="73" t="s">
        <v>51</v>
      </c>
      <c r="I155" s="94">
        <v>183.42</v>
      </c>
      <c r="J155" s="95">
        <f t="shared" si="26"/>
        <v>358.87957199999994</v>
      </c>
      <c r="K155" s="92"/>
    </row>
    <row r="156" spans="1:11" s="116" customFormat="1" ht="15.75" x14ac:dyDescent="0.25">
      <c r="A156" s="91"/>
      <c r="B156" s="42" t="s">
        <v>57</v>
      </c>
      <c r="C156" s="43">
        <v>6</v>
      </c>
      <c r="D156" s="66"/>
      <c r="E156" s="43"/>
      <c r="F156" s="43">
        <v>1</v>
      </c>
      <c r="G156" s="66">
        <f>F156*C156</f>
        <v>6</v>
      </c>
      <c r="H156" s="73" t="s">
        <v>9</v>
      </c>
      <c r="I156" s="94">
        <v>400</v>
      </c>
      <c r="J156" s="95">
        <f t="shared" si="26"/>
        <v>2400</v>
      </c>
      <c r="K156" s="92"/>
    </row>
    <row r="157" spans="1:11" s="116" customFormat="1" ht="15.75" x14ac:dyDescent="0.25">
      <c r="A157" s="91"/>
      <c r="B157" s="42" t="s">
        <v>58</v>
      </c>
      <c r="C157" s="43">
        <v>0.1</v>
      </c>
      <c r="D157" s="66">
        <v>0.1</v>
      </c>
      <c r="E157" s="43">
        <v>0.3</v>
      </c>
      <c r="F157" s="43">
        <f>G156</f>
        <v>6</v>
      </c>
      <c r="G157" s="66">
        <f>C157*D157*E157*F157</f>
        <v>1.8000000000000002E-2</v>
      </c>
      <c r="H157" s="73" t="s">
        <v>51</v>
      </c>
      <c r="I157" s="94">
        <f>I190</f>
        <v>110053.2</v>
      </c>
      <c r="J157" s="95">
        <f t="shared" si="26"/>
        <v>1980.9576000000002</v>
      </c>
      <c r="K157" s="92"/>
    </row>
    <row r="158" spans="1:11" s="116" customFormat="1" ht="15.75" x14ac:dyDescent="0.25">
      <c r="A158" s="91"/>
      <c r="B158" s="91"/>
      <c r="C158" s="91"/>
      <c r="D158" s="91"/>
      <c r="E158" s="271" t="s">
        <v>26</v>
      </c>
      <c r="F158" s="272"/>
      <c r="G158" s="272"/>
      <c r="H158" s="272"/>
      <c r="I158" s="275">
        <v>6</v>
      </c>
      <c r="J158" s="276">
        <f>SUM(J148:J157)</f>
        <v>29437.353762000002</v>
      </c>
      <c r="K158" s="277">
        <f>I158*J158</f>
        <v>176624.12257200002</v>
      </c>
    </row>
    <row r="159" spans="1:11" ht="18.75" x14ac:dyDescent="0.3">
      <c r="A159" s="15">
        <v>2</v>
      </c>
      <c r="B159" s="139" t="s">
        <v>309</v>
      </c>
      <c r="C159" s="83"/>
      <c r="D159" s="83"/>
      <c r="E159" s="83"/>
      <c r="F159" s="83"/>
      <c r="G159" s="83"/>
      <c r="H159" s="83"/>
      <c r="I159" s="83"/>
      <c r="J159" s="83"/>
      <c r="K159" s="10"/>
    </row>
    <row r="160" spans="1:11" x14ac:dyDescent="0.25">
      <c r="A160" s="16"/>
      <c r="B160" s="16" t="s">
        <v>139</v>
      </c>
      <c r="C160" s="84">
        <v>10</v>
      </c>
      <c r="D160" s="16"/>
      <c r="E160" s="16"/>
      <c r="F160" s="12"/>
      <c r="G160" s="85"/>
      <c r="H160" s="85"/>
      <c r="I160" s="85"/>
      <c r="J160" s="12"/>
      <c r="K160" s="10"/>
    </row>
    <row r="161" spans="1:11" x14ac:dyDescent="0.25">
      <c r="A161" s="16"/>
      <c r="B161" s="16" t="s">
        <v>140</v>
      </c>
      <c r="C161" s="84">
        <v>1.5</v>
      </c>
      <c r="D161" s="84">
        <v>1.5</v>
      </c>
      <c r="E161" s="84">
        <v>0.3</v>
      </c>
      <c r="F161" s="12"/>
      <c r="G161" s="86"/>
      <c r="H161" s="86"/>
      <c r="I161" s="86"/>
      <c r="J161" s="12"/>
      <c r="K161" s="10"/>
    </row>
    <row r="162" spans="1:11" x14ac:dyDescent="0.25">
      <c r="A162" s="16"/>
      <c r="B162" s="16" t="s">
        <v>310</v>
      </c>
      <c r="C162" s="84">
        <v>1</v>
      </c>
      <c r="D162" s="84">
        <v>0.5</v>
      </c>
      <c r="E162" s="87"/>
      <c r="F162" s="88"/>
      <c r="G162" s="88"/>
      <c r="H162" s="88"/>
      <c r="I162" s="88"/>
      <c r="J162" s="86"/>
      <c r="K162" s="10"/>
    </row>
    <row r="163" spans="1:11" x14ac:dyDescent="0.25">
      <c r="A163" s="16"/>
      <c r="B163" s="16" t="s">
        <v>311</v>
      </c>
      <c r="C163" s="84">
        <v>2.2999999999999998</v>
      </c>
      <c r="D163" s="16"/>
      <c r="E163" s="16"/>
      <c r="F163" s="12"/>
      <c r="G163" s="89"/>
      <c r="H163" s="89"/>
      <c r="I163" s="89"/>
      <c r="J163" s="89"/>
      <c r="K163" s="10"/>
    </row>
    <row r="164" spans="1:11" x14ac:dyDescent="0.25">
      <c r="A164" s="122" t="s">
        <v>141</v>
      </c>
      <c r="B164" s="123"/>
      <c r="C164" s="123"/>
      <c r="D164" s="123"/>
      <c r="E164" s="123"/>
      <c r="F164" s="123"/>
      <c r="G164" s="123"/>
      <c r="H164" s="123"/>
      <c r="I164" s="123"/>
      <c r="J164" s="124"/>
      <c r="K164" s="1"/>
    </row>
    <row r="165" spans="1:11" x14ac:dyDescent="0.25">
      <c r="A165" s="1"/>
      <c r="B165" s="1" t="s">
        <v>130</v>
      </c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0"/>
      <c r="B166" s="10" t="s">
        <v>116</v>
      </c>
      <c r="C166" s="10">
        <f>C160</f>
        <v>10</v>
      </c>
      <c r="D166" s="10">
        <f>C161+0.6</f>
        <v>2.1</v>
      </c>
      <c r="E166" s="10">
        <f>D161+0.6</f>
        <v>2.1</v>
      </c>
      <c r="F166" s="10">
        <f>C163+0.45+0.3</f>
        <v>3.05</v>
      </c>
      <c r="G166" s="3">
        <f>C166*D166*E166*F166</f>
        <v>134.505</v>
      </c>
      <c r="H166" s="10"/>
      <c r="I166" s="10"/>
      <c r="J166" s="10"/>
      <c r="K166" s="10"/>
    </row>
    <row r="167" spans="1:11" x14ac:dyDescent="0.25">
      <c r="A167" s="10"/>
      <c r="B167" s="10"/>
      <c r="C167" s="10"/>
      <c r="D167" s="10"/>
      <c r="E167" s="10"/>
      <c r="F167" s="1" t="s">
        <v>37</v>
      </c>
      <c r="G167" s="4">
        <f>SUM(G166:G166)</f>
        <v>134.505</v>
      </c>
      <c r="H167" s="10" t="s">
        <v>40</v>
      </c>
      <c r="I167" s="10">
        <f>315.89</f>
        <v>315.89</v>
      </c>
      <c r="J167" s="3">
        <f>G167*I167</f>
        <v>42488.784449999999</v>
      </c>
      <c r="K167" s="10"/>
    </row>
    <row r="168" spans="1:11" x14ac:dyDescent="0.25">
      <c r="A168" s="10"/>
      <c r="B168" s="10" t="s">
        <v>131</v>
      </c>
      <c r="C168" s="10">
        <f>C160</f>
        <v>10</v>
      </c>
      <c r="D168" s="10">
        <f>C161+0.3</f>
        <v>1.8</v>
      </c>
      <c r="E168" s="10">
        <f>D161+0.3</f>
        <v>1.8</v>
      </c>
      <c r="F168" s="10">
        <v>0.23</v>
      </c>
      <c r="G168" s="3">
        <f>C168*D168*E168*F168</f>
        <v>7.452</v>
      </c>
      <c r="H168" s="10"/>
      <c r="I168" s="10"/>
      <c r="J168" s="3">
        <f t="shared" ref="J168:J195" si="27">G168*I168</f>
        <v>0</v>
      </c>
      <c r="K168" s="10"/>
    </row>
    <row r="169" spans="1:11" x14ac:dyDescent="0.25">
      <c r="A169" s="10"/>
      <c r="B169" s="10"/>
      <c r="C169" s="10"/>
      <c r="D169" s="10"/>
      <c r="E169" s="10"/>
      <c r="F169" s="1" t="s">
        <v>37</v>
      </c>
      <c r="G169" s="4">
        <f>SUM(G168:G168)</f>
        <v>7.452</v>
      </c>
      <c r="H169" s="10" t="s">
        <v>40</v>
      </c>
      <c r="I169" s="10">
        <v>950</v>
      </c>
      <c r="J169" s="3">
        <f t="shared" si="27"/>
        <v>7079.4</v>
      </c>
      <c r="K169" s="10"/>
    </row>
    <row r="170" spans="1:11" x14ac:dyDescent="0.25">
      <c r="A170" s="10"/>
      <c r="B170" s="10" t="s">
        <v>132</v>
      </c>
      <c r="C170" s="10">
        <f>C160</f>
        <v>10</v>
      </c>
      <c r="D170" s="10">
        <f>C161+0.2</f>
        <v>1.7</v>
      </c>
      <c r="E170" s="10">
        <f>D161+0.2</f>
        <v>1.7</v>
      </c>
      <c r="F170" s="10">
        <v>7.4999999999999997E-2</v>
      </c>
      <c r="G170" s="3">
        <f>C170*D170*E170*F170</f>
        <v>2.1675</v>
      </c>
      <c r="H170" s="10"/>
      <c r="I170" s="10"/>
      <c r="J170" s="3">
        <f t="shared" si="27"/>
        <v>0</v>
      </c>
      <c r="K170" s="10"/>
    </row>
    <row r="171" spans="1:11" x14ac:dyDescent="0.25">
      <c r="A171" s="10"/>
      <c r="B171" s="10"/>
      <c r="C171" s="10"/>
      <c r="D171" s="10"/>
      <c r="E171" s="10"/>
      <c r="F171" s="1" t="s">
        <v>37</v>
      </c>
      <c r="G171" s="4">
        <f>SUM(G170:G170)</f>
        <v>2.1675</v>
      </c>
      <c r="H171" s="10" t="s">
        <v>40</v>
      </c>
      <c r="I171" s="10">
        <v>3535.97</v>
      </c>
      <c r="J171" s="3">
        <f t="shared" si="27"/>
        <v>7664.2149749999999</v>
      </c>
      <c r="K171" s="10"/>
    </row>
    <row r="172" spans="1:11" x14ac:dyDescent="0.25">
      <c r="A172" s="10"/>
      <c r="B172" s="10" t="s">
        <v>133</v>
      </c>
      <c r="C172" s="10"/>
      <c r="D172" s="10"/>
      <c r="E172" s="10"/>
      <c r="F172" s="10"/>
      <c r="G172" s="3"/>
      <c r="H172" s="10"/>
      <c r="I172" s="10"/>
      <c r="J172" s="3">
        <f t="shared" si="27"/>
        <v>0</v>
      </c>
      <c r="K172" s="10"/>
    </row>
    <row r="173" spans="1:11" x14ac:dyDescent="0.25">
      <c r="A173" s="10"/>
      <c r="B173" s="10" t="s">
        <v>312</v>
      </c>
      <c r="C173" s="10">
        <f>C160</f>
        <v>10</v>
      </c>
      <c r="D173" s="10">
        <f>C161</f>
        <v>1.5</v>
      </c>
      <c r="E173" s="10">
        <f>D161</f>
        <v>1.5</v>
      </c>
      <c r="F173" s="10">
        <f>E161</f>
        <v>0.3</v>
      </c>
      <c r="G173" s="3">
        <f>C173*D173*E173*F173</f>
        <v>6.75</v>
      </c>
      <c r="H173" s="10"/>
      <c r="I173" s="10"/>
      <c r="J173" s="3">
        <f t="shared" si="27"/>
        <v>0</v>
      </c>
      <c r="K173" s="10"/>
    </row>
    <row r="174" spans="1:11" x14ac:dyDescent="0.25">
      <c r="A174" s="10"/>
      <c r="B174" s="10" t="s">
        <v>313</v>
      </c>
      <c r="C174" s="10">
        <f>C160</f>
        <v>10</v>
      </c>
      <c r="D174" s="10">
        <f>C162</f>
        <v>1</v>
      </c>
      <c r="E174" s="10">
        <f>D162</f>
        <v>0.5</v>
      </c>
      <c r="F174" s="10">
        <f>C163</f>
        <v>2.2999999999999998</v>
      </c>
      <c r="G174" s="3">
        <f>C174*D174*E174*F174</f>
        <v>11.5</v>
      </c>
      <c r="H174" s="10"/>
      <c r="I174" s="10"/>
      <c r="J174" s="3">
        <f t="shared" si="27"/>
        <v>0</v>
      </c>
      <c r="K174" s="10"/>
    </row>
    <row r="175" spans="1:11" x14ac:dyDescent="0.25">
      <c r="A175" s="10"/>
      <c r="B175" s="10"/>
      <c r="C175" s="10"/>
      <c r="D175" s="10"/>
      <c r="E175" s="10"/>
      <c r="F175" s="1" t="s">
        <v>37</v>
      </c>
      <c r="G175" s="4">
        <f>SUM(G173:G174)</f>
        <v>18.25</v>
      </c>
      <c r="H175" s="10" t="s">
        <v>40</v>
      </c>
      <c r="I175" s="10">
        <v>5329.43</v>
      </c>
      <c r="J175" s="3">
        <f t="shared" si="27"/>
        <v>97262.097500000003</v>
      </c>
      <c r="K175" s="10"/>
    </row>
    <row r="176" spans="1:11" x14ac:dyDescent="0.25">
      <c r="A176" s="10"/>
      <c r="B176" s="10" t="s">
        <v>134</v>
      </c>
      <c r="C176" s="10"/>
      <c r="D176" s="10"/>
      <c r="E176" s="10"/>
      <c r="F176" s="10"/>
      <c r="G176" s="3"/>
      <c r="H176" s="10"/>
      <c r="I176" s="10"/>
      <c r="J176" s="3">
        <f t="shared" si="27"/>
        <v>0</v>
      </c>
      <c r="K176" s="10"/>
    </row>
    <row r="177" spans="1:11" x14ac:dyDescent="0.25">
      <c r="A177" s="10"/>
      <c r="B177" s="10" t="s">
        <v>135</v>
      </c>
      <c r="C177" s="10">
        <f>C160</f>
        <v>10</v>
      </c>
      <c r="D177" s="10">
        <f>D170*4</f>
        <v>6.8</v>
      </c>
      <c r="E177" s="10">
        <f>F170</f>
        <v>7.4999999999999997E-2</v>
      </c>
      <c r="F177" s="10"/>
      <c r="G177" s="3">
        <f>C177*D177*E177</f>
        <v>5.0999999999999996</v>
      </c>
      <c r="H177" s="10"/>
      <c r="I177" s="10"/>
      <c r="J177" s="3">
        <f t="shared" si="27"/>
        <v>0</v>
      </c>
      <c r="K177" s="10"/>
    </row>
    <row r="178" spans="1:11" x14ac:dyDescent="0.25">
      <c r="A178" s="10"/>
      <c r="B178" s="10" t="s">
        <v>33</v>
      </c>
      <c r="C178" s="10">
        <f>C160</f>
        <v>10</v>
      </c>
      <c r="D178" s="10">
        <f>D173*4</f>
        <v>6</v>
      </c>
      <c r="E178" s="10">
        <f>E161</f>
        <v>0.3</v>
      </c>
      <c r="F178" s="10"/>
      <c r="G178" s="3">
        <f>C178*D178*E178</f>
        <v>18</v>
      </c>
      <c r="H178" s="10"/>
      <c r="I178" s="10"/>
      <c r="J178" s="3">
        <f t="shared" si="27"/>
        <v>0</v>
      </c>
      <c r="K178" s="10"/>
    </row>
    <row r="179" spans="1:11" x14ac:dyDescent="0.25">
      <c r="A179" s="10"/>
      <c r="B179" s="10" t="s">
        <v>314</v>
      </c>
      <c r="C179" s="10">
        <f>C160</f>
        <v>10</v>
      </c>
      <c r="D179" s="10">
        <f>C162*2+D162*2</f>
        <v>3</v>
      </c>
      <c r="E179" s="10">
        <f>C163</f>
        <v>2.2999999999999998</v>
      </c>
      <c r="F179" s="10"/>
      <c r="G179" s="3">
        <f t="shared" ref="G179" si="28">C179*D179*E179</f>
        <v>69</v>
      </c>
      <c r="H179" s="10"/>
      <c r="I179" s="10"/>
      <c r="J179" s="3">
        <f t="shared" si="27"/>
        <v>0</v>
      </c>
      <c r="K179" s="10"/>
    </row>
    <row r="180" spans="1:11" x14ac:dyDescent="0.25">
      <c r="A180" s="10"/>
      <c r="B180" s="10"/>
      <c r="C180" s="10"/>
      <c r="D180" s="10"/>
      <c r="E180" s="10"/>
      <c r="F180" s="1" t="s">
        <v>37</v>
      </c>
      <c r="G180" s="4">
        <f>SUM(G177:G179)</f>
        <v>92.1</v>
      </c>
      <c r="H180" s="10" t="s">
        <v>85</v>
      </c>
      <c r="I180" s="10">
        <v>718.4</v>
      </c>
      <c r="J180" s="3">
        <f t="shared" si="27"/>
        <v>66164.639999999999</v>
      </c>
      <c r="K180" s="10"/>
    </row>
    <row r="181" spans="1:11" x14ac:dyDescent="0.25">
      <c r="A181" s="10"/>
      <c r="B181" s="10"/>
      <c r="C181" s="10"/>
      <c r="D181" s="10"/>
      <c r="E181" s="10"/>
      <c r="F181" s="10"/>
      <c r="G181" s="3"/>
      <c r="H181" s="10"/>
      <c r="I181" s="10"/>
      <c r="J181" s="3">
        <f t="shared" si="27"/>
        <v>0</v>
      </c>
      <c r="K181" s="10"/>
    </row>
    <row r="182" spans="1:11" x14ac:dyDescent="0.25">
      <c r="A182" s="10"/>
      <c r="B182" s="10" t="s">
        <v>136</v>
      </c>
      <c r="C182" s="10">
        <v>1</v>
      </c>
      <c r="D182" s="10">
        <v>100</v>
      </c>
      <c r="E182" s="10">
        <f>G175</f>
        <v>18.25</v>
      </c>
      <c r="F182" s="10"/>
      <c r="G182" s="3">
        <f>E182*D182*C182</f>
        <v>1825</v>
      </c>
      <c r="H182" s="10" t="s">
        <v>56</v>
      </c>
      <c r="I182" s="10">
        <v>81.52</v>
      </c>
      <c r="J182" s="3">
        <f t="shared" si="27"/>
        <v>148774</v>
      </c>
      <c r="K182" s="10"/>
    </row>
    <row r="183" spans="1:11" x14ac:dyDescent="0.25">
      <c r="A183" s="10"/>
      <c r="B183" s="10"/>
      <c r="C183" s="10"/>
      <c r="D183" s="10"/>
      <c r="E183" s="10"/>
      <c r="F183" s="10"/>
      <c r="G183" s="3"/>
      <c r="H183" s="10"/>
      <c r="I183" s="10"/>
      <c r="J183" s="3">
        <f t="shared" si="27"/>
        <v>0</v>
      </c>
      <c r="K183" s="10"/>
    </row>
    <row r="184" spans="1:11" x14ac:dyDescent="0.25">
      <c r="A184" s="10"/>
      <c r="B184" s="10" t="s">
        <v>137</v>
      </c>
      <c r="C184" s="10">
        <v>1</v>
      </c>
      <c r="D184" s="10">
        <f>G167-(G169+G171+G175)</f>
        <v>106.63549999999999</v>
      </c>
      <c r="E184" s="10"/>
      <c r="F184" s="10"/>
      <c r="G184" s="3">
        <f>C184*D184</f>
        <v>106.63549999999999</v>
      </c>
      <c r="H184" s="10" t="s">
        <v>12</v>
      </c>
      <c r="I184" s="10">
        <v>183.42</v>
      </c>
      <c r="J184" s="3">
        <f t="shared" si="27"/>
        <v>19559.083409999996</v>
      </c>
      <c r="K184" s="10"/>
    </row>
    <row r="185" spans="1:11" x14ac:dyDescent="0.25">
      <c r="A185" s="10"/>
      <c r="B185" s="10"/>
      <c r="C185" s="10"/>
      <c r="D185" s="10"/>
      <c r="E185" s="10"/>
      <c r="F185" s="10"/>
      <c r="G185" s="3"/>
      <c r="H185" s="10"/>
      <c r="I185" s="10"/>
      <c r="J185" s="3">
        <f t="shared" si="27"/>
        <v>0</v>
      </c>
      <c r="K185" s="10"/>
    </row>
    <row r="186" spans="1:11" x14ac:dyDescent="0.25">
      <c r="A186" s="10"/>
      <c r="B186" s="10" t="s">
        <v>138</v>
      </c>
      <c r="C186" s="10">
        <f>C160</f>
        <v>10</v>
      </c>
      <c r="D186" s="10">
        <f>D166-C162</f>
        <v>1.1000000000000001</v>
      </c>
      <c r="E186" s="10">
        <f>E166-D162</f>
        <v>1.6</v>
      </c>
      <c r="F186" s="10">
        <v>0.35</v>
      </c>
      <c r="G186" s="3">
        <f>C186*D186*E186*F186</f>
        <v>6.16</v>
      </c>
      <c r="H186" s="10" t="s">
        <v>12</v>
      </c>
      <c r="I186" s="10">
        <v>1500</v>
      </c>
      <c r="J186" s="3">
        <f t="shared" si="27"/>
        <v>9240</v>
      </c>
      <c r="K186" s="10"/>
    </row>
    <row r="187" spans="1:11" x14ac:dyDescent="0.25">
      <c r="A187" s="10"/>
      <c r="B187" s="10"/>
      <c r="C187" s="10"/>
      <c r="D187" s="10"/>
      <c r="E187" s="10"/>
      <c r="F187" s="10"/>
      <c r="G187" s="3"/>
      <c r="H187" s="10"/>
      <c r="I187" s="10"/>
      <c r="J187" s="3">
        <f t="shared" si="27"/>
        <v>0</v>
      </c>
      <c r="K187" s="10"/>
    </row>
    <row r="188" spans="1:11" x14ac:dyDescent="0.25">
      <c r="A188" s="10"/>
      <c r="B188" s="10" t="s">
        <v>65</v>
      </c>
      <c r="C188" s="10">
        <f>C160*12</f>
        <v>120</v>
      </c>
      <c r="D188" s="3">
        <f>24*24/162*1</f>
        <v>3.5555555555555554</v>
      </c>
      <c r="E188" s="10"/>
      <c r="F188" s="10"/>
      <c r="G188" s="3">
        <f>C188*D188</f>
        <v>426.66666666666663</v>
      </c>
      <c r="H188" s="10" t="s">
        <v>56</v>
      </c>
      <c r="I188" s="10">
        <v>125</v>
      </c>
      <c r="J188" s="3">
        <f t="shared" si="27"/>
        <v>53333.333333333328</v>
      </c>
      <c r="K188" s="10"/>
    </row>
    <row r="189" spans="1:11" x14ac:dyDescent="0.25">
      <c r="A189" s="10"/>
      <c r="B189" s="10"/>
      <c r="C189" s="10"/>
      <c r="D189" s="10"/>
      <c r="E189" s="10"/>
      <c r="F189" s="10"/>
      <c r="G189" s="3"/>
      <c r="H189" s="10"/>
      <c r="I189" s="10"/>
      <c r="J189" s="3">
        <f t="shared" si="27"/>
        <v>0</v>
      </c>
      <c r="K189" s="10"/>
    </row>
    <row r="190" spans="1:11" x14ac:dyDescent="0.25">
      <c r="A190" s="10"/>
      <c r="B190" s="10" t="s">
        <v>315</v>
      </c>
      <c r="C190" s="10">
        <f>C160</f>
        <v>10</v>
      </c>
      <c r="D190" s="10">
        <f>C162</f>
        <v>1</v>
      </c>
      <c r="E190" s="10">
        <f>D162</f>
        <v>0.5</v>
      </c>
      <c r="F190" s="10">
        <v>0.05</v>
      </c>
      <c r="G190" s="3">
        <f>C190*D190*E190*F190</f>
        <v>0.25</v>
      </c>
      <c r="H190" s="10" t="s">
        <v>40</v>
      </c>
      <c r="I190" s="10">
        <f>5502.66/0.05</f>
        <v>110053.2</v>
      </c>
      <c r="J190" s="3">
        <f t="shared" si="27"/>
        <v>27513.3</v>
      </c>
      <c r="K190" s="10"/>
    </row>
    <row r="191" spans="1:11" x14ac:dyDescent="0.25">
      <c r="A191" s="15">
        <v>3</v>
      </c>
      <c r="B191" s="90" t="s">
        <v>142</v>
      </c>
      <c r="C191" s="2"/>
      <c r="D191" s="2"/>
      <c r="E191" s="2"/>
      <c r="F191" s="2"/>
      <c r="G191" s="2"/>
      <c r="H191" s="2"/>
      <c r="I191" s="2"/>
      <c r="J191" s="3">
        <f t="shared" si="27"/>
        <v>0</v>
      </c>
      <c r="K191" s="2"/>
    </row>
    <row r="192" spans="1:11" x14ac:dyDescent="0.25">
      <c r="A192" s="2"/>
      <c r="B192" s="12" t="s">
        <v>143</v>
      </c>
      <c r="C192" s="2">
        <v>1.25</v>
      </c>
      <c r="D192" s="2">
        <v>25</v>
      </c>
      <c r="E192" s="2">
        <v>3</v>
      </c>
      <c r="F192" s="2">
        <v>150</v>
      </c>
      <c r="G192" s="2">
        <f>C192*D192*E192*F192</f>
        <v>14062.5</v>
      </c>
      <c r="H192" s="2"/>
      <c r="I192" s="2"/>
      <c r="J192" s="3">
        <f t="shared" si="27"/>
        <v>0</v>
      </c>
      <c r="K192" s="2"/>
    </row>
    <row r="193" spans="1:12" x14ac:dyDescent="0.25">
      <c r="A193" s="2"/>
      <c r="B193" s="12"/>
      <c r="C193" s="2"/>
      <c r="D193" s="2"/>
      <c r="E193" s="2"/>
      <c r="F193" s="2"/>
      <c r="G193" s="2">
        <f>SUM(G192:G192)</f>
        <v>14062.5</v>
      </c>
      <c r="H193" s="2" t="s">
        <v>56</v>
      </c>
      <c r="I193" s="2">
        <v>81.52</v>
      </c>
      <c r="J193" s="3">
        <f t="shared" si="27"/>
        <v>1146375</v>
      </c>
      <c r="K193" s="2"/>
    </row>
    <row r="194" spans="1:12" x14ac:dyDescent="0.25">
      <c r="A194" s="2"/>
      <c r="B194" s="12" t="s">
        <v>316</v>
      </c>
      <c r="C194" s="2">
        <v>1.25</v>
      </c>
      <c r="D194" s="2">
        <f>D192</f>
        <v>25</v>
      </c>
      <c r="E194" s="2">
        <f>E192</f>
        <v>3</v>
      </c>
      <c r="F194" s="2"/>
      <c r="G194" s="2">
        <f>C194*D194*E194</f>
        <v>93.75</v>
      </c>
      <c r="H194" s="2"/>
      <c r="I194" s="2"/>
      <c r="J194" s="3">
        <f t="shared" si="27"/>
        <v>0</v>
      </c>
      <c r="K194" s="2"/>
    </row>
    <row r="195" spans="1:12" x14ac:dyDescent="0.25">
      <c r="A195" s="2"/>
      <c r="B195" s="2"/>
      <c r="C195" s="2"/>
      <c r="D195" s="2"/>
      <c r="E195" s="2"/>
      <c r="F195" s="2"/>
      <c r="G195" s="2">
        <f>SUM(G194:G194)</f>
        <v>93.75</v>
      </c>
      <c r="H195" s="2" t="s">
        <v>85</v>
      </c>
      <c r="I195" s="2">
        <v>504.41</v>
      </c>
      <c r="J195" s="3">
        <f t="shared" si="27"/>
        <v>47288.4375</v>
      </c>
      <c r="K195" s="2"/>
    </row>
    <row r="196" spans="1:12" x14ac:dyDescent="0.25">
      <c r="A196" s="2"/>
      <c r="B196" s="2"/>
      <c r="C196" s="2"/>
      <c r="D196" s="2"/>
      <c r="E196" s="2"/>
      <c r="F196" s="2"/>
      <c r="G196" s="278" t="s">
        <v>66</v>
      </c>
      <c r="H196" s="279"/>
      <c r="I196" s="280">
        <v>2</v>
      </c>
      <c r="J196" s="277">
        <f>SUM(J167:J195)</f>
        <v>1672742.2911683333</v>
      </c>
      <c r="K196" s="277">
        <f>I196*J196</f>
        <v>3345484.5823366665</v>
      </c>
    </row>
    <row r="197" spans="1:12" ht="15.75" x14ac:dyDescent="0.25">
      <c r="A197" s="2"/>
      <c r="B197" s="26" t="s">
        <v>167</v>
      </c>
      <c r="C197" s="40"/>
      <c r="D197" s="13"/>
      <c r="E197" s="40"/>
      <c r="F197" s="40"/>
      <c r="G197" s="13"/>
      <c r="H197" s="78"/>
      <c r="I197" s="96"/>
      <c r="J197" s="68"/>
      <c r="K197" s="92"/>
    </row>
    <row r="198" spans="1:12" ht="15.75" x14ac:dyDescent="0.25">
      <c r="A198" s="2"/>
      <c r="B198" s="42" t="s">
        <v>50</v>
      </c>
      <c r="C198" s="43">
        <v>2.1</v>
      </c>
      <c r="D198" s="66">
        <v>1.6</v>
      </c>
      <c r="E198" s="43">
        <v>1.2</v>
      </c>
      <c r="F198" s="43">
        <v>1</v>
      </c>
      <c r="G198" s="66">
        <f>F198*E198*D198*C198</f>
        <v>4.032</v>
      </c>
      <c r="H198" s="73" t="s">
        <v>51</v>
      </c>
      <c r="I198" s="94">
        <v>315.89</v>
      </c>
      <c r="J198" s="95">
        <f>I198*G198</f>
        <v>1273.66848</v>
      </c>
      <c r="K198" s="92"/>
    </row>
    <row r="199" spans="1:12" ht="15.75" x14ac:dyDescent="0.25">
      <c r="A199" s="2"/>
      <c r="B199" s="42" t="s">
        <v>13</v>
      </c>
      <c r="C199" s="43">
        <f>C201+0.3</f>
        <v>1.8</v>
      </c>
      <c r="D199" s="66">
        <f>D198</f>
        <v>1.6</v>
      </c>
      <c r="E199" s="43">
        <v>0.23</v>
      </c>
      <c r="F199" s="43">
        <f>F198</f>
        <v>1</v>
      </c>
      <c r="G199" s="66">
        <f>F199*E199*D199*C199</f>
        <v>0.6624000000000001</v>
      </c>
      <c r="H199" s="73" t="s">
        <v>51</v>
      </c>
      <c r="I199" s="94">
        <v>950</v>
      </c>
      <c r="J199" s="95">
        <f>I199*G199</f>
        <v>629.28000000000009</v>
      </c>
      <c r="K199" s="92"/>
    </row>
    <row r="200" spans="1:12" ht="15.75" x14ac:dyDescent="0.25">
      <c r="A200" s="2"/>
      <c r="B200" s="42" t="s">
        <v>53</v>
      </c>
      <c r="C200" s="43">
        <f>C199</f>
        <v>1.8</v>
      </c>
      <c r="D200" s="66">
        <f>D198</f>
        <v>1.6</v>
      </c>
      <c r="E200" s="43">
        <v>0.1</v>
      </c>
      <c r="F200" s="43">
        <f>F198</f>
        <v>1</v>
      </c>
      <c r="G200" s="66">
        <f>F200*E200*D200*C200</f>
        <v>0.28800000000000009</v>
      </c>
      <c r="H200" s="73" t="s">
        <v>51</v>
      </c>
      <c r="I200" s="94">
        <v>3535.97</v>
      </c>
      <c r="J200" s="95">
        <f>I200*G200</f>
        <v>1018.3593600000003</v>
      </c>
      <c r="K200" s="92"/>
    </row>
    <row r="201" spans="1:12" ht="15.75" x14ac:dyDescent="0.25">
      <c r="A201" s="2"/>
      <c r="B201" s="42" t="s">
        <v>54</v>
      </c>
      <c r="C201" s="43">
        <v>1.5</v>
      </c>
      <c r="D201" s="66">
        <v>1</v>
      </c>
      <c r="E201" s="43">
        <v>0.75</v>
      </c>
      <c r="F201" s="43">
        <f>F198</f>
        <v>1</v>
      </c>
      <c r="G201" s="66">
        <f>F201*E201*D201*C201</f>
        <v>1.125</v>
      </c>
      <c r="H201" s="73" t="s">
        <v>51</v>
      </c>
      <c r="I201" s="94"/>
      <c r="J201" s="95"/>
      <c r="K201" s="92"/>
    </row>
    <row r="202" spans="1:12" ht="15.75" x14ac:dyDescent="0.25">
      <c r="A202" s="2"/>
      <c r="B202" s="42"/>
      <c r="C202" s="43"/>
      <c r="D202" s="66"/>
      <c r="E202" s="43"/>
      <c r="F202" s="43"/>
      <c r="G202" s="66">
        <f>G201</f>
        <v>1.125</v>
      </c>
      <c r="H202" s="73" t="s">
        <v>51</v>
      </c>
      <c r="I202" s="94">
        <v>5329.43</v>
      </c>
      <c r="J202" s="95">
        <f>I202*G202</f>
        <v>5995.6087500000003</v>
      </c>
      <c r="K202" s="92"/>
    </row>
    <row r="203" spans="1:12" ht="15.75" x14ac:dyDescent="0.25">
      <c r="A203" s="2"/>
      <c r="B203" s="42" t="s">
        <v>55</v>
      </c>
      <c r="C203" s="43">
        <f>G202</f>
        <v>1.125</v>
      </c>
      <c r="D203" s="66"/>
      <c r="E203" s="43"/>
      <c r="F203" s="43">
        <v>8</v>
      </c>
      <c r="G203" s="66">
        <f>F203*C203</f>
        <v>9</v>
      </c>
      <c r="H203" s="73" t="s">
        <v>36</v>
      </c>
      <c r="I203" s="94">
        <v>718.4</v>
      </c>
      <c r="J203" s="95">
        <f t="shared" ref="J203:J207" si="29">I203*G203</f>
        <v>6465.5999999999995</v>
      </c>
      <c r="K203" s="92"/>
    </row>
    <row r="204" spans="1:12" ht="15.75" x14ac:dyDescent="0.25">
      <c r="A204" s="2"/>
      <c r="B204" s="42" t="s">
        <v>5</v>
      </c>
      <c r="C204" s="43">
        <f>G202</f>
        <v>1.125</v>
      </c>
      <c r="D204" s="66"/>
      <c r="E204" s="43"/>
      <c r="F204" s="43">
        <v>125</v>
      </c>
      <c r="G204" s="66">
        <f>F204*C204</f>
        <v>140.625</v>
      </c>
      <c r="H204" s="73" t="s">
        <v>56</v>
      </c>
      <c r="I204" s="94">
        <f>I193</f>
        <v>81.52</v>
      </c>
      <c r="J204" s="95">
        <f t="shared" si="29"/>
        <v>11463.75</v>
      </c>
      <c r="K204" s="92"/>
    </row>
    <row r="205" spans="1:12" ht="15.75" x14ac:dyDescent="0.25">
      <c r="A205" s="2"/>
      <c r="B205" s="42" t="s">
        <v>44</v>
      </c>
      <c r="C205" s="66">
        <f>G198-G199-G200-G201</f>
        <v>1.9565999999999999</v>
      </c>
      <c r="D205" s="66"/>
      <c r="E205" s="43"/>
      <c r="F205" s="43">
        <v>1</v>
      </c>
      <c r="G205" s="66">
        <f>F205*C205</f>
        <v>1.9565999999999999</v>
      </c>
      <c r="H205" s="73" t="s">
        <v>51</v>
      </c>
      <c r="I205" s="94">
        <v>183.42</v>
      </c>
      <c r="J205" s="95">
        <f t="shared" si="29"/>
        <v>358.87957199999994</v>
      </c>
      <c r="K205" s="92"/>
    </row>
    <row r="206" spans="1:12" ht="15.75" x14ac:dyDescent="0.25">
      <c r="A206" s="2"/>
      <c r="B206" s="42" t="s">
        <v>57</v>
      </c>
      <c r="C206" s="43">
        <v>6</v>
      </c>
      <c r="D206" s="66"/>
      <c r="E206" s="43"/>
      <c r="F206" s="43">
        <v>1</v>
      </c>
      <c r="G206" s="66">
        <f>F206*C206</f>
        <v>6</v>
      </c>
      <c r="H206" s="73" t="s">
        <v>9</v>
      </c>
      <c r="I206" s="94">
        <v>400</v>
      </c>
      <c r="J206" s="95">
        <f t="shared" si="29"/>
        <v>2400</v>
      </c>
      <c r="K206" s="92"/>
    </row>
    <row r="207" spans="1:12" ht="15.75" x14ac:dyDescent="0.25">
      <c r="A207" s="2"/>
      <c r="B207" s="42" t="s">
        <v>58</v>
      </c>
      <c r="C207" s="43">
        <v>0.1</v>
      </c>
      <c r="D207" s="66">
        <v>0.1</v>
      </c>
      <c r="E207" s="43">
        <v>0.3</v>
      </c>
      <c r="F207" s="43">
        <f>G206</f>
        <v>6</v>
      </c>
      <c r="G207" s="66">
        <f>C207*D207*E207*F207</f>
        <v>1.8000000000000002E-2</v>
      </c>
      <c r="H207" s="73" t="s">
        <v>51</v>
      </c>
      <c r="I207" s="94">
        <f>5502.66/0.05</f>
        <v>110053.2</v>
      </c>
      <c r="J207" s="95">
        <f t="shared" si="29"/>
        <v>1980.9576000000002</v>
      </c>
      <c r="K207" s="92"/>
    </row>
    <row r="208" spans="1:12" ht="15.75" x14ac:dyDescent="0.25">
      <c r="A208" s="2"/>
      <c r="B208" s="91"/>
      <c r="C208" s="91"/>
      <c r="D208" s="91"/>
      <c r="E208" s="271" t="s">
        <v>26</v>
      </c>
      <c r="F208" s="272"/>
      <c r="G208" s="272"/>
      <c r="H208" s="272"/>
      <c r="I208" s="273">
        <v>2</v>
      </c>
      <c r="J208" s="276">
        <f>SUM(J198:J207)</f>
        <v>31586.103762000002</v>
      </c>
      <c r="K208" s="277">
        <f>I208*J208</f>
        <v>63172.207524000005</v>
      </c>
      <c r="L208" s="281"/>
    </row>
    <row r="209" spans="1:11" ht="18.75" x14ac:dyDescent="0.3">
      <c r="A209" s="52"/>
      <c r="B209" s="137" t="s">
        <v>317</v>
      </c>
      <c r="C209" s="65"/>
      <c r="D209" s="65"/>
      <c r="E209" s="65"/>
      <c r="F209" s="65"/>
      <c r="G209" s="65"/>
      <c r="H209" s="80"/>
      <c r="I209" s="104"/>
      <c r="J209" s="121"/>
      <c r="K209" s="62"/>
    </row>
    <row r="210" spans="1:11" ht="15.75" x14ac:dyDescent="0.25">
      <c r="A210" s="52">
        <v>1</v>
      </c>
      <c r="B210" s="54" t="s">
        <v>60</v>
      </c>
      <c r="C210" s="63"/>
      <c r="D210" s="63">
        <f>13+1.2</f>
        <v>14.2</v>
      </c>
      <c r="E210" s="63">
        <f>2.5+1.2</f>
        <v>3.7</v>
      </c>
      <c r="F210" s="63">
        <f>1+0.3+0.23+0.1</f>
        <v>1.6300000000000001</v>
      </c>
      <c r="G210" s="63">
        <f>D210*E210*F210</f>
        <v>85.640200000000007</v>
      </c>
      <c r="H210" s="76" t="s">
        <v>51</v>
      </c>
      <c r="I210" s="100">
        <f>I198</f>
        <v>315.89</v>
      </c>
      <c r="J210" s="101">
        <f>G210*I210</f>
        <v>27052.882778000003</v>
      </c>
      <c r="K210" s="62"/>
    </row>
    <row r="211" spans="1:11" ht="15.75" x14ac:dyDescent="0.25">
      <c r="A211" s="52">
        <v>2</v>
      </c>
      <c r="B211" s="54" t="s">
        <v>61</v>
      </c>
      <c r="C211" s="63"/>
      <c r="D211" s="63"/>
      <c r="E211" s="63"/>
      <c r="F211" s="63"/>
      <c r="G211" s="63">
        <f>G210</f>
        <v>85.640200000000007</v>
      </c>
      <c r="H211" s="76" t="s">
        <v>51</v>
      </c>
      <c r="I211" s="100">
        <v>100</v>
      </c>
      <c r="J211" s="101">
        <f t="shared" ref="J211:J218" si="30">G211*I211</f>
        <v>8564.02</v>
      </c>
      <c r="K211" s="62"/>
    </row>
    <row r="212" spans="1:11" ht="15.75" x14ac:dyDescent="0.25">
      <c r="A212" s="52">
        <v>3</v>
      </c>
      <c r="B212" s="54" t="s">
        <v>79</v>
      </c>
      <c r="C212" s="63"/>
      <c r="D212" s="63">
        <f>D210-0.6</f>
        <v>13.6</v>
      </c>
      <c r="E212" s="63">
        <f>E210-0.6</f>
        <v>3.1</v>
      </c>
      <c r="F212" s="63">
        <v>0.23</v>
      </c>
      <c r="G212" s="63">
        <f>D212*E212*F212</f>
        <v>9.6967999999999996</v>
      </c>
      <c r="H212" s="76" t="s">
        <v>51</v>
      </c>
      <c r="I212" s="100">
        <v>950</v>
      </c>
      <c r="J212" s="101">
        <f t="shared" si="30"/>
        <v>9211.9599999999991</v>
      </c>
      <c r="K212" s="62"/>
    </row>
    <row r="213" spans="1:11" ht="15.75" x14ac:dyDescent="0.25">
      <c r="A213" s="52">
        <v>4</v>
      </c>
      <c r="B213" s="54" t="s">
        <v>80</v>
      </c>
      <c r="C213" s="63"/>
      <c r="D213" s="63">
        <f>D212</f>
        <v>13.6</v>
      </c>
      <c r="E213" s="63">
        <f>E212</f>
        <v>3.1</v>
      </c>
      <c r="F213" s="63">
        <v>7.4999999999999997E-2</v>
      </c>
      <c r="G213" s="63">
        <f>D213*E213*F213</f>
        <v>3.1619999999999995</v>
      </c>
      <c r="H213" s="76" t="s">
        <v>51</v>
      </c>
      <c r="I213" s="100">
        <v>3535.97</v>
      </c>
      <c r="J213" s="101">
        <f t="shared" si="30"/>
        <v>11180.737139999997</v>
      </c>
      <c r="K213" s="62"/>
    </row>
    <row r="214" spans="1:11" ht="15.75" x14ac:dyDescent="0.25">
      <c r="A214" s="52">
        <v>5</v>
      </c>
      <c r="B214" s="54" t="s">
        <v>81</v>
      </c>
      <c r="C214" s="63"/>
      <c r="D214" s="63">
        <f>D212-0.2</f>
        <v>13.4</v>
      </c>
      <c r="E214" s="63">
        <f>E213-0.2</f>
        <v>2.9</v>
      </c>
      <c r="F214" s="63">
        <v>0.3</v>
      </c>
      <c r="G214" s="63">
        <f>D214*E214*F214</f>
        <v>11.657999999999999</v>
      </c>
      <c r="H214" s="76" t="s">
        <v>51</v>
      </c>
      <c r="I214" s="100">
        <v>5329.43</v>
      </c>
      <c r="J214" s="101">
        <f>G214*I214</f>
        <v>62130.494940000004</v>
      </c>
      <c r="K214" s="62"/>
    </row>
    <row r="215" spans="1:11" ht="15.75" x14ac:dyDescent="0.25">
      <c r="A215" s="52">
        <v>6</v>
      </c>
      <c r="B215" s="54" t="s">
        <v>82</v>
      </c>
      <c r="C215" s="63">
        <v>2</v>
      </c>
      <c r="D215" s="63">
        <f>12+2.5+12+2.5</f>
        <v>29</v>
      </c>
      <c r="E215" s="63">
        <f>F210-F214-F213-F212</f>
        <v>1.0250000000000001</v>
      </c>
      <c r="F215" s="63">
        <v>0.15</v>
      </c>
      <c r="G215" s="63">
        <f>C215*D215*E215*F215</f>
        <v>8.9175000000000004</v>
      </c>
      <c r="H215" s="76" t="s">
        <v>51</v>
      </c>
      <c r="I215" s="100">
        <v>5329.43</v>
      </c>
      <c r="J215" s="101">
        <f t="shared" si="30"/>
        <v>47525.192025000004</v>
      </c>
      <c r="K215" s="62"/>
    </row>
    <row r="216" spans="1:11" ht="15.75" x14ac:dyDescent="0.25">
      <c r="A216" s="52">
        <v>7</v>
      </c>
      <c r="B216" s="54" t="s">
        <v>63</v>
      </c>
      <c r="C216" s="63"/>
      <c r="D216" s="63"/>
      <c r="E216" s="63">
        <f>G215+G214</f>
        <v>20.575499999999998</v>
      </c>
      <c r="F216" s="63">
        <v>100</v>
      </c>
      <c r="G216" s="63">
        <f>E216*F216</f>
        <v>2057.5499999999997</v>
      </c>
      <c r="H216" s="76" t="s">
        <v>56</v>
      </c>
      <c r="I216" s="100">
        <v>66.239999999999995</v>
      </c>
      <c r="J216" s="102">
        <f t="shared" si="30"/>
        <v>136292.11199999996</v>
      </c>
      <c r="K216" s="62"/>
    </row>
    <row r="217" spans="1:11" ht="15.75" x14ac:dyDescent="0.25">
      <c r="A217" s="52">
        <v>8</v>
      </c>
      <c r="B217" s="54" t="s">
        <v>64</v>
      </c>
      <c r="C217" s="63">
        <f>C215</f>
        <v>2</v>
      </c>
      <c r="D217" s="63">
        <f>D215</f>
        <v>29</v>
      </c>
      <c r="E217" s="63">
        <f>E215+0.3</f>
        <v>1.3250000000000002</v>
      </c>
      <c r="F217" s="63"/>
      <c r="G217" s="63">
        <f>C217*D217*E217</f>
        <v>76.850000000000009</v>
      </c>
      <c r="H217" s="76" t="s">
        <v>36</v>
      </c>
      <c r="I217" s="100">
        <f>718.4</f>
        <v>718.4</v>
      </c>
      <c r="J217" s="101">
        <f t="shared" si="30"/>
        <v>55209.04</v>
      </c>
      <c r="K217" s="62"/>
    </row>
    <row r="218" spans="1:11" ht="15.75" x14ac:dyDescent="0.25">
      <c r="A218" s="52">
        <v>9</v>
      </c>
      <c r="B218" s="54" t="s">
        <v>83</v>
      </c>
      <c r="C218" s="63">
        <f>C215</f>
        <v>2</v>
      </c>
      <c r="D218" s="63">
        <f>D217</f>
        <v>29</v>
      </c>
      <c r="E218" s="63">
        <f>E217</f>
        <v>1.3250000000000002</v>
      </c>
      <c r="F218" s="63"/>
      <c r="G218" s="63">
        <f>C218*D218*E218</f>
        <v>76.850000000000009</v>
      </c>
      <c r="H218" s="76" t="s">
        <v>36</v>
      </c>
      <c r="I218" s="100">
        <v>336.27</v>
      </c>
      <c r="J218" s="101">
        <f t="shared" si="30"/>
        <v>25842.3495</v>
      </c>
      <c r="K218" s="62"/>
    </row>
    <row r="219" spans="1:11" ht="15.75" x14ac:dyDescent="0.25">
      <c r="A219" s="52">
        <v>9</v>
      </c>
      <c r="B219" s="54" t="s">
        <v>318</v>
      </c>
      <c r="C219" s="63"/>
      <c r="D219" s="63"/>
      <c r="E219" s="63"/>
      <c r="F219" s="63"/>
      <c r="G219" s="63">
        <v>0</v>
      </c>
      <c r="H219" s="76" t="s">
        <v>4</v>
      </c>
      <c r="I219" s="100">
        <v>10000</v>
      </c>
      <c r="J219" s="101">
        <f>G219*I219</f>
        <v>0</v>
      </c>
      <c r="K219" s="62"/>
    </row>
    <row r="220" spans="1:11" ht="15.75" x14ac:dyDescent="0.25">
      <c r="A220" s="52">
        <v>10</v>
      </c>
      <c r="B220" s="54" t="s">
        <v>84</v>
      </c>
      <c r="C220" s="63"/>
      <c r="D220" s="63"/>
      <c r="E220" s="63"/>
      <c r="F220" s="63"/>
      <c r="G220" s="63">
        <f>G218/2</f>
        <v>38.425000000000004</v>
      </c>
      <c r="H220" s="76" t="s">
        <v>85</v>
      </c>
      <c r="I220" s="100">
        <v>2200</v>
      </c>
      <c r="J220" s="101">
        <f>G220*I220</f>
        <v>84535.000000000015</v>
      </c>
      <c r="K220" s="62"/>
    </row>
    <row r="221" spans="1:11" ht="15.75" x14ac:dyDescent="0.25">
      <c r="A221" s="52">
        <v>11</v>
      </c>
      <c r="B221" s="54" t="s">
        <v>86</v>
      </c>
      <c r="C221" s="63">
        <v>1</v>
      </c>
      <c r="D221" s="63">
        <f>D214</f>
        <v>13.4</v>
      </c>
      <c r="E221" s="63">
        <f>E214</f>
        <v>2.9</v>
      </c>
      <c r="F221" s="63">
        <v>75</v>
      </c>
      <c r="G221" s="63">
        <f>C221*D221*E221*F221</f>
        <v>2914.5</v>
      </c>
      <c r="H221" s="76" t="s">
        <v>56</v>
      </c>
      <c r="I221" s="100">
        <v>81.52</v>
      </c>
      <c r="J221" s="101">
        <f>G221*I221</f>
        <v>237590.03999999998</v>
      </c>
      <c r="K221" s="62"/>
    </row>
    <row r="222" spans="1:11" ht="15.75" x14ac:dyDescent="0.25">
      <c r="A222" s="52">
        <v>12</v>
      </c>
      <c r="B222" s="54" t="s">
        <v>87</v>
      </c>
      <c r="C222" s="63"/>
      <c r="D222" s="63"/>
      <c r="E222" s="63">
        <v>3.5000000000000003E-2</v>
      </c>
      <c r="F222" s="63">
        <f>G221</f>
        <v>2914.5</v>
      </c>
      <c r="G222" s="63">
        <f>E222*F222</f>
        <v>102.00750000000001</v>
      </c>
      <c r="H222" s="76" t="s">
        <v>36</v>
      </c>
      <c r="I222" s="100">
        <f>244.56+626.69</f>
        <v>871.25</v>
      </c>
      <c r="J222" s="101">
        <f>G222*I222</f>
        <v>88874.034375000003</v>
      </c>
      <c r="K222" s="62"/>
    </row>
    <row r="223" spans="1:11" ht="15.75" x14ac:dyDescent="0.25">
      <c r="A223" s="261"/>
      <c r="B223" s="262"/>
      <c r="C223" s="263"/>
      <c r="D223" s="263"/>
      <c r="E223" s="263"/>
      <c r="F223" s="282" t="s">
        <v>66</v>
      </c>
      <c r="G223" s="283"/>
      <c r="H223" s="283"/>
      <c r="I223" s="284">
        <v>2</v>
      </c>
      <c r="J223" s="264">
        <f>SUM(J210:J222)</f>
        <v>794007.86275799992</v>
      </c>
      <c r="K223" s="285">
        <f>I223*J223</f>
        <v>1588015.7255159998</v>
      </c>
    </row>
    <row r="224" spans="1:11" ht="18.75" x14ac:dyDescent="0.3">
      <c r="A224" s="38"/>
      <c r="B224" s="137" t="s">
        <v>114</v>
      </c>
      <c r="C224" s="65"/>
      <c r="D224" s="65"/>
      <c r="E224" s="65"/>
      <c r="F224" s="65"/>
      <c r="G224" s="65"/>
      <c r="H224" s="80"/>
      <c r="I224" s="104"/>
      <c r="J224" s="101"/>
      <c r="K224" s="62"/>
    </row>
    <row r="225" spans="1:11" ht="15.75" x14ac:dyDescent="0.25">
      <c r="A225" s="52">
        <v>1</v>
      </c>
      <c r="B225" s="54" t="s">
        <v>60</v>
      </c>
      <c r="C225" s="63"/>
      <c r="D225" s="63">
        <f>28+28+5+5</f>
        <v>66</v>
      </c>
      <c r="E225" s="63">
        <f>0.1+0.15+0.6+0.15+0.1+0.3+0.3</f>
        <v>1.7000000000000002</v>
      </c>
      <c r="F225" s="63">
        <f>1+0.23+0.075</f>
        <v>1.3049999999999999</v>
      </c>
      <c r="G225" s="63">
        <f>D225*E225*F225</f>
        <v>146.42100000000002</v>
      </c>
      <c r="H225" s="76" t="s">
        <v>51</v>
      </c>
      <c r="I225" s="100">
        <f>I210</f>
        <v>315.89</v>
      </c>
      <c r="J225" s="101">
        <f>G225*I225</f>
        <v>46252.929690000004</v>
      </c>
      <c r="K225" s="62"/>
    </row>
    <row r="226" spans="1:11" ht="15.75" x14ac:dyDescent="0.25">
      <c r="A226" s="52">
        <v>2</v>
      </c>
      <c r="B226" s="54" t="s">
        <v>61</v>
      </c>
      <c r="C226" s="63"/>
      <c r="D226" s="63"/>
      <c r="E226" s="63"/>
      <c r="F226" s="63"/>
      <c r="G226" s="63">
        <f>G225</f>
        <v>146.42100000000002</v>
      </c>
      <c r="H226" s="76" t="s">
        <v>51</v>
      </c>
      <c r="I226" s="100">
        <v>100</v>
      </c>
      <c r="J226" s="101">
        <f t="shared" ref="J226:J233" si="31">G226*I226</f>
        <v>14642.100000000002</v>
      </c>
      <c r="K226" s="62"/>
    </row>
    <row r="227" spans="1:11" ht="15.75" x14ac:dyDescent="0.25">
      <c r="A227" s="52">
        <v>3</v>
      </c>
      <c r="B227" s="54" t="s">
        <v>79</v>
      </c>
      <c r="C227" s="63"/>
      <c r="D227" s="63">
        <f>D225</f>
        <v>66</v>
      </c>
      <c r="E227" s="63">
        <v>1</v>
      </c>
      <c r="F227" s="63">
        <v>0.23</v>
      </c>
      <c r="G227" s="63">
        <f>D227*E227*F227</f>
        <v>15.180000000000001</v>
      </c>
      <c r="H227" s="76" t="s">
        <v>51</v>
      </c>
      <c r="I227" s="100">
        <v>950</v>
      </c>
      <c r="J227" s="101">
        <f t="shared" si="31"/>
        <v>14421.000000000002</v>
      </c>
      <c r="K227" s="62"/>
    </row>
    <row r="228" spans="1:11" ht="15.75" x14ac:dyDescent="0.25">
      <c r="A228" s="52">
        <v>4</v>
      </c>
      <c r="B228" s="54" t="s">
        <v>88</v>
      </c>
      <c r="C228" s="63"/>
      <c r="D228" s="63">
        <f>D225</f>
        <v>66</v>
      </c>
      <c r="E228" s="63">
        <v>1</v>
      </c>
      <c r="F228" s="63">
        <v>7.4999999999999997E-2</v>
      </c>
      <c r="G228" s="63">
        <f>D228*E228*F228</f>
        <v>4.95</v>
      </c>
      <c r="H228" s="76" t="s">
        <v>51</v>
      </c>
      <c r="I228" s="100">
        <f>I213</f>
        <v>3535.97</v>
      </c>
      <c r="J228" s="101">
        <f t="shared" si="31"/>
        <v>17503.051500000001</v>
      </c>
      <c r="K228" s="62"/>
    </row>
    <row r="229" spans="1:11" ht="15.75" x14ac:dyDescent="0.25">
      <c r="A229" s="52">
        <v>5</v>
      </c>
      <c r="B229" s="54" t="s">
        <v>81</v>
      </c>
      <c r="C229" s="63"/>
      <c r="D229" s="63">
        <f>D225</f>
        <v>66</v>
      </c>
      <c r="E229" s="63">
        <v>1</v>
      </c>
      <c r="F229" s="63">
        <v>0.2</v>
      </c>
      <c r="G229" s="63">
        <f>D229*E229*F229</f>
        <v>13.200000000000001</v>
      </c>
      <c r="H229" s="76" t="s">
        <v>51</v>
      </c>
      <c r="I229" s="100">
        <f>I214</f>
        <v>5329.43</v>
      </c>
      <c r="J229" s="101">
        <f t="shared" si="31"/>
        <v>70348.47600000001</v>
      </c>
      <c r="K229" s="62"/>
    </row>
    <row r="230" spans="1:11" ht="15.75" x14ac:dyDescent="0.25">
      <c r="A230" s="52">
        <v>6</v>
      </c>
      <c r="B230" s="54" t="s">
        <v>89</v>
      </c>
      <c r="C230" s="63"/>
      <c r="D230" s="63">
        <f>D225*2</f>
        <v>132</v>
      </c>
      <c r="E230" s="63">
        <v>1</v>
      </c>
      <c r="F230" s="63">
        <v>0.15</v>
      </c>
      <c r="G230" s="63">
        <f>D230*E230*F230</f>
        <v>19.8</v>
      </c>
      <c r="H230" s="76" t="s">
        <v>51</v>
      </c>
      <c r="I230" s="100">
        <f>I215</f>
        <v>5329.43</v>
      </c>
      <c r="J230" s="101">
        <f t="shared" si="31"/>
        <v>105522.71400000001</v>
      </c>
      <c r="K230" s="62"/>
    </row>
    <row r="231" spans="1:11" ht="15.75" x14ac:dyDescent="0.25">
      <c r="A231" s="52">
        <v>7</v>
      </c>
      <c r="B231" s="54" t="s">
        <v>90</v>
      </c>
      <c r="C231" s="63"/>
      <c r="D231" s="63">
        <f>D225*2</f>
        <v>132</v>
      </c>
      <c r="E231" s="63">
        <v>1</v>
      </c>
      <c r="F231" s="63">
        <v>0.3</v>
      </c>
      <c r="G231" s="63">
        <v>1.3</v>
      </c>
      <c r="H231" s="76" t="s">
        <v>51</v>
      </c>
      <c r="I231" s="100">
        <v>183.42</v>
      </c>
      <c r="J231" s="101">
        <f t="shared" si="31"/>
        <v>238.446</v>
      </c>
      <c r="K231" s="62"/>
    </row>
    <row r="232" spans="1:11" ht="15.75" x14ac:dyDescent="0.25">
      <c r="A232" s="52">
        <v>8</v>
      </c>
      <c r="B232" s="54" t="s">
        <v>63</v>
      </c>
      <c r="C232" s="63"/>
      <c r="D232" s="63"/>
      <c r="E232" s="63">
        <f>G229+G230</f>
        <v>33</v>
      </c>
      <c r="F232" s="63">
        <v>100</v>
      </c>
      <c r="G232" s="63">
        <f>E232*F232</f>
        <v>3300</v>
      </c>
      <c r="H232" s="76" t="s">
        <v>56</v>
      </c>
      <c r="I232" s="100">
        <v>66.239999999999995</v>
      </c>
      <c r="J232" s="101">
        <f t="shared" si="31"/>
        <v>218591.99999999997</v>
      </c>
      <c r="K232" s="62"/>
    </row>
    <row r="233" spans="1:11" ht="15.75" x14ac:dyDescent="0.25">
      <c r="A233" s="52">
        <v>9</v>
      </c>
      <c r="B233" s="54" t="s">
        <v>319</v>
      </c>
      <c r="C233" s="63"/>
      <c r="D233" s="63">
        <f>D225*4</f>
        <v>264</v>
      </c>
      <c r="E233" s="63">
        <v>1</v>
      </c>
      <c r="F233" s="63">
        <v>1</v>
      </c>
      <c r="G233" s="63">
        <f>D233*E233*F233</f>
        <v>264</v>
      </c>
      <c r="H233" s="76" t="s">
        <v>36</v>
      </c>
      <c r="I233" s="100">
        <f>I217</f>
        <v>718.4</v>
      </c>
      <c r="J233" s="101">
        <f t="shared" si="31"/>
        <v>189657.60000000001</v>
      </c>
      <c r="K233" s="62"/>
    </row>
    <row r="234" spans="1:11" ht="15.75" x14ac:dyDescent="0.25">
      <c r="A234" s="50"/>
      <c r="B234" s="51"/>
      <c r="C234" s="48"/>
      <c r="D234" s="48"/>
      <c r="E234" s="48"/>
      <c r="F234" s="27"/>
      <c r="G234" s="27"/>
      <c r="H234" s="268" t="s">
        <v>66</v>
      </c>
      <c r="I234" s="268"/>
      <c r="J234" s="264">
        <f>SUM(J225:J233)</f>
        <v>677178.31718999997</v>
      </c>
      <c r="K234" s="285">
        <f>J234</f>
        <v>677178.31718999997</v>
      </c>
    </row>
    <row r="235" spans="1:11" s="116" customFormat="1" ht="18.75" x14ac:dyDescent="0.3">
      <c r="A235" s="38"/>
      <c r="B235" s="138" t="s">
        <v>193</v>
      </c>
      <c r="C235" s="40"/>
      <c r="D235" s="13"/>
      <c r="E235" s="40"/>
      <c r="F235" s="40"/>
      <c r="G235" s="40"/>
      <c r="H235" s="78"/>
      <c r="I235" s="96"/>
      <c r="J235" s="68"/>
      <c r="K235" s="40"/>
    </row>
    <row r="236" spans="1:11" s="116" customFormat="1" ht="15.75" x14ac:dyDescent="0.25">
      <c r="A236" s="50">
        <v>1</v>
      </c>
      <c r="B236" s="51" t="s">
        <v>60</v>
      </c>
      <c r="C236" s="48"/>
      <c r="D236" s="125">
        <f>(28*18)*2</f>
        <v>1008</v>
      </c>
      <c r="E236" s="126"/>
      <c r="F236" s="48">
        <f>F238+F239+F240</f>
        <v>0.57499999999999996</v>
      </c>
      <c r="G236" s="48">
        <f>D236*F236</f>
        <v>579.59999999999991</v>
      </c>
      <c r="H236" s="75" t="s">
        <v>51</v>
      </c>
      <c r="I236" s="97">
        <v>315.89</v>
      </c>
      <c r="J236" s="69">
        <f t="shared" ref="J236:J241" si="32">G236*I236</f>
        <v>183089.84399999995</v>
      </c>
      <c r="K236" s="44"/>
    </row>
    <row r="237" spans="1:11" s="116" customFormat="1" ht="15.75" x14ac:dyDescent="0.25">
      <c r="A237" s="50">
        <v>2</v>
      </c>
      <c r="B237" s="51" t="s">
        <v>75</v>
      </c>
      <c r="C237" s="48"/>
      <c r="D237" s="48"/>
      <c r="E237" s="48"/>
      <c r="F237" s="48"/>
      <c r="G237" s="48">
        <f>G236</f>
        <v>579.59999999999991</v>
      </c>
      <c r="H237" s="75" t="s">
        <v>51</v>
      </c>
      <c r="I237" s="97">
        <v>100</v>
      </c>
      <c r="J237" s="69">
        <f t="shared" si="32"/>
        <v>57959.999999999993</v>
      </c>
      <c r="K237" s="44"/>
    </row>
    <row r="238" spans="1:11" s="116" customFormat="1" ht="15.75" x14ac:dyDescent="0.25">
      <c r="A238" s="50">
        <v>3</v>
      </c>
      <c r="B238" s="51" t="s">
        <v>76</v>
      </c>
      <c r="C238" s="48"/>
      <c r="D238" s="125">
        <f>D236</f>
        <v>1008</v>
      </c>
      <c r="E238" s="126"/>
      <c r="F238" s="48">
        <v>0.35</v>
      </c>
      <c r="G238" s="48">
        <f>D238*F238</f>
        <v>352.79999999999995</v>
      </c>
      <c r="H238" s="75" t="s">
        <v>51</v>
      </c>
      <c r="I238" s="97">
        <v>1500</v>
      </c>
      <c r="J238" s="69">
        <f t="shared" si="32"/>
        <v>529199.99999999988</v>
      </c>
      <c r="K238" s="44"/>
    </row>
    <row r="239" spans="1:11" s="116" customFormat="1" ht="15.75" x14ac:dyDescent="0.25">
      <c r="A239" s="50">
        <v>4</v>
      </c>
      <c r="B239" s="51" t="s">
        <v>77</v>
      </c>
      <c r="C239" s="48"/>
      <c r="D239" s="125">
        <f>D236</f>
        <v>1008</v>
      </c>
      <c r="E239" s="126"/>
      <c r="F239" s="48">
        <v>7.4999999999999997E-2</v>
      </c>
      <c r="G239" s="48">
        <f>D239*F239</f>
        <v>75.599999999999994</v>
      </c>
      <c r="H239" s="75" t="s">
        <v>36</v>
      </c>
      <c r="I239" s="97">
        <v>3535.97</v>
      </c>
      <c r="J239" s="69">
        <f t="shared" si="32"/>
        <v>267319.33199999994</v>
      </c>
      <c r="K239" s="44"/>
    </row>
    <row r="240" spans="1:11" s="116" customFormat="1" ht="15.75" x14ac:dyDescent="0.25">
      <c r="A240" s="50">
        <v>5</v>
      </c>
      <c r="B240" s="51" t="s">
        <v>78</v>
      </c>
      <c r="C240" s="48"/>
      <c r="D240" s="125">
        <f>D236</f>
        <v>1008</v>
      </c>
      <c r="E240" s="126"/>
      <c r="F240" s="48">
        <v>0.15</v>
      </c>
      <c r="G240" s="48">
        <f>D240*F240</f>
        <v>151.19999999999999</v>
      </c>
      <c r="H240" s="75" t="s">
        <v>36</v>
      </c>
      <c r="I240" s="97">
        <v>5329.43</v>
      </c>
      <c r="J240" s="69">
        <f t="shared" si="32"/>
        <v>805809.81599999999</v>
      </c>
      <c r="K240" s="44"/>
    </row>
    <row r="241" spans="1:11" s="116" customFormat="1" ht="15.75" x14ac:dyDescent="0.25">
      <c r="A241" s="50">
        <v>6</v>
      </c>
      <c r="B241" s="51" t="s">
        <v>63</v>
      </c>
      <c r="C241" s="48"/>
      <c r="D241" s="48">
        <f>G240</f>
        <v>151.19999999999999</v>
      </c>
      <c r="E241" s="48">
        <v>100</v>
      </c>
      <c r="F241" s="48"/>
      <c r="G241" s="48">
        <f>D241*E241</f>
        <v>15119.999999999998</v>
      </c>
      <c r="H241" s="75" t="s">
        <v>56</v>
      </c>
      <c r="I241" s="97">
        <v>66.239999999999995</v>
      </c>
      <c r="J241" s="69">
        <f t="shared" si="32"/>
        <v>1001548.7999999998</v>
      </c>
      <c r="K241" s="44"/>
    </row>
    <row r="242" spans="1:11" s="116" customFormat="1" ht="15.75" x14ac:dyDescent="0.25">
      <c r="A242" s="50"/>
      <c r="B242" s="51"/>
      <c r="C242" s="48"/>
      <c r="D242" s="48"/>
      <c r="E242" s="48"/>
      <c r="F242" s="48"/>
      <c r="G242" s="91"/>
      <c r="H242" s="268" t="s">
        <v>66</v>
      </c>
      <c r="I242" s="268"/>
      <c r="J242" s="264">
        <f>SUM(J236:J241)</f>
        <v>2844927.7919999994</v>
      </c>
      <c r="K242" s="285">
        <f>J242</f>
        <v>2844927.7919999994</v>
      </c>
    </row>
    <row r="243" spans="1:11" s="116" customFormat="1" ht="18.75" x14ac:dyDescent="0.3">
      <c r="A243" s="50"/>
      <c r="B243" s="156" t="s">
        <v>206</v>
      </c>
      <c r="C243" s="48">
        <v>1</v>
      </c>
      <c r="D243" s="48">
        <v>10</v>
      </c>
      <c r="E243" s="48">
        <v>5</v>
      </c>
      <c r="F243" s="48"/>
      <c r="G243" s="91">
        <f>C243*D243*E243</f>
        <v>50</v>
      </c>
      <c r="H243" s="268" t="s">
        <v>102</v>
      </c>
      <c r="I243" s="268">
        <v>20000</v>
      </c>
      <c r="J243" s="264">
        <f>G243*I243</f>
        <v>1000000</v>
      </c>
      <c r="K243" s="285">
        <f>J243</f>
        <v>1000000</v>
      </c>
    </row>
    <row r="244" spans="1:11" s="116" customFormat="1" ht="18.75" x14ac:dyDescent="0.3">
      <c r="A244" s="50"/>
      <c r="B244" s="156" t="s">
        <v>286</v>
      </c>
      <c r="C244" s="48"/>
      <c r="D244" s="48"/>
      <c r="E244" s="48"/>
      <c r="F244" s="48"/>
      <c r="G244" s="91"/>
      <c r="H244" s="268"/>
      <c r="I244" s="268"/>
      <c r="J244" s="264"/>
      <c r="K244" s="285"/>
    </row>
    <row r="245" spans="1:11" ht="15.75" x14ac:dyDescent="0.25">
      <c r="A245" s="30"/>
      <c r="B245" s="34" t="s">
        <v>71</v>
      </c>
      <c r="C245" s="27">
        <v>2</v>
      </c>
      <c r="D245" s="6">
        <v>18</v>
      </c>
      <c r="E245" s="46"/>
      <c r="F245" s="46"/>
      <c r="G245" s="71">
        <f>C245*D245</f>
        <v>36</v>
      </c>
      <c r="H245" s="286" t="s">
        <v>39</v>
      </c>
      <c r="I245" s="287">
        <v>2394.6799999999998</v>
      </c>
      <c r="J245" s="288">
        <f t="shared" ref="J245:J247" si="33">G245*I245</f>
        <v>86208.48</v>
      </c>
      <c r="K245" s="289"/>
    </row>
    <row r="246" spans="1:11" ht="15.75" x14ac:dyDescent="0.25">
      <c r="A246" s="30"/>
      <c r="B246" s="34" t="s">
        <v>31</v>
      </c>
      <c r="C246" s="27">
        <v>2</v>
      </c>
      <c r="D246" s="6"/>
      <c r="E246" s="46"/>
      <c r="F246" s="46"/>
      <c r="G246" s="71">
        <f>C246</f>
        <v>2</v>
      </c>
      <c r="H246" s="74" t="s">
        <v>67</v>
      </c>
      <c r="I246" s="21">
        <v>509.51</v>
      </c>
      <c r="J246" s="70">
        <f t="shared" si="33"/>
        <v>1019.02</v>
      </c>
      <c r="K246" s="160"/>
    </row>
    <row r="247" spans="1:11" ht="15.75" x14ac:dyDescent="0.25">
      <c r="A247" s="30"/>
      <c r="B247" s="37" t="s">
        <v>32</v>
      </c>
      <c r="C247" s="27">
        <v>2</v>
      </c>
      <c r="D247" s="6"/>
      <c r="E247" s="46"/>
      <c r="F247" s="46"/>
      <c r="G247" s="71">
        <f>C247</f>
        <v>2</v>
      </c>
      <c r="H247" s="74" t="s">
        <v>67</v>
      </c>
      <c r="I247" s="21">
        <v>1273.76</v>
      </c>
      <c r="J247" s="70">
        <f t="shared" si="33"/>
        <v>2547.52</v>
      </c>
      <c r="K247" s="160"/>
    </row>
    <row r="248" spans="1:11" s="116" customFormat="1" ht="15.75" x14ac:dyDescent="0.25">
      <c r="A248" s="38" t="s">
        <v>96</v>
      </c>
      <c r="B248" s="46" t="s">
        <v>287</v>
      </c>
      <c r="C248" s="14"/>
      <c r="D248" s="14"/>
      <c r="E248" s="46"/>
      <c r="F248" s="46"/>
      <c r="G248" s="68"/>
      <c r="H248" s="78"/>
      <c r="I248" s="96"/>
      <c r="J248" s="68"/>
      <c r="K248" s="44"/>
    </row>
    <row r="249" spans="1:11" s="116" customFormat="1" ht="15.75" x14ac:dyDescent="0.25">
      <c r="A249" s="47">
        <v>1</v>
      </c>
      <c r="B249" s="48" t="s">
        <v>60</v>
      </c>
      <c r="C249" s="8"/>
      <c r="D249" s="8">
        <f>1.98+0.5+0.5</f>
        <v>2.98</v>
      </c>
      <c r="E249" s="48">
        <f>D249</f>
        <v>2.98</v>
      </c>
      <c r="F249" s="48">
        <f>0.7+0.05+0.23</f>
        <v>0.98</v>
      </c>
      <c r="G249" s="69">
        <f>D249*E249*F249</f>
        <v>8.7027920000000005</v>
      </c>
      <c r="H249" s="75" t="s">
        <v>51</v>
      </c>
      <c r="I249" s="97">
        <v>315.89</v>
      </c>
      <c r="J249" s="69">
        <f>G249*I249</f>
        <v>2749.1249648799999</v>
      </c>
      <c r="K249" s="44"/>
    </row>
    <row r="250" spans="1:11" s="116" customFormat="1" ht="15.75" x14ac:dyDescent="0.25">
      <c r="A250" s="47">
        <v>2</v>
      </c>
      <c r="B250" s="48" t="s">
        <v>61</v>
      </c>
      <c r="C250" s="8"/>
      <c r="D250" s="8"/>
      <c r="E250" s="48"/>
      <c r="F250" s="48"/>
      <c r="G250" s="69">
        <f>G249</f>
        <v>8.7027920000000005</v>
      </c>
      <c r="H250" s="75" t="s">
        <v>51</v>
      </c>
      <c r="I250" s="97">
        <v>100</v>
      </c>
      <c r="J250" s="69">
        <f t="shared" ref="J250:J254" si="34">G250*I250</f>
        <v>870.27920000000006</v>
      </c>
      <c r="K250" s="44"/>
    </row>
    <row r="251" spans="1:11" s="116" customFormat="1" ht="15.75" x14ac:dyDescent="0.25">
      <c r="A251" s="47">
        <v>3</v>
      </c>
      <c r="B251" s="48" t="s">
        <v>62</v>
      </c>
      <c r="C251" s="8"/>
      <c r="D251" s="8">
        <v>3.14</v>
      </c>
      <c r="E251" s="48">
        <f>1.8*1.8</f>
        <v>3.24</v>
      </c>
      <c r="F251" s="48">
        <v>1</v>
      </c>
      <c r="G251" s="69">
        <f>D251*E251*F251</f>
        <v>10.1736</v>
      </c>
      <c r="H251" s="75" t="s">
        <v>51</v>
      </c>
      <c r="I251" s="97">
        <v>5329.43</v>
      </c>
      <c r="J251" s="69">
        <f t="shared" si="34"/>
        <v>54219.489048000003</v>
      </c>
      <c r="K251" s="44"/>
    </row>
    <row r="252" spans="1:11" s="116" customFormat="1" ht="15.75" x14ac:dyDescent="0.25">
      <c r="A252" s="47">
        <v>4</v>
      </c>
      <c r="B252" s="48" t="s">
        <v>72</v>
      </c>
      <c r="C252" s="8"/>
      <c r="D252" s="8">
        <v>3.14</v>
      </c>
      <c r="E252" s="48">
        <f>D249</f>
        <v>2.98</v>
      </c>
      <c r="F252" s="48">
        <v>0.1</v>
      </c>
      <c r="G252" s="69">
        <f>D252*E252*F252</f>
        <v>0.93572000000000011</v>
      </c>
      <c r="H252" s="75" t="s">
        <v>51</v>
      </c>
      <c r="I252" s="97">
        <v>927.3</v>
      </c>
      <c r="J252" s="69">
        <f t="shared" si="34"/>
        <v>867.69315600000004</v>
      </c>
      <c r="K252" s="44"/>
    </row>
    <row r="253" spans="1:11" s="116" customFormat="1" ht="15.75" x14ac:dyDescent="0.25">
      <c r="A253" s="47">
        <v>5</v>
      </c>
      <c r="B253" s="48" t="s">
        <v>63</v>
      </c>
      <c r="C253" s="8"/>
      <c r="D253" s="8"/>
      <c r="E253" s="48">
        <f>G251</f>
        <v>10.1736</v>
      </c>
      <c r="F253" s="48">
        <v>100</v>
      </c>
      <c r="G253" s="69">
        <f>E253*F253</f>
        <v>1017.36</v>
      </c>
      <c r="H253" s="75" t="s">
        <v>56</v>
      </c>
      <c r="I253" s="97">
        <v>66.239999999999995</v>
      </c>
      <c r="J253" s="70">
        <f t="shared" si="34"/>
        <v>67389.926399999997</v>
      </c>
      <c r="K253" s="44"/>
    </row>
    <row r="254" spans="1:11" s="116" customFormat="1" ht="15.75" x14ac:dyDescent="0.25">
      <c r="A254" s="47">
        <v>6</v>
      </c>
      <c r="B254" s="48" t="s">
        <v>64</v>
      </c>
      <c r="C254" s="8"/>
      <c r="D254" s="8">
        <v>1</v>
      </c>
      <c r="E254" s="48">
        <f>3.14*D249</f>
        <v>9.3572000000000006</v>
      </c>
      <c r="F254" s="48">
        <v>1.5</v>
      </c>
      <c r="G254" s="69">
        <f>D254*E254*F254</f>
        <v>14.035800000000002</v>
      </c>
      <c r="H254" s="75" t="s">
        <v>36</v>
      </c>
      <c r="I254" s="97">
        <v>718.4</v>
      </c>
      <c r="J254" s="69">
        <f t="shared" si="34"/>
        <v>10083.318720000001</v>
      </c>
      <c r="K254" s="44"/>
    </row>
    <row r="255" spans="1:11" s="116" customFormat="1" ht="15.75" x14ac:dyDescent="0.25">
      <c r="A255" s="47">
        <v>7</v>
      </c>
      <c r="B255" s="48" t="s">
        <v>65</v>
      </c>
      <c r="C255" s="8"/>
      <c r="D255" s="8">
        <f>(3.14*1.98)/0.3</f>
        <v>20.724</v>
      </c>
      <c r="E255" s="48">
        <v>16</v>
      </c>
      <c r="F255" s="48"/>
      <c r="G255" s="69">
        <f>D255*E255</f>
        <v>331.584</v>
      </c>
      <c r="H255" s="75" t="s">
        <v>56</v>
      </c>
      <c r="I255" s="97">
        <v>125</v>
      </c>
      <c r="J255" s="69">
        <f>G255*I255</f>
        <v>41448</v>
      </c>
      <c r="K255" s="44"/>
    </row>
    <row r="256" spans="1:11" s="116" customFormat="1" ht="15.75" x14ac:dyDescent="0.25">
      <c r="A256" s="47">
        <v>8</v>
      </c>
      <c r="B256" s="48" t="s">
        <v>73</v>
      </c>
      <c r="C256" s="8">
        <v>1</v>
      </c>
      <c r="D256" s="8">
        <f>D249</f>
        <v>2.98</v>
      </c>
      <c r="E256" s="48">
        <f>E249</f>
        <v>2.98</v>
      </c>
      <c r="F256" s="48">
        <v>0.05</v>
      </c>
      <c r="G256" s="69">
        <f>C256*D256*E256*F256</f>
        <v>0.44402000000000003</v>
      </c>
      <c r="H256" s="75" t="s">
        <v>12</v>
      </c>
      <c r="I256" s="97">
        <v>3535.29</v>
      </c>
      <c r="J256" s="69">
        <f>G256*I256</f>
        <v>1569.7394658000001</v>
      </c>
      <c r="K256" s="44"/>
    </row>
    <row r="257" spans="1:11" s="116" customFormat="1" ht="15.75" x14ac:dyDescent="0.25">
      <c r="A257" s="50"/>
      <c r="B257" s="26" t="s">
        <v>270</v>
      </c>
      <c r="C257" s="40"/>
      <c r="D257" s="13"/>
      <c r="E257" s="40"/>
      <c r="F257" s="40"/>
      <c r="G257" s="13"/>
      <c r="H257" s="78"/>
      <c r="I257" s="96"/>
      <c r="J257" s="68"/>
      <c r="K257" s="160"/>
    </row>
    <row r="258" spans="1:11" s="116" customFormat="1" ht="15.75" x14ac:dyDescent="0.25">
      <c r="A258" s="50"/>
      <c r="B258" s="42" t="s">
        <v>50</v>
      </c>
      <c r="C258" s="43">
        <v>2.1</v>
      </c>
      <c r="D258" s="66">
        <v>1.6</v>
      </c>
      <c r="E258" s="43">
        <v>1.2</v>
      </c>
      <c r="F258" s="43">
        <v>3</v>
      </c>
      <c r="G258" s="66">
        <f>F258*E258*D258*C258</f>
        <v>12.096</v>
      </c>
      <c r="H258" s="73" t="s">
        <v>51</v>
      </c>
      <c r="I258" s="94">
        <v>315.89</v>
      </c>
      <c r="J258" s="95">
        <f>I258*G258</f>
        <v>3821.0054399999999</v>
      </c>
      <c r="K258" s="160"/>
    </row>
    <row r="259" spans="1:11" s="116" customFormat="1" ht="15.75" x14ac:dyDescent="0.25">
      <c r="A259" s="50"/>
      <c r="B259" s="42" t="s">
        <v>13</v>
      </c>
      <c r="C259" s="43">
        <f>C261+0.3</f>
        <v>1.8</v>
      </c>
      <c r="D259" s="66">
        <f>D258</f>
        <v>1.6</v>
      </c>
      <c r="E259" s="43">
        <v>0.23</v>
      </c>
      <c r="F259" s="43">
        <f>F258</f>
        <v>3</v>
      </c>
      <c r="G259" s="66">
        <f>F259*E259*D259*C259</f>
        <v>1.9872000000000003</v>
      </c>
      <c r="H259" s="73" t="s">
        <v>51</v>
      </c>
      <c r="I259" s="94">
        <v>1500</v>
      </c>
      <c r="J259" s="95">
        <f>I259*G259</f>
        <v>2980.8000000000006</v>
      </c>
      <c r="K259" s="160"/>
    </row>
    <row r="260" spans="1:11" s="116" customFormat="1" ht="15.75" x14ac:dyDescent="0.25">
      <c r="A260" s="50"/>
      <c r="B260" s="42" t="s">
        <v>53</v>
      </c>
      <c r="C260" s="43">
        <f>C259</f>
        <v>1.8</v>
      </c>
      <c r="D260" s="66">
        <f>D258</f>
        <v>1.6</v>
      </c>
      <c r="E260" s="43">
        <v>0.1</v>
      </c>
      <c r="F260" s="43">
        <f>F258</f>
        <v>3</v>
      </c>
      <c r="G260" s="66">
        <f>F260*E260*D260*C260</f>
        <v>0.86400000000000021</v>
      </c>
      <c r="H260" s="73" t="s">
        <v>51</v>
      </c>
      <c r="I260" s="94">
        <v>3535.97</v>
      </c>
      <c r="J260" s="95">
        <f>I260*G260</f>
        <v>3055.0780800000007</v>
      </c>
      <c r="K260" s="160"/>
    </row>
    <row r="261" spans="1:11" s="116" customFormat="1" ht="15.75" x14ac:dyDescent="0.25">
      <c r="A261" s="50"/>
      <c r="B261" s="42" t="s">
        <v>54</v>
      </c>
      <c r="C261" s="43">
        <v>1.5</v>
      </c>
      <c r="D261" s="66">
        <v>1</v>
      </c>
      <c r="E261" s="43">
        <v>0.75</v>
      </c>
      <c r="F261" s="43">
        <f>F258</f>
        <v>3</v>
      </c>
      <c r="G261" s="66">
        <f>F261*E261*D261*C261</f>
        <v>3.375</v>
      </c>
      <c r="H261" s="73" t="s">
        <v>51</v>
      </c>
      <c r="I261" s="94"/>
      <c r="J261" s="95"/>
      <c r="K261" s="160"/>
    </row>
    <row r="262" spans="1:11" s="116" customFormat="1" ht="15.75" x14ac:dyDescent="0.25">
      <c r="A262" s="50"/>
      <c r="B262" s="42"/>
      <c r="C262" s="43"/>
      <c r="D262" s="66"/>
      <c r="E262" s="43"/>
      <c r="F262" s="43"/>
      <c r="G262" s="66">
        <f>G261</f>
        <v>3.375</v>
      </c>
      <c r="H262" s="73" t="s">
        <v>51</v>
      </c>
      <c r="I262" s="94">
        <v>5329.43</v>
      </c>
      <c r="J262" s="95">
        <f>I262*G262</f>
        <v>17986.826250000002</v>
      </c>
      <c r="K262" s="160"/>
    </row>
    <row r="263" spans="1:11" s="116" customFormat="1" ht="15.75" x14ac:dyDescent="0.25">
      <c r="A263" s="50"/>
      <c r="B263" s="42" t="s">
        <v>55</v>
      </c>
      <c r="C263" s="43">
        <f>G262</f>
        <v>3.375</v>
      </c>
      <c r="D263" s="66"/>
      <c r="E263" s="43"/>
      <c r="F263" s="43">
        <v>8</v>
      </c>
      <c r="G263" s="66">
        <f>F263*C263</f>
        <v>27</v>
      </c>
      <c r="H263" s="73" t="s">
        <v>36</v>
      </c>
      <c r="I263" s="94">
        <v>718.4</v>
      </c>
      <c r="J263" s="95">
        <f t="shared" ref="J263:J267" si="35">I263*G263</f>
        <v>19396.8</v>
      </c>
      <c r="K263" s="160"/>
    </row>
    <row r="264" spans="1:11" s="116" customFormat="1" ht="15.75" x14ac:dyDescent="0.25">
      <c r="A264" s="50"/>
      <c r="B264" s="42" t="s">
        <v>5</v>
      </c>
      <c r="C264" s="43">
        <f>G262</f>
        <v>3.375</v>
      </c>
      <c r="D264" s="66"/>
      <c r="E264" s="43"/>
      <c r="F264" s="43">
        <v>125</v>
      </c>
      <c r="G264" s="66">
        <f>F264*C264</f>
        <v>421.875</v>
      </c>
      <c r="H264" s="73" t="s">
        <v>56</v>
      </c>
      <c r="I264" s="94">
        <f>I253</f>
        <v>66.239999999999995</v>
      </c>
      <c r="J264" s="95">
        <f t="shared" si="35"/>
        <v>27944.999999999996</v>
      </c>
      <c r="K264" s="160"/>
    </row>
    <row r="265" spans="1:11" s="116" customFormat="1" ht="15.75" x14ac:dyDescent="0.25">
      <c r="A265" s="50"/>
      <c r="B265" s="42" t="s">
        <v>44</v>
      </c>
      <c r="C265" s="66">
        <f>G258-G259-G260-G261</f>
        <v>5.8697999999999997</v>
      </c>
      <c r="D265" s="66"/>
      <c r="E265" s="43"/>
      <c r="F265" s="43">
        <v>1</v>
      </c>
      <c r="G265" s="66">
        <f>F265*C265</f>
        <v>5.8697999999999997</v>
      </c>
      <c r="H265" s="73" t="s">
        <v>51</v>
      </c>
      <c r="I265" s="94">
        <v>183.42</v>
      </c>
      <c r="J265" s="95">
        <f t="shared" si="35"/>
        <v>1076.6387159999999</v>
      </c>
      <c r="K265" s="160"/>
    </row>
    <row r="266" spans="1:11" s="116" customFormat="1" ht="15.75" x14ac:dyDescent="0.25">
      <c r="A266" s="50"/>
      <c r="B266" s="42" t="s">
        <v>57</v>
      </c>
      <c r="C266" s="43">
        <v>6</v>
      </c>
      <c r="D266" s="66"/>
      <c r="E266" s="43"/>
      <c r="F266" s="43">
        <v>1</v>
      </c>
      <c r="G266" s="66">
        <f>F266*C266</f>
        <v>6</v>
      </c>
      <c r="H266" s="73" t="s">
        <v>9</v>
      </c>
      <c r="I266" s="94">
        <v>400</v>
      </c>
      <c r="J266" s="95">
        <f t="shared" si="35"/>
        <v>2400</v>
      </c>
      <c r="K266" s="160"/>
    </row>
    <row r="267" spans="1:11" s="116" customFormat="1" ht="15.75" x14ac:dyDescent="0.25">
      <c r="A267" s="50"/>
      <c r="B267" s="42" t="s">
        <v>58</v>
      </c>
      <c r="C267" s="43">
        <v>0.1</v>
      </c>
      <c r="D267" s="66">
        <v>0.1</v>
      </c>
      <c r="E267" s="43">
        <v>0.3</v>
      </c>
      <c r="F267" s="43">
        <f>G266</f>
        <v>6</v>
      </c>
      <c r="G267" s="66">
        <f>C267*D267*E267*F267</f>
        <v>1.8000000000000002E-2</v>
      </c>
      <c r="H267" s="73" t="s">
        <v>51</v>
      </c>
      <c r="I267" s="94">
        <f>5502.66/0.05</f>
        <v>110053.2</v>
      </c>
      <c r="J267" s="95">
        <f t="shared" si="35"/>
        <v>1980.9576000000002</v>
      </c>
      <c r="K267" s="160"/>
    </row>
    <row r="268" spans="1:11" s="199" customFormat="1" ht="15.75" x14ac:dyDescent="0.25">
      <c r="A268" s="193"/>
      <c r="B268" s="147" t="s">
        <v>271</v>
      </c>
      <c r="C268" s="194"/>
      <c r="D268" s="195"/>
      <c r="E268" s="194"/>
      <c r="F268" s="194"/>
      <c r="G268" s="195"/>
      <c r="H268" s="196"/>
      <c r="I268" s="197"/>
      <c r="J268" s="198"/>
      <c r="K268" s="26"/>
    </row>
    <row r="269" spans="1:11" ht="15.75" x14ac:dyDescent="0.25">
      <c r="A269" s="30"/>
      <c r="B269" s="34" t="s">
        <v>71</v>
      </c>
      <c r="C269" s="6">
        <v>4</v>
      </c>
      <c r="D269" s="6">
        <v>18</v>
      </c>
      <c r="E269" s="46"/>
      <c r="F269" s="46"/>
      <c r="G269" s="70">
        <f>C269*D269</f>
        <v>72</v>
      </c>
      <c r="H269" s="74" t="s">
        <v>39</v>
      </c>
      <c r="I269" s="21">
        <v>2394.6799999999998</v>
      </c>
      <c r="J269" s="70">
        <f t="shared" ref="J269:J271" si="36">G269*I269</f>
        <v>172416.96</v>
      </c>
      <c r="K269" s="44"/>
    </row>
    <row r="270" spans="1:11" ht="15.75" x14ac:dyDescent="0.25">
      <c r="A270" s="30"/>
      <c r="B270" s="34" t="s">
        <v>31</v>
      </c>
      <c r="C270" s="6">
        <f>C269</f>
        <v>4</v>
      </c>
      <c r="D270" s="6"/>
      <c r="E270" s="46"/>
      <c r="F270" s="46"/>
      <c r="G270" s="70">
        <f>C270</f>
        <v>4</v>
      </c>
      <c r="H270" s="74" t="s">
        <v>67</v>
      </c>
      <c r="I270" s="21">
        <v>509.51</v>
      </c>
      <c r="J270" s="70">
        <f t="shared" si="36"/>
        <v>2038.04</v>
      </c>
      <c r="K270" s="44"/>
    </row>
    <row r="271" spans="1:11" ht="15.75" x14ac:dyDescent="0.25">
      <c r="A271" s="30"/>
      <c r="B271" s="37" t="s">
        <v>32</v>
      </c>
      <c r="C271" s="6">
        <f>C269</f>
        <v>4</v>
      </c>
      <c r="D271" s="6"/>
      <c r="E271" s="46"/>
      <c r="F271" s="46"/>
      <c r="G271" s="70">
        <f>C271</f>
        <v>4</v>
      </c>
      <c r="H271" s="74" t="s">
        <v>67</v>
      </c>
      <c r="I271" s="21">
        <v>1273.76</v>
      </c>
      <c r="J271" s="70">
        <f t="shared" si="36"/>
        <v>5095.04</v>
      </c>
      <c r="K271" s="44"/>
    </row>
    <row r="272" spans="1:11" ht="15.75" x14ac:dyDescent="0.25">
      <c r="A272" s="38" t="s">
        <v>96</v>
      </c>
      <c r="B272" s="46" t="s">
        <v>272</v>
      </c>
      <c r="C272" s="14"/>
      <c r="D272" s="14"/>
      <c r="E272" s="46"/>
      <c r="F272" s="46"/>
      <c r="G272" s="68"/>
      <c r="H272" s="78"/>
      <c r="I272" s="96"/>
      <c r="J272" s="68"/>
      <c r="K272" s="44"/>
    </row>
    <row r="273" spans="1:11" ht="15.75" x14ac:dyDescent="0.25">
      <c r="A273" s="47"/>
      <c r="B273" s="42" t="s">
        <v>50</v>
      </c>
      <c r="C273" s="66">
        <f>C276+0.6</f>
        <v>2.2799999999999998</v>
      </c>
      <c r="D273" s="66">
        <f>D276+0.6</f>
        <v>1.85</v>
      </c>
      <c r="E273" s="43">
        <f>E276+E275+E274</f>
        <v>0.83</v>
      </c>
      <c r="F273" s="43">
        <v>1</v>
      </c>
      <c r="G273" s="66">
        <f>F273*E273*D273*C273</f>
        <v>3.5009399999999999</v>
      </c>
      <c r="H273" s="73" t="s">
        <v>51</v>
      </c>
      <c r="I273" s="94">
        <v>315.89</v>
      </c>
      <c r="J273" s="95">
        <f>I273*G273</f>
        <v>1105.9119366</v>
      </c>
      <c r="K273" s="44"/>
    </row>
    <row r="274" spans="1:11" ht="15.75" x14ac:dyDescent="0.25">
      <c r="A274" s="47"/>
      <c r="B274" s="42" t="s">
        <v>13</v>
      </c>
      <c r="C274" s="66">
        <v>1.3</v>
      </c>
      <c r="D274" s="66">
        <f>D273</f>
        <v>1.85</v>
      </c>
      <c r="E274" s="43">
        <v>0.23</v>
      </c>
      <c r="F274" s="43">
        <f>F273</f>
        <v>1</v>
      </c>
      <c r="G274" s="66">
        <f>F274*E274*D274*C274</f>
        <v>0.55315000000000003</v>
      </c>
      <c r="H274" s="73" t="s">
        <v>51</v>
      </c>
      <c r="I274" s="94">
        <v>950</v>
      </c>
      <c r="J274" s="95">
        <f>I274*G274</f>
        <v>525.49250000000006</v>
      </c>
      <c r="K274" s="44"/>
    </row>
    <row r="275" spans="1:11" ht="15.75" x14ac:dyDescent="0.25">
      <c r="A275" s="47"/>
      <c r="B275" s="42" t="s">
        <v>53</v>
      </c>
      <c r="C275" s="66">
        <f>C274</f>
        <v>1.3</v>
      </c>
      <c r="D275" s="66">
        <f>D273</f>
        <v>1.85</v>
      </c>
      <c r="E275" s="43">
        <v>0.1</v>
      </c>
      <c r="F275" s="43">
        <f>F273</f>
        <v>1</v>
      </c>
      <c r="G275" s="66">
        <f>F275*E275*D275*C275</f>
        <v>0.24050000000000005</v>
      </c>
      <c r="H275" s="73" t="s">
        <v>51</v>
      </c>
      <c r="I275" s="94">
        <v>3535.97</v>
      </c>
      <c r="J275" s="95">
        <f>I275*G275</f>
        <v>850.40078500000016</v>
      </c>
      <c r="K275" s="44"/>
    </row>
    <row r="276" spans="1:11" ht="15.75" x14ac:dyDescent="0.25">
      <c r="A276" s="47"/>
      <c r="B276" s="42" t="s">
        <v>54</v>
      </c>
      <c r="C276" s="66">
        <v>1.68</v>
      </c>
      <c r="D276" s="66">
        <v>1.25</v>
      </c>
      <c r="E276" s="43">
        <v>0.5</v>
      </c>
      <c r="F276" s="43">
        <f>F273</f>
        <v>1</v>
      </c>
      <c r="G276" s="66">
        <f>F276*E276*D276*C276</f>
        <v>1.05</v>
      </c>
      <c r="H276" s="73" t="s">
        <v>51</v>
      </c>
      <c r="I276" s="94"/>
      <c r="J276" s="95"/>
      <c r="K276" s="44"/>
    </row>
    <row r="277" spans="1:11" ht="15.75" x14ac:dyDescent="0.25">
      <c r="A277" s="47"/>
      <c r="B277" s="42"/>
      <c r="C277" s="66">
        <v>0.85</v>
      </c>
      <c r="D277" s="66">
        <v>0.22500000000000001</v>
      </c>
      <c r="E277" s="43">
        <v>0.3</v>
      </c>
      <c r="F277" s="43">
        <v>2</v>
      </c>
      <c r="G277" s="66">
        <f>F277*E277*D277*C277</f>
        <v>0.11475</v>
      </c>
      <c r="H277" s="73"/>
      <c r="I277" s="94"/>
      <c r="J277" s="95"/>
      <c r="K277" s="44"/>
    </row>
    <row r="278" spans="1:11" ht="15.75" x14ac:dyDescent="0.25">
      <c r="A278" s="47"/>
      <c r="B278" s="42"/>
      <c r="C278" s="66"/>
      <c r="D278" s="66"/>
      <c r="E278" s="43"/>
      <c r="F278" s="43"/>
      <c r="G278" s="66">
        <f>SUM(G276:G277)</f>
        <v>1.16475</v>
      </c>
      <c r="H278" s="73" t="s">
        <v>51</v>
      </c>
      <c r="I278" s="94">
        <v>5329.43</v>
      </c>
      <c r="J278" s="95">
        <f>I278*G278</f>
        <v>6207.4535925</v>
      </c>
      <c r="K278" s="44"/>
    </row>
    <row r="279" spans="1:11" ht="15.75" x14ac:dyDescent="0.25">
      <c r="A279" s="47"/>
      <c r="B279" s="42" t="s">
        <v>55</v>
      </c>
      <c r="C279" s="66">
        <f>G278</f>
        <v>1.16475</v>
      </c>
      <c r="D279" s="66"/>
      <c r="E279" s="43"/>
      <c r="F279" s="43">
        <v>8</v>
      </c>
      <c r="G279" s="66">
        <f>F279*C279</f>
        <v>9.3179999999999996</v>
      </c>
      <c r="H279" s="73" t="s">
        <v>36</v>
      </c>
      <c r="I279" s="94">
        <v>718.4</v>
      </c>
      <c r="J279" s="95">
        <f t="shared" ref="J279:J283" si="37">I279*G279</f>
        <v>6694.0511999999999</v>
      </c>
      <c r="K279" s="44"/>
    </row>
    <row r="280" spans="1:11" ht="15.75" x14ac:dyDescent="0.25">
      <c r="A280" s="47"/>
      <c r="B280" s="42" t="s">
        <v>5</v>
      </c>
      <c r="C280" s="66">
        <f>G278</f>
        <v>1.16475</v>
      </c>
      <c r="D280" s="66"/>
      <c r="E280" s="43"/>
      <c r="F280" s="200">
        <v>125</v>
      </c>
      <c r="G280" s="201">
        <f>F280*C280</f>
        <v>145.59375</v>
      </c>
      <c r="H280" s="78" t="s">
        <v>56</v>
      </c>
      <c r="I280" s="71">
        <v>66.239999999999995</v>
      </c>
      <c r="J280" s="70">
        <f t="shared" si="37"/>
        <v>9644.1299999999992</v>
      </c>
      <c r="K280" s="202"/>
    </row>
    <row r="281" spans="1:11" ht="15.75" x14ac:dyDescent="0.25">
      <c r="A281" s="47"/>
      <c r="B281" s="42" t="s">
        <v>44</v>
      </c>
      <c r="C281" s="66">
        <f>G273-G274-G275-G276</f>
        <v>1.6572899999999999</v>
      </c>
      <c r="D281" s="66"/>
      <c r="E281" s="43"/>
      <c r="F281" s="200">
        <v>1</v>
      </c>
      <c r="G281" s="201">
        <f>F281*C281</f>
        <v>1.6572899999999999</v>
      </c>
      <c r="H281" s="78" t="s">
        <v>51</v>
      </c>
      <c r="I281" s="71">
        <v>183.42</v>
      </c>
      <c r="J281" s="70">
        <f t="shared" si="37"/>
        <v>303.98013179999998</v>
      </c>
      <c r="K281" s="202"/>
    </row>
    <row r="282" spans="1:11" ht="15.75" x14ac:dyDescent="0.25">
      <c r="A282" s="50"/>
      <c r="B282" s="42" t="s">
        <v>57</v>
      </c>
      <c r="C282" s="66">
        <v>4</v>
      </c>
      <c r="D282" s="66"/>
      <c r="E282" s="43"/>
      <c r="F282" s="200">
        <v>1</v>
      </c>
      <c r="G282" s="201">
        <f>F282*C282</f>
        <v>4</v>
      </c>
      <c r="H282" s="78" t="s">
        <v>9</v>
      </c>
      <c r="I282" s="71">
        <v>400</v>
      </c>
      <c r="J282" s="70">
        <f t="shared" si="37"/>
        <v>1600</v>
      </c>
      <c r="K282" s="203"/>
    </row>
    <row r="283" spans="1:11" ht="15.75" x14ac:dyDescent="0.25">
      <c r="A283" s="50"/>
      <c r="B283" s="42" t="s">
        <v>58</v>
      </c>
      <c r="C283" s="66">
        <v>0.1</v>
      </c>
      <c r="D283" s="66">
        <v>0.1</v>
      </c>
      <c r="E283" s="43">
        <v>0.3</v>
      </c>
      <c r="F283" s="200">
        <f>G282</f>
        <v>4</v>
      </c>
      <c r="G283" s="201">
        <f>C283*D283*E283*F283</f>
        <v>1.2000000000000002E-2</v>
      </c>
      <c r="H283" s="78" t="s">
        <v>51</v>
      </c>
      <c r="I283" s="71">
        <v>110053</v>
      </c>
      <c r="J283" s="70">
        <f t="shared" si="37"/>
        <v>1320.6360000000002</v>
      </c>
      <c r="K283" s="204"/>
    </row>
    <row r="284" spans="1:11" ht="15.75" x14ac:dyDescent="0.25">
      <c r="A284" s="2"/>
      <c r="B284" s="2"/>
      <c r="C284" s="2"/>
      <c r="D284" s="2"/>
      <c r="E284" s="2"/>
      <c r="G284" s="146"/>
      <c r="H284" s="335" t="s">
        <v>66</v>
      </c>
      <c r="I284" s="335"/>
      <c r="J284" s="230">
        <f>SUM(J245:J283)</f>
        <v>557417.79318657995</v>
      </c>
      <c r="K284" s="204">
        <f>J284</f>
        <v>557417.79318657995</v>
      </c>
    </row>
    <row r="285" spans="1:11" ht="18.75" x14ac:dyDescent="0.3">
      <c r="F285" s="205"/>
      <c r="G285" s="205"/>
      <c r="H285" s="205"/>
      <c r="I285" s="290" t="s">
        <v>26</v>
      </c>
      <c r="J285" s="291"/>
      <c r="K285" s="292">
        <f>SUM(K31:K284)</f>
        <v>38989469.568457462</v>
      </c>
    </row>
    <row r="286" spans="1:11" x14ac:dyDescent="0.25">
      <c r="F286" s="205"/>
      <c r="G286" s="205"/>
      <c r="H286" s="205"/>
      <c r="I286" s="205"/>
      <c r="J286" s="205"/>
      <c r="K286" s="205"/>
    </row>
  </sheetData>
  <mergeCells count="6">
    <mergeCell ref="H284:I284"/>
    <mergeCell ref="A2:K2"/>
    <mergeCell ref="A100:C100"/>
    <mergeCell ref="E98:H98"/>
    <mergeCell ref="A3:C3"/>
    <mergeCell ref="A52:C52"/>
  </mergeCells>
  <pageMargins left="0.7" right="0.7" top="0.75" bottom="0.75" header="0.3" footer="0.3"/>
  <pageSetup scale="44" orientation="portrait" r:id="rId1"/>
  <rowBreaks count="1" manualBreakCount="1"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opLeftCell="A136" workbookViewId="0">
      <selection activeCell="H121" sqref="H121"/>
    </sheetView>
  </sheetViews>
  <sheetFormatPr defaultRowHeight="15.75" x14ac:dyDescent="0.25"/>
  <cols>
    <col min="1" max="1" width="6.42578125" style="60" bestFit="1" customWidth="1"/>
    <col min="2" max="2" width="66.7109375" style="28" customWidth="1"/>
    <col min="3" max="3" width="7.85546875" style="28" bestFit="1" customWidth="1"/>
    <col min="4" max="4" width="7.7109375" style="28" bestFit="1" customWidth="1"/>
    <col min="5" max="5" width="7.85546875" style="28" bestFit="1" customWidth="1"/>
    <col min="6" max="6" width="7.28515625" style="28" bestFit="1" customWidth="1"/>
    <col min="7" max="7" width="10.140625" style="28" bestFit="1" customWidth="1"/>
    <col min="8" max="8" width="5.140625" style="77" bestFit="1" customWidth="1"/>
    <col min="9" max="9" width="11.28515625" style="107" bestFit="1" customWidth="1"/>
    <col min="10" max="10" width="14.28515625" style="108" bestFit="1" customWidth="1"/>
    <col min="11" max="11" width="13.7109375" style="22" bestFit="1" customWidth="1"/>
    <col min="12" max="12" width="10.28515625" style="28" bestFit="1" customWidth="1"/>
    <col min="13" max="13" width="7.7109375" style="28" bestFit="1" customWidth="1"/>
    <col min="14" max="14" width="5.140625" style="28" bestFit="1" customWidth="1"/>
    <col min="15" max="15" width="6.140625" style="28" bestFit="1" customWidth="1"/>
    <col min="16" max="256" width="9.140625" style="28"/>
    <col min="257" max="257" width="6" style="28" bestFit="1" customWidth="1"/>
    <col min="258" max="258" width="30.140625" style="28" bestFit="1" customWidth="1"/>
    <col min="259" max="259" width="8.28515625" style="28" bestFit="1" customWidth="1"/>
    <col min="260" max="260" width="7" style="28" bestFit="1" customWidth="1"/>
    <col min="261" max="261" width="7.28515625" style="28" bestFit="1" customWidth="1"/>
    <col min="262" max="262" width="7.5703125" style="28" bestFit="1" customWidth="1"/>
    <col min="263" max="263" width="8.28515625" style="28" bestFit="1" customWidth="1"/>
    <col min="264" max="264" width="5.140625" style="28" bestFit="1" customWidth="1"/>
    <col min="265" max="265" width="7.7109375" style="28" bestFit="1" customWidth="1"/>
    <col min="266" max="266" width="9" style="28" bestFit="1" customWidth="1"/>
    <col min="267" max="267" width="14" style="28" bestFit="1" customWidth="1"/>
    <col min="268" max="512" width="9.140625" style="28"/>
    <col min="513" max="513" width="6" style="28" bestFit="1" customWidth="1"/>
    <col min="514" max="514" width="30.140625" style="28" bestFit="1" customWidth="1"/>
    <col min="515" max="515" width="8.28515625" style="28" bestFit="1" customWidth="1"/>
    <col min="516" max="516" width="7" style="28" bestFit="1" customWidth="1"/>
    <col min="517" max="517" width="7.28515625" style="28" bestFit="1" customWidth="1"/>
    <col min="518" max="518" width="7.5703125" style="28" bestFit="1" customWidth="1"/>
    <col min="519" max="519" width="8.28515625" style="28" bestFit="1" customWidth="1"/>
    <col min="520" max="520" width="5.140625" style="28" bestFit="1" customWidth="1"/>
    <col min="521" max="521" width="7.7109375" style="28" bestFit="1" customWidth="1"/>
    <col min="522" max="522" width="9" style="28" bestFit="1" customWidth="1"/>
    <col min="523" max="523" width="14" style="28" bestFit="1" customWidth="1"/>
    <col min="524" max="768" width="9.140625" style="28"/>
    <col min="769" max="769" width="6" style="28" bestFit="1" customWidth="1"/>
    <col min="770" max="770" width="30.140625" style="28" bestFit="1" customWidth="1"/>
    <col min="771" max="771" width="8.28515625" style="28" bestFit="1" customWidth="1"/>
    <col min="772" max="772" width="7" style="28" bestFit="1" customWidth="1"/>
    <col min="773" max="773" width="7.28515625" style="28" bestFit="1" customWidth="1"/>
    <col min="774" max="774" width="7.5703125" style="28" bestFit="1" customWidth="1"/>
    <col min="775" max="775" width="8.28515625" style="28" bestFit="1" customWidth="1"/>
    <col min="776" max="776" width="5.140625" style="28" bestFit="1" customWidth="1"/>
    <col min="777" max="777" width="7.7109375" style="28" bestFit="1" customWidth="1"/>
    <col min="778" max="778" width="9" style="28" bestFit="1" customWidth="1"/>
    <col min="779" max="779" width="14" style="28" bestFit="1" customWidth="1"/>
    <col min="780" max="1024" width="9.140625" style="28"/>
    <col min="1025" max="1025" width="6" style="28" bestFit="1" customWidth="1"/>
    <col min="1026" max="1026" width="30.140625" style="28" bestFit="1" customWidth="1"/>
    <col min="1027" max="1027" width="8.28515625" style="28" bestFit="1" customWidth="1"/>
    <col min="1028" max="1028" width="7" style="28" bestFit="1" customWidth="1"/>
    <col min="1029" max="1029" width="7.28515625" style="28" bestFit="1" customWidth="1"/>
    <col min="1030" max="1030" width="7.5703125" style="28" bestFit="1" customWidth="1"/>
    <col min="1031" max="1031" width="8.28515625" style="28" bestFit="1" customWidth="1"/>
    <col min="1032" max="1032" width="5.140625" style="28" bestFit="1" customWidth="1"/>
    <col min="1033" max="1033" width="7.7109375" style="28" bestFit="1" customWidth="1"/>
    <col min="1034" max="1034" width="9" style="28" bestFit="1" customWidth="1"/>
    <col min="1035" max="1035" width="14" style="28" bestFit="1" customWidth="1"/>
    <col min="1036" max="1280" width="9.140625" style="28"/>
    <col min="1281" max="1281" width="6" style="28" bestFit="1" customWidth="1"/>
    <col min="1282" max="1282" width="30.140625" style="28" bestFit="1" customWidth="1"/>
    <col min="1283" max="1283" width="8.28515625" style="28" bestFit="1" customWidth="1"/>
    <col min="1284" max="1284" width="7" style="28" bestFit="1" customWidth="1"/>
    <col min="1285" max="1285" width="7.28515625" style="28" bestFit="1" customWidth="1"/>
    <col min="1286" max="1286" width="7.5703125" style="28" bestFit="1" customWidth="1"/>
    <col min="1287" max="1287" width="8.28515625" style="28" bestFit="1" customWidth="1"/>
    <col min="1288" max="1288" width="5.140625" style="28" bestFit="1" customWidth="1"/>
    <col min="1289" max="1289" width="7.7109375" style="28" bestFit="1" customWidth="1"/>
    <col min="1290" max="1290" width="9" style="28" bestFit="1" customWidth="1"/>
    <col min="1291" max="1291" width="14" style="28" bestFit="1" customWidth="1"/>
    <col min="1292" max="1536" width="9.140625" style="28"/>
    <col min="1537" max="1537" width="6" style="28" bestFit="1" customWidth="1"/>
    <col min="1538" max="1538" width="30.140625" style="28" bestFit="1" customWidth="1"/>
    <col min="1539" max="1539" width="8.28515625" style="28" bestFit="1" customWidth="1"/>
    <col min="1540" max="1540" width="7" style="28" bestFit="1" customWidth="1"/>
    <col min="1541" max="1541" width="7.28515625" style="28" bestFit="1" customWidth="1"/>
    <col min="1542" max="1542" width="7.5703125" style="28" bestFit="1" customWidth="1"/>
    <col min="1543" max="1543" width="8.28515625" style="28" bestFit="1" customWidth="1"/>
    <col min="1544" max="1544" width="5.140625" style="28" bestFit="1" customWidth="1"/>
    <col min="1545" max="1545" width="7.7109375" style="28" bestFit="1" customWidth="1"/>
    <col min="1546" max="1546" width="9" style="28" bestFit="1" customWidth="1"/>
    <col min="1547" max="1547" width="14" style="28" bestFit="1" customWidth="1"/>
    <col min="1548" max="1792" width="9.140625" style="28"/>
    <col min="1793" max="1793" width="6" style="28" bestFit="1" customWidth="1"/>
    <col min="1794" max="1794" width="30.140625" style="28" bestFit="1" customWidth="1"/>
    <col min="1795" max="1795" width="8.28515625" style="28" bestFit="1" customWidth="1"/>
    <col min="1796" max="1796" width="7" style="28" bestFit="1" customWidth="1"/>
    <col min="1797" max="1797" width="7.28515625" style="28" bestFit="1" customWidth="1"/>
    <col min="1798" max="1798" width="7.5703125" style="28" bestFit="1" customWidth="1"/>
    <col min="1799" max="1799" width="8.28515625" style="28" bestFit="1" customWidth="1"/>
    <col min="1800" max="1800" width="5.140625" style="28" bestFit="1" customWidth="1"/>
    <col min="1801" max="1801" width="7.7109375" style="28" bestFit="1" customWidth="1"/>
    <col min="1802" max="1802" width="9" style="28" bestFit="1" customWidth="1"/>
    <col min="1803" max="1803" width="14" style="28" bestFit="1" customWidth="1"/>
    <col min="1804" max="2048" width="9.140625" style="28"/>
    <col min="2049" max="2049" width="6" style="28" bestFit="1" customWidth="1"/>
    <col min="2050" max="2050" width="30.140625" style="28" bestFit="1" customWidth="1"/>
    <col min="2051" max="2051" width="8.28515625" style="28" bestFit="1" customWidth="1"/>
    <col min="2052" max="2052" width="7" style="28" bestFit="1" customWidth="1"/>
    <col min="2053" max="2053" width="7.28515625" style="28" bestFit="1" customWidth="1"/>
    <col min="2054" max="2054" width="7.5703125" style="28" bestFit="1" customWidth="1"/>
    <col min="2055" max="2055" width="8.28515625" style="28" bestFit="1" customWidth="1"/>
    <col min="2056" max="2056" width="5.140625" style="28" bestFit="1" customWidth="1"/>
    <col min="2057" max="2057" width="7.7109375" style="28" bestFit="1" customWidth="1"/>
    <col min="2058" max="2058" width="9" style="28" bestFit="1" customWidth="1"/>
    <col min="2059" max="2059" width="14" style="28" bestFit="1" customWidth="1"/>
    <col min="2060" max="2304" width="9.140625" style="28"/>
    <col min="2305" max="2305" width="6" style="28" bestFit="1" customWidth="1"/>
    <col min="2306" max="2306" width="30.140625" style="28" bestFit="1" customWidth="1"/>
    <col min="2307" max="2307" width="8.28515625" style="28" bestFit="1" customWidth="1"/>
    <col min="2308" max="2308" width="7" style="28" bestFit="1" customWidth="1"/>
    <col min="2309" max="2309" width="7.28515625" style="28" bestFit="1" customWidth="1"/>
    <col min="2310" max="2310" width="7.5703125" style="28" bestFit="1" customWidth="1"/>
    <col min="2311" max="2311" width="8.28515625" style="28" bestFit="1" customWidth="1"/>
    <col min="2312" max="2312" width="5.140625" style="28" bestFit="1" customWidth="1"/>
    <col min="2313" max="2313" width="7.7109375" style="28" bestFit="1" customWidth="1"/>
    <col min="2314" max="2314" width="9" style="28" bestFit="1" customWidth="1"/>
    <col min="2315" max="2315" width="14" style="28" bestFit="1" customWidth="1"/>
    <col min="2316" max="2560" width="9.140625" style="28"/>
    <col min="2561" max="2561" width="6" style="28" bestFit="1" customWidth="1"/>
    <col min="2562" max="2562" width="30.140625" style="28" bestFit="1" customWidth="1"/>
    <col min="2563" max="2563" width="8.28515625" style="28" bestFit="1" customWidth="1"/>
    <col min="2564" max="2564" width="7" style="28" bestFit="1" customWidth="1"/>
    <col min="2565" max="2565" width="7.28515625" style="28" bestFit="1" customWidth="1"/>
    <col min="2566" max="2566" width="7.5703125" style="28" bestFit="1" customWidth="1"/>
    <col min="2567" max="2567" width="8.28515625" style="28" bestFit="1" customWidth="1"/>
    <col min="2568" max="2568" width="5.140625" style="28" bestFit="1" customWidth="1"/>
    <col min="2569" max="2569" width="7.7109375" style="28" bestFit="1" customWidth="1"/>
    <col min="2570" max="2570" width="9" style="28" bestFit="1" customWidth="1"/>
    <col min="2571" max="2571" width="14" style="28" bestFit="1" customWidth="1"/>
    <col min="2572" max="2816" width="9.140625" style="28"/>
    <col min="2817" max="2817" width="6" style="28" bestFit="1" customWidth="1"/>
    <col min="2818" max="2818" width="30.140625" style="28" bestFit="1" customWidth="1"/>
    <col min="2819" max="2819" width="8.28515625" style="28" bestFit="1" customWidth="1"/>
    <col min="2820" max="2820" width="7" style="28" bestFit="1" customWidth="1"/>
    <col min="2821" max="2821" width="7.28515625" style="28" bestFit="1" customWidth="1"/>
    <col min="2822" max="2822" width="7.5703125" style="28" bestFit="1" customWidth="1"/>
    <col min="2823" max="2823" width="8.28515625" style="28" bestFit="1" customWidth="1"/>
    <col min="2824" max="2824" width="5.140625" style="28" bestFit="1" customWidth="1"/>
    <col min="2825" max="2825" width="7.7109375" style="28" bestFit="1" customWidth="1"/>
    <col min="2826" max="2826" width="9" style="28" bestFit="1" customWidth="1"/>
    <col min="2827" max="2827" width="14" style="28" bestFit="1" customWidth="1"/>
    <col min="2828" max="3072" width="9.140625" style="28"/>
    <col min="3073" max="3073" width="6" style="28" bestFit="1" customWidth="1"/>
    <col min="3074" max="3074" width="30.140625" style="28" bestFit="1" customWidth="1"/>
    <col min="3075" max="3075" width="8.28515625" style="28" bestFit="1" customWidth="1"/>
    <col min="3076" max="3076" width="7" style="28" bestFit="1" customWidth="1"/>
    <col min="3077" max="3077" width="7.28515625" style="28" bestFit="1" customWidth="1"/>
    <col min="3078" max="3078" width="7.5703125" style="28" bestFit="1" customWidth="1"/>
    <col min="3079" max="3079" width="8.28515625" style="28" bestFit="1" customWidth="1"/>
    <col min="3080" max="3080" width="5.140625" style="28" bestFit="1" customWidth="1"/>
    <col min="3081" max="3081" width="7.7109375" style="28" bestFit="1" customWidth="1"/>
    <col min="3082" max="3082" width="9" style="28" bestFit="1" customWidth="1"/>
    <col min="3083" max="3083" width="14" style="28" bestFit="1" customWidth="1"/>
    <col min="3084" max="3328" width="9.140625" style="28"/>
    <col min="3329" max="3329" width="6" style="28" bestFit="1" customWidth="1"/>
    <col min="3330" max="3330" width="30.140625" style="28" bestFit="1" customWidth="1"/>
    <col min="3331" max="3331" width="8.28515625" style="28" bestFit="1" customWidth="1"/>
    <col min="3332" max="3332" width="7" style="28" bestFit="1" customWidth="1"/>
    <col min="3333" max="3333" width="7.28515625" style="28" bestFit="1" customWidth="1"/>
    <col min="3334" max="3334" width="7.5703125" style="28" bestFit="1" customWidth="1"/>
    <col min="3335" max="3335" width="8.28515625" style="28" bestFit="1" customWidth="1"/>
    <col min="3336" max="3336" width="5.140625" style="28" bestFit="1" customWidth="1"/>
    <col min="3337" max="3337" width="7.7109375" style="28" bestFit="1" customWidth="1"/>
    <col min="3338" max="3338" width="9" style="28" bestFit="1" customWidth="1"/>
    <col min="3339" max="3339" width="14" style="28" bestFit="1" customWidth="1"/>
    <col min="3340" max="3584" width="9.140625" style="28"/>
    <col min="3585" max="3585" width="6" style="28" bestFit="1" customWidth="1"/>
    <col min="3586" max="3586" width="30.140625" style="28" bestFit="1" customWidth="1"/>
    <col min="3587" max="3587" width="8.28515625" style="28" bestFit="1" customWidth="1"/>
    <col min="3588" max="3588" width="7" style="28" bestFit="1" customWidth="1"/>
    <col min="3589" max="3589" width="7.28515625" style="28" bestFit="1" customWidth="1"/>
    <col min="3590" max="3590" width="7.5703125" style="28" bestFit="1" customWidth="1"/>
    <col min="3591" max="3591" width="8.28515625" style="28" bestFit="1" customWidth="1"/>
    <col min="3592" max="3592" width="5.140625" style="28" bestFit="1" customWidth="1"/>
    <col min="3593" max="3593" width="7.7109375" style="28" bestFit="1" customWidth="1"/>
    <col min="3594" max="3594" width="9" style="28" bestFit="1" customWidth="1"/>
    <col min="3595" max="3595" width="14" style="28" bestFit="1" customWidth="1"/>
    <col min="3596" max="3840" width="9.140625" style="28"/>
    <col min="3841" max="3841" width="6" style="28" bestFit="1" customWidth="1"/>
    <col min="3842" max="3842" width="30.140625" style="28" bestFit="1" customWidth="1"/>
    <col min="3843" max="3843" width="8.28515625" style="28" bestFit="1" customWidth="1"/>
    <col min="3844" max="3844" width="7" style="28" bestFit="1" customWidth="1"/>
    <col min="3845" max="3845" width="7.28515625" style="28" bestFit="1" customWidth="1"/>
    <col min="3846" max="3846" width="7.5703125" style="28" bestFit="1" customWidth="1"/>
    <col min="3847" max="3847" width="8.28515625" style="28" bestFit="1" customWidth="1"/>
    <col min="3848" max="3848" width="5.140625" style="28" bestFit="1" customWidth="1"/>
    <col min="3849" max="3849" width="7.7109375" style="28" bestFit="1" customWidth="1"/>
    <col min="3850" max="3850" width="9" style="28" bestFit="1" customWidth="1"/>
    <col min="3851" max="3851" width="14" style="28" bestFit="1" customWidth="1"/>
    <col min="3852" max="4096" width="9.140625" style="28"/>
    <col min="4097" max="4097" width="6" style="28" bestFit="1" customWidth="1"/>
    <col min="4098" max="4098" width="30.140625" style="28" bestFit="1" customWidth="1"/>
    <col min="4099" max="4099" width="8.28515625" style="28" bestFit="1" customWidth="1"/>
    <col min="4100" max="4100" width="7" style="28" bestFit="1" customWidth="1"/>
    <col min="4101" max="4101" width="7.28515625" style="28" bestFit="1" customWidth="1"/>
    <col min="4102" max="4102" width="7.5703125" style="28" bestFit="1" customWidth="1"/>
    <col min="4103" max="4103" width="8.28515625" style="28" bestFit="1" customWidth="1"/>
    <col min="4104" max="4104" width="5.140625" style="28" bestFit="1" customWidth="1"/>
    <col min="4105" max="4105" width="7.7109375" style="28" bestFit="1" customWidth="1"/>
    <col min="4106" max="4106" width="9" style="28" bestFit="1" customWidth="1"/>
    <col min="4107" max="4107" width="14" style="28" bestFit="1" customWidth="1"/>
    <col min="4108" max="4352" width="9.140625" style="28"/>
    <col min="4353" max="4353" width="6" style="28" bestFit="1" customWidth="1"/>
    <col min="4354" max="4354" width="30.140625" style="28" bestFit="1" customWidth="1"/>
    <col min="4355" max="4355" width="8.28515625" style="28" bestFit="1" customWidth="1"/>
    <col min="4356" max="4356" width="7" style="28" bestFit="1" customWidth="1"/>
    <col min="4357" max="4357" width="7.28515625" style="28" bestFit="1" customWidth="1"/>
    <col min="4358" max="4358" width="7.5703125" style="28" bestFit="1" customWidth="1"/>
    <col min="4359" max="4359" width="8.28515625" style="28" bestFit="1" customWidth="1"/>
    <col min="4360" max="4360" width="5.140625" style="28" bestFit="1" customWidth="1"/>
    <col min="4361" max="4361" width="7.7109375" style="28" bestFit="1" customWidth="1"/>
    <col min="4362" max="4362" width="9" style="28" bestFit="1" customWidth="1"/>
    <col min="4363" max="4363" width="14" style="28" bestFit="1" customWidth="1"/>
    <col min="4364" max="4608" width="9.140625" style="28"/>
    <col min="4609" max="4609" width="6" style="28" bestFit="1" customWidth="1"/>
    <col min="4610" max="4610" width="30.140625" style="28" bestFit="1" customWidth="1"/>
    <col min="4611" max="4611" width="8.28515625" style="28" bestFit="1" customWidth="1"/>
    <col min="4612" max="4612" width="7" style="28" bestFit="1" customWidth="1"/>
    <col min="4613" max="4613" width="7.28515625" style="28" bestFit="1" customWidth="1"/>
    <col min="4614" max="4614" width="7.5703125" style="28" bestFit="1" customWidth="1"/>
    <col min="4615" max="4615" width="8.28515625" style="28" bestFit="1" customWidth="1"/>
    <col min="4616" max="4616" width="5.140625" style="28" bestFit="1" customWidth="1"/>
    <col min="4617" max="4617" width="7.7109375" style="28" bestFit="1" customWidth="1"/>
    <col min="4618" max="4618" width="9" style="28" bestFit="1" customWidth="1"/>
    <col min="4619" max="4619" width="14" style="28" bestFit="1" customWidth="1"/>
    <col min="4620" max="4864" width="9.140625" style="28"/>
    <col min="4865" max="4865" width="6" style="28" bestFit="1" customWidth="1"/>
    <col min="4866" max="4866" width="30.140625" style="28" bestFit="1" customWidth="1"/>
    <col min="4867" max="4867" width="8.28515625" style="28" bestFit="1" customWidth="1"/>
    <col min="4868" max="4868" width="7" style="28" bestFit="1" customWidth="1"/>
    <col min="4869" max="4869" width="7.28515625" style="28" bestFit="1" customWidth="1"/>
    <col min="4870" max="4870" width="7.5703125" style="28" bestFit="1" customWidth="1"/>
    <col min="4871" max="4871" width="8.28515625" style="28" bestFit="1" customWidth="1"/>
    <col min="4872" max="4872" width="5.140625" style="28" bestFit="1" customWidth="1"/>
    <col min="4873" max="4873" width="7.7109375" style="28" bestFit="1" customWidth="1"/>
    <col min="4874" max="4874" width="9" style="28" bestFit="1" customWidth="1"/>
    <col min="4875" max="4875" width="14" style="28" bestFit="1" customWidth="1"/>
    <col min="4876" max="5120" width="9.140625" style="28"/>
    <col min="5121" max="5121" width="6" style="28" bestFit="1" customWidth="1"/>
    <col min="5122" max="5122" width="30.140625" style="28" bestFit="1" customWidth="1"/>
    <col min="5123" max="5123" width="8.28515625" style="28" bestFit="1" customWidth="1"/>
    <col min="5124" max="5124" width="7" style="28" bestFit="1" customWidth="1"/>
    <col min="5125" max="5125" width="7.28515625" style="28" bestFit="1" customWidth="1"/>
    <col min="5126" max="5126" width="7.5703125" style="28" bestFit="1" customWidth="1"/>
    <col min="5127" max="5127" width="8.28515625" style="28" bestFit="1" customWidth="1"/>
    <col min="5128" max="5128" width="5.140625" style="28" bestFit="1" customWidth="1"/>
    <col min="5129" max="5129" width="7.7109375" style="28" bestFit="1" customWidth="1"/>
    <col min="5130" max="5130" width="9" style="28" bestFit="1" customWidth="1"/>
    <col min="5131" max="5131" width="14" style="28" bestFit="1" customWidth="1"/>
    <col min="5132" max="5376" width="9.140625" style="28"/>
    <col min="5377" max="5377" width="6" style="28" bestFit="1" customWidth="1"/>
    <col min="5378" max="5378" width="30.140625" style="28" bestFit="1" customWidth="1"/>
    <col min="5379" max="5379" width="8.28515625" style="28" bestFit="1" customWidth="1"/>
    <col min="5380" max="5380" width="7" style="28" bestFit="1" customWidth="1"/>
    <col min="5381" max="5381" width="7.28515625" style="28" bestFit="1" customWidth="1"/>
    <col min="5382" max="5382" width="7.5703125" style="28" bestFit="1" customWidth="1"/>
    <col min="5383" max="5383" width="8.28515625" style="28" bestFit="1" customWidth="1"/>
    <col min="5384" max="5384" width="5.140625" style="28" bestFit="1" customWidth="1"/>
    <col min="5385" max="5385" width="7.7109375" style="28" bestFit="1" customWidth="1"/>
    <col min="5386" max="5386" width="9" style="28" bestFit="1" customWidth="1"/>
    <col min="5387" max="5387" width="14" style="28" bestFit="1" customWidth="1"/>
    <col min="5388" max="5632" width="9.140625" style="28"/>
    <col min="5633" max="5633" width="6" style="28" bestFit="1" customWidth="1"/>
    <col min="5634" max="5634" width="30.140625" style="28" bestFit="1" customWidth="1"/>
    <col min="5635" max="5635" width="8.28515625" style="28" bestFit="1" customWidth="1"/>
    <col min="5636" max="5636" width="7" style="28" bestFit="1" customWidth="1"/>
    <col min="5637" max="5637" width="7.28515625" style="28" bestFit="1" customWidth="1"/>
    <col min="5638" max="5638" width="7.5703125" style="28" bestFit="1" customWidth="1"/>
    <col min="5639" max="5639" width="8.28515625" style="28" bestFit="1" customWidth="1"/>
    <col min="5640" max="5640" width="5.140625" style="28" bestFit="1" customWidth="1"/>
    <col min="5641" max="5641" width="7.7109375" style="28" bestFit="1" customWidth="1"/>
    <col min="5642" max="5642" width="9" style="28" bestFit="1" customWidth="1"/>
    <col min="5643" max="5643" width="14" style="28" bestFit="1" customWidth="1"/>
    <col min="5644" max="5888" width="9.140625" style="28"/>
    <col min="5889" max="5889" width="6" style="28" bestFit="1" customWidth="1"/>
    <col min="5890" max="5890" width="30.140625" style="28" bestFit="1" customWidth="1"/>
    <col min="5891" max="5891" width="8.28515625" style="28" bestFit="1" customWidth="1"/>
    <col min="5892" max="5892" width="7" style="28" bestFit="1" customWidth="1"/>
    <col min="5893" max="5893" width="7.28515625" style="28" bestFit="1" customWidth="1"/>
    <col min="5894" max="5894" width="7.5703125" style="28" bestFit="1" customWidth="1"/>
    <col min="5895" max="5895" width="8.28515625" style="28" bestFit="1" customWidth="1"/>
    <col min="5896" max="5896" width="5.140625" style="28" bestFit="1" customWidth="1"/>
    <col min="5897" max="5897" width="7.7109375" style="28" bestFit="1" customWidth="1"/>
    <col min="5898" max="5898" width="9" style="28" bestFit="1" customWidth="1"/>
    <col min="5899" max="5899" width="14" style="28" bestFit="1" customWidth="1"/>
    <col min="5900" max="6144" width="9.140625" style="28"/>
    <col min="6145" max="6145" width="6" style="28" bestFit="1" customWidth="1"/>
    <col min="6146" max="6146" width="30.140625" style="28" bestFit="1" customWidth="1"/>
    <col min="6147" max="6147" width="8.28515625" style="28" bestFit="1" customWidth="1"/>
    <col min="6148" max="6148" width="7" style="28" bestFit="1" customWidth="1"/>
    <col min="6149" max="6149" width="7.28515625" style="28" bestFit="1" customWidth="1"/>
    <col min="6150" max="6150" width="7.5703125" style="28" bestFit="1" customWidth="1"/>
    <col min="6151" max="6151" width="8.28515625" style="28" bestFit="1" customWidth="1"/>
    <col min="6152" max="6152" width="5.140625" style="28" bestFit="1" customWidth="1"/>
    <col min="6153" max="6153" width="7.7109375" style="28" bestFit="1" customWidth="1"/>
    <col min="6154" max="6154" width="9" style="28" bestFit="1" customWidth="1"/>
    <col min="6155" max="6155" width="14" style="28" bestFit="1" customWidth="1"/>
    <col min="6156" max="6400" width="9.140625" style="28"/>
    <col min="6401" max="6401" width="6" style="28" bestFit="1" customWidth="1"/>
    <col min="6402" max="6402" width="30.140625" style="28" bestFit="1" customWidth="1"/>
    <col min="6403" max="6403" width="8.28515625" style="28" bestFit="1" customWidth="1"/>
    <col min="6404" max="6404" width="7" style="28" bestFit="1" customWidth="1"/>
    <col min="6405" max="6405" width="7.28515625" style="28" bestFit="1" customWidth="1"/>
    <col min="6406" max="6406" width="7.5703125" style="28" bestFit="1" customWidth="1"/>
    <col min="6407" max="6407" width="8.28515625" style="28" bestFit="1" customWidth="1"/>
    <col min="6408" max="6408" width="5.140625" style="28" bestFit="1" customWidth="1"/>
    <col min="6409" max="6409" width="7.7109375" style="28" bestFit="1" customWidth="1"/>
    <col min="6410" max="6410" width="9" style="28" bestFit="1" customWidth="1"/>
    <col min="6411" max="6411" width="14" style="28" bestFit="1" customWidth="1"/>
    <col min="6412" max="6656" width="9.140625" style="28"/>
    <col min="6657" max="6657" width="6" style="28" bestFit="1" customWidth="1"/>
    <col min="6658" max="6658" width="30.140625" style="28" bestFit="1" customWidth="1"/>
    <col min="6659" max="6659" width="8.28515625" style="28" bestFit="1" customWidth="1"/>
    <col min="6660" max="6660" width="7" style="28" bestFit="1" customWidth="1"/>
    <col min="6661" max="6661" width="7.28515625" style="28" bestFit="1" customWidth="1"/>
    <col min="6662" max="6662" width="7.5703125" style="28" bestFit="1" customWidth="1"/>
    <col min="6663" max="6663" width="8.28515625" style="28" bestFit="1" customWidth="1"/>
    <col min="6664" max="6664" width="5.140625" style="28" bestFit="1" customWidth="1"/>
    <col min="6665" max="6665" width="7.7109375" style="28" bestFit="1" customWidth="1"/>
    <col min="6666" max="6666" width="9" style="28" bestFit="1" customWidth="1"/>
    <col min="6667" max="6667" width="14" style="28" bestFit="1" customWidth="1"/>
    <col min="6668" max="6912" width="9.140625" style="28"/>
    <col min="6913" max="6913" width="6" style="28" bestFit="1" customWidth="1"/>
    <col min="6914" max="6914" width="30.140625" style="28" bestFit="1" customWidth="1"/>
    <col min="6915" max="6915" width="8.28515625" style="28" bestFit="1" customWidth="1"/>
    <col min="6916" max="6916" width="7" style="28" bestFit="1" customWidth="1"/>
    <col min="6917" max="6917" width="7.28515625" style="28" bestFit="1" customWidth="1"/>
    <col min="6918" max="6918" width="7.5703125" style="28" bestFit="1" customWidth="1"/>
    <col min="6919" max="6919" width="8.28515625" style="28" bestFit="1" customWidth="1"/>
    <col min="6920" max="6920" width="5.140625" style="28" bestFit="1" customWidth="1"/>
    <col min="6921" max="6921" width="7.7109375" style="28" bestFit="1" customWidth="1"/>
    <col min="6922" max="6922" width="9" style="28" bestFit="1" customWidth="1"/>
    <col min="6923" max="6923" width="14" style="28" bestFit="1" customWidth="1"/>
    <col min="6924" max="7168" width="9.140625" style="28"/>
    <col min="7169" max="7169" width="6" style="28" bestFit="1" customWidth="1"/>
    <col min="7170" max="7170" width="30.140625" style="28" bestFit="1" customWidth="1"/>
    <col min="7171" max="7171" width="8.28515625" style="28" bestFit="1" customWidth="1"/>
    <col min="7172" max="7172" width="7" style="28" bestFit="1" customWidth="1"/>
    <col min="7173" max="7173" width="7.28515625" style="28" bestFit="1" customWidth="1"/>
    <col min="7174" max="7174" width="7.5703125" style="28" bestFit="1" customWidth="1"/>
    <col min="7175" max="7175" width="8.28515625" style="28" bestFit="1" customWidth="1"/>
    <col min="7176" max="7176" width="5.140625" style="28" bestFit="1" customWidth="1"/>
    <col min="7177" max="7177" width="7.7109375" style="28" bestFit="1" customWidth="1"/>
    <col min="7178" max="7178" width="9" style="28" bestFit="1" customWidth="1"/>
    <col min="7179" max="7179" width="14" style="28" bestFit="1" customWidth="1"/>
    <col min="7180" max="7424" width="9.140625" style="28"/>
    <col min="7425" max="7425" width="6" style="28" bestFit="1" customWidth="1"/>
    <col min="7426" max="7426" width="30.140625" style="28" bestFit="1" customWidth="1"/>
    <col min="7427" max="7427" width="8.28515625" style="28" bestFit="1" customWidth="1"/>
    <col min="7428" max="7428" width="7" style="28" bestFit="1" customWidth="1"/>
    <col min="7429" max="7429" width="7.28515625" style="28" bestFit="1" customWidth="1"/>
    <col min="7430" max="7430" width="7.5703125" style="28" bestFit="1" customWidth="1"/>
    <col min="7431" max="7431" width="8.28515625" style="28" bestFit="1" customWidth="1"/>
    <col min="7432" max="7432" width="5.140625" style="28" bestFit="1" customWidth="1"/>
    <col min="7433" max="7433" width="7.7109375" style="28" bestFit="1" customWidth="1"/>
    <col min="7434" max="7434" width="9" style="28" bestFit="1" customWidth="1"/>
    <col min="7435" max="7435" width="14" style="28" bestFit="1" customWidth="1"/>
    <col min="7436" max="7680" width="9.140625" style="28"/>
    <col min="7681" max="7681" width="6" style="28" bestFit="1" customWidth="1"/>
    <col min="7682" max="7682" width="30.140625" style="28" bestFit="1" customWidth="1"/>
    <col min="7683" max="7683" width="8.28515625" style="28" bestFit="1" customWidth="1"/>
    <col min="7684" max="7684" width="7" style="28" bestFit="1" customWidth="1"/>
    <col min="7685" max="7685" width="7.28515625" style="28" bestFit="1" customWidth="1"/>
    <col min="7686" max="7686" width="7.5703125" style="28" bestFit="1" customWidth="1"/>
    <col min="7687" max="7687" width="8.28515625" style="28" bestFit="1" customWidth="1"/>
    <col min="7688" max="7688" width="5.140625" style="28" bestFit="1" customWidth="1"/>
    <col min="7689" max="7689" width="7.7109375" style="28" bestFit="1" customWidth="1"/>
    <col min="7690" max="7690" width="9" style="28" bestFit="1" customWidth="1"/>
    <col min="7691" max="7691" width="14" style="28" bestFit="1" customWidth="1"/>
    <col min="7692" max="7936" width="9.140625" style="28"/>
    <col min="7937" max="7937" width="6" style="28" bestFit="1" customWidth="1"/>
    <col min="7938" max="7938" width="30.140625" style="28" bestFit="1" customWidth="1"/>
    <col min="7939" max="7939" width="8.28515625" style="28" bestFit="1" customWidth="1"/>
    <col min="7940" max="7940" width="7" style="28" bestFit="1" customWidth="1"/>
    <col min="7941" max="7941" width="7.28515625" style="28" bestFit="1" customWidth="1"/>
    <col min="7942" max="7942" width="7.5703125" style="28" bestFit="1" customWidth="1"/>
    <col min="7943" max="7943" width="8.28515625" style="28" bestFit="1" customWidth="1"/>
    <col min="7944" max="7944" width="5.140625" style="28" bestFit="1" customWidth="1"/>
    <col min="7945" max="7945" width="7.7109375" style="28" bestFit="1" customWidth="1"/>
    <col min="7946" max="7946" width="9" style="28" bestFit="1" customWidth="1"/>
    <col min="7947" max="7947" width="14" style="28" bestFit="1" customWidth="1"/>
    <col min="7948" max="8192" width="9.140625" style="28"/>
    <col min="8193" max="8193" width="6" style="28" bestFit="1" customWidth="1"/>
    <col min="8194" max="8194" width="30.140625" style="28" bestFit="1" customWidth="1"/>
    <col min="8195" max="8195" width="8.28515625" style="28" bestFit="1" customWidth="1"/>
    <col min="8196" max="8196" width="7" style="28" bestFit="1" customWidth="1"/>
    <col min="8197" max="8197" width="7.28515625" style="28" bestFit="1" customWidth="1"/>
    <col min="8198" max="8198" width="7.5703125" style="28" bestFit="1" customWidth="1"/>
    <col min="8199" max="8199" width="8.28515625" style="28" bestFit="1" customWidth="1"/>
    <col min="8200" max="8200" width="5.140625" style="28" bestFit="1" customWidth="1"/>
    <col min="8201" max="8201" width="7.7109375" style="28" bestFit="1" customWidth="1"/>
    <col min="8202" max="8202" width="9" style="28" bestFit="1" customWidth="1"/>
    <col min="8203" max="8203" width="14" style="28" bestFit="1" customWidth="1"/>
    <col min="8204" max="8448" width="9.140625" style="28"/>
    <col min="8449" max="8449" width="6" style="28" bestFit="1" customWidth="1"/>
    <col min="8450" max="8450" width="30.140625" style="28" bestFit="1" customWidth="1"/>
    <col min="8451" max="8451" width="8.28515625" style="28" bestFit="1" customWidth="1"/>
    <col min="8452" max="8452" width="7" style="28" bestFit="1" customWidth="1"/>
    <col min="8453" max="8453" width="7.28515625" style="28" bestFit="1" customWidth="1"/>
    <col min="8454" max="8454" width="7.5703125" style="28" bestFit="1" customWidth="1"/>
    <col min="8455" max="8455" width="8.28515625" style="28" bestFit="1" customWidth="1"/>
    <col min="8456" max="8456" width="5.140625" style="28" bestFit="1" customWidth="1"/>
    <col min="8457" max="8457" width="7.7109375" style="28" bestFit="1" customWidth="1"/>
    <col min="8458" max="8458" width="9" style="28" bestFit="1" customWidth="1"/>
    <col min="8459" max="8459" width="14" style="28" bestFit="1" customWidth="1"/>
    <col min="8460" max="8704" width="9.140625" style="28"/>
    <col min="8705" max="8705" width="6" style="28" bestFit="1" customWidth="1"/>
    <col min="8706" max="8706" width="30.140625" style="28" bestFit="1" customWidth="1"/>
    <col min="8707" max="8707" width="8.28515625" style="28" bestFit="1" customWidth="1"/>
    <col min="8708" max="8708" width="7" style="28" bestFit="1" customWidth="1"/>
    <col min="8709" max="8709" width="7.28515625" style="28" bestFit="1" customWidth="1"/>
    <col min="8710" max="8710" width="7.5703125" style="28" bestFit="1" customWidth="1"/>
    <col min="8711" max="8711" width="8.28515625" style="28" bestFit="1" customWidth="1"/>
    <col min="8712" max="8712" width="5.140625" style="28" bestFit="1" customWidth="1"/>
    <col min="8713" max="8713" width="7.7109375" style="28" bestFit="1" customWidth="1"/>
    <col min="8714" max="8714" width="9" style="28" bestFit="1" customWidth="1"/>
    <col min="8715" max="8715" width="14" style="28" bestFit="1" customWidth="1"/>
    <col min="8716" max="8960" width="9.140625" style="28"/>
    <col min="8961" max="8961" width="6" style="28" bestFit="1" customWidth="1"/>
    <col min="8962" max="8962" width="30.140625" style="28" bestFit="1" customWidth="1"/>
    <col min="8963" max="8963" width="8.28515625" style="28" bestFit="1" customWidth="1"/>
    <col min="8964" max="8964" width="7" style="28" bestFit="1" customWidth="1"/>
    <col min="8965" max="8965" width="7.28515625" style="28" bestFit="1" customWidth="1"/>
    <col min="8966" max="8966" width="7.5703125" style="28" bestFit="1" customWidth="1"/>
    <col min="8967" max="8967" width="8.28515625" style="28" bestFit="1" customWidth="1"/>
    <col min="8968" max="8968" width="5.140625" style="28" bestFit="1" customWidth="1"/>
    <col min="8969" max="8969" width="7.7109375" style="28" bestFit="1" customWidth="1"/>
    <col min="8970" max="8970" width="9" style="28" bestFit="1" customWidth="1"/>
    <col min="8971" max="8971" width="14" style="28" bestFit="1" customWidth="1"/>
    <col min="8972" max="9216" width="9.140625" style="28"/>
    <col min="9217" max="9217" width="6" style="28" bestFit="1" customWidth="1"/>
    <col min="9218" max="9218" width="30.140625" style="28" bestFit="1" customWidth="1"/>
    <col min="9219" max="9219" width="8.28515625" style="28" bestFit="1" customWidth="1"/>
    <col min="9220" max="9220" width="7" style="28" bestFit="1" customWidth="1"/>
    <col min="9221" max="9221" width="7.28515625" style="28" bestFit="1" customWidth="1"/>
    <col min="9222" max="9222" width="7.5703125" style="28" bestFit="1" customWidth="1"/>
    <col min="9223" max="9223" width="8.28515625" style="28" bestFit="1" customWidth="1"/>
    <col min="9224" max="9224" width="5.140625" style="28" bestFit="1" customWidth="1"/>
    <col min="9225" max="9225" width="7.7109375" style="28" bestFit="1" customWidth="1"/>
    <col min="9226" max="9226" width="9" style="28" bestFit="1" customWidth="1"/>
    <col min="9227" max="9227" width="14" style="28" bestFit="1" customWidth="1"/>
    <col min="9228" max="9472" width="9.140625" style="28"/>
    <col min="9473" max="9473" width="6" style="28" bestFit="1" customWidth="1"/>
    <col min="9474" max="9474" width="30.140625" style="28" bestFit="1" customWidth="1"/>
    <col min="9475" max="9475" width="8.28515625" style="28" bestFit="1" customWidth="1"/>
    <col min="9476" max="9476" width="7" style="28" bestFit="1" customWidth="1"/>
    <col min="9477" max="9477" width="7.28515625" style="28" bestFit="1" customWidth="1"/>
    <col min="9478" max="9478" width="7.5703125" style="28" bestFit="1" customWidth="1"/>
    <col min="9479" max="9479" width="8.28515625" style="28" bestFit="1" customWidth="1"/>
    <col min="9480" max="9480" width="5.140625" style="28" bestFit="1" customWidth="1"/>
    <col min="9481" max="9481" width="7.7109375" style="28" bestFit="1" customWidth="1"/>
    <col min="9482" max="9482" width="9" style="28" bestFit="1" customWidth="1"/>
    <col min="9483" max="9483" width="14" style="28" bestFit="1" customWidth="1"/>
    <col min="9484" max="9728" width="9.140625" style="28"/>
    <col min="9729" max="9729" width="6" style="28" bestFit="1" customWidth="1"/>
    <col min="9730" max="9730" width="30.140625" style="28" bestFit="1" customWidth="1"/>
    <col min="9731" max="9731" width="8.28515625" style="28" bestFit="1" customWidth="1"/>
    <col min="9732" max="9732" width="7" style="28" bestFit="1" customWidth="1"/>
    <col min="9733" max="9733" width="7.28515625" style="28" bestFit="1" customWidth="1"/>
    <col min="9734" max="9734" width="7.5703125" style="28" bestFit="1" customWidth="1"/>
    <col min="9735" max="9735" width="8.28515625" style="28" bestFit="1" customWidth="1"/>
    <col min="9736" max="9736" width="5.140625" style="28" bestFit="1" customWidth="1"/>
    <col min="9737" max="9737" width="7.7109375" style="28" bestFit="1" customWidth="1"/>
    <col min="9738" max="9738" width="9" style="28" bestFit="1" customWidth="1"/>
    <col min="9739" max="9739" width="14" style="28" bestFit="1" customWidth="1"/>
    <col min="9740" max="9984" width="9.140625" style="28"/>
    <col min="9985" max="9985" width="6" style="28" bestFit="1" customWidth="1"/>
    <col min="9986" max="9986" width="30.140625" style="28" bestFit="1" customWidth="1"/>
    <col min="9987" max="9987" width="8.28515625" style="28" bestFit="1" customWidth="1"/>
    <col min="9988" max="9988" width="7" style="28" bestFit="1" customWidth="1"/>
    <col min="9989" max="9989" width="7.28515625" style="28" bestFit="1" customWidth="1"/>
    <col min="9990" max="9990" width="7.5703125" style="28" bestFit="1" customWidth="1"/>
    <col min="9991" max="9991" width="8.28515625" style="28" bestFit="1" customWidth="1"/>
    <col min="9992" max="9992" width="5.140625" style="28" bestFit="1" customWidth="1"/>
    <col min="9993" max="9993" width="7.7109375" style="28" bestFit="1" customWidth="1"/>
    <col min="9994" max="9994" width="9" style="28" bestFit="1" customWidth="1"/>
    <col min="9995" max="9995" width="14" style="28" bestFit="1" customWidth="1"/>
    <col min="9996" max="10240" width="9.140625" style="28"/>
    <col min="10241" max="10241" width="6" style="28" bestFit="1" customWidth="1"/>
    <col min="10242" max="10242" width="30.140625" style="28" bestFit="1" customWidth="1"/>
    <col min="10243" max="10243" width="8.28515625" style="28" bestFit="1" customWidth="1"/>
    <col min="10244" max="10244" width="7" style="28" bestFit="1" customWidth="1"/>
    <col min="10245" max="10245" width="7.28515625" style="28" bestFit="1" customWidth="1"/>
    <col min="10246" max="10246" width="7.5703125" style="28" bestFit="1" customWidth="1"/>
    <col min="10247" max="10247" width="8.28515625" style="28" bestFit="1" customWidth="1"/>
    <col min="10248" max="10248" width="5.140625" style="28" bestFit="1" customWidth="1"/>
    <col min="10249" max="10249" width="7.7109375" style="28" bestFit="1" customWidth="1"/>
    <col min="10250" max="10250" width="9" style="28" bestFit="1" customWidth="1"/>
    <col min="10251" max="10251" width="14" style="28" bestFit="1" customWidth="1"/>
    <col min="10252" max="10496" width="9.140625" style="28"/>
    <col min="10497" max="10497" width="6" style="28" bestFit="1" customWidth="1"/>
    <col min="10498" max="10498" width="30.140625" style="28" bestFit="1" customWidth="1"/>
    <col min="10499" max="10499" width="8.28515625" style="28" bestFit="1" customWidth="1"/>
    <col min="10500" max="10500" width="7" style="28" bestFit="1" customWidth="1"/>
    <col min="10501" max="10501" width="7.28515625" style="28" bestFit="1" customWidth="1"/>
    <col min="10502" max="10502" width="7.5703125" style="28" bestFit="1" customWidth="1"/>
    <col min="10503" max="10503" width="8.28515625" style="28" bestFit="1" customWidth="1"/>
    <col min="10504" max="10504" width="5.140625" style="28" bestFit="1" customWidth="1"/>
    <col min="10505" max="10505" width="7.7109375" style="28" bestFit="1" customWidth="1"/>
    <col min="10506" max="10506" width="9" style="28" bestFit="1" customWidth="1"/>
    <col min="10507" max="10507" width="14" style="28" bestFit="1" customWidth="1"/>
    <col min="10508" max="10752" width="9.140625" style="28"/>
    <col min="10753" max="10753" width="6" style="28" bestFit="1" customWidth="1"/>
    <col min="10754" max="10754" width="30.140625" style="28" bestFit="1" customWidth="1"/>
    <col min="10755" max="10755" width="8.28515625" style="28" bestFit="1" customWidth="1"/>
    <col min="10756" max="10756" width="7" style="28" bestFit="1" customWidth="1"/>
    <col min="10757" max="10757" width="7.28515625" style="28" bestFit="1" customWidth="1"/>
    <col min="10758" max="10758" width="7.5703125" style="28" bestFit="1" customWidth="1"/>
    <col min="10759" max="10759" width="8.28515625" style="28" bestFit="1" customWidth="1"/>
    <col min="10760" max="10760" width="5.140625" style="28" bestFit="1" customWidth="1"/>
    <col min="10761" max="10761" width="7.7109375" style="28" bestFit="1" customWidth="1"/>
    <col min="10762" max="10762" width="9" style="28" bestFit="1" customWidth="1"/>
    <col min="10763" max="10763" width="14" style="28" bestFit="1" customWidth="1"/>
    <col min="10764" max="11008" width="9.140625" style="28"/>
    <col min="11009" max="11009" width="6" style="28" bestFit="1" customWidth="1"/>
    <col min="11010" max="11010" width="30.140625" style="28" bestFit="1" customWidth="1"/>
    <col min="11011" max="11011" width="8.28515625" style="28" bestFit="1" customWidth="1"/>
    <col min="11012" max="11012" width="7" style="28" bestFit="1" customWidth="1"/>
    <col min="11013" max="11013" width="7.28515625" style="28" bestFit="1" customWidth="1"/>
    <col min="11014" max="11014" width="7.5703125" style="28" bestFit="1" customWidth="1"/>
    <col min="11015" max="11015" width="8.28515625" style="28" bestFit="1" customWidth="1"/>
    <col min="11016" max="11016" width="5.140625" style="28" bestFit="1" customWidth="1"/>
    <col min="11017" max="11017" width="7.7109375" style="28" bestFit="1" customWidth="1"/>
    <col min="11018" max="11018" width="9" style="28" bestFit="1" customWidth="1"/>
    <col min="11019" max="11019" width="14" style="28" bestFit="1" customWidth="1"/>
    <col min="11020" max="11264" width="9.140625" style="28"/>
    <col min="11265" max="11265" width="6" style="28" bestFit="1" customWidth="1"/>
    <col min="11266" max="11266" width="30.140625" style="28" bestFit="1" customWidth="1"/>
    <col min="11267" max="11267" width="8.28515625" style="28" bestFit="1" customWidth="1"/>
    <col min="11268" max="11268" width="7" style="28" bestFit="1" customWidth="1"/>
    <col min="11269" max="11269" width="7.28515625" style="28" bestFit="1" customWidth="1"/>
    <col min="11270" max="11270" width="7.5703125" style="28" bestFit="1" customWidth="1"/>
    <col min="11271" max="11271" width="8.28515625" style="28" bestFit="1" customWidth="1"/>
    <col min="11272" max="11272" width="5.140625" style="28" bestFit="1" customWidth="1"/>
    <col min="11273" max="11273" width="7.7109375" style="28" bestFit="1" customWidth="1"/>
    <col min="11274" max="11274" width="9" style="28" bestFit="1" customWidth="1"/>
    <col min="11275" max="11275" width="14" style="28" bestFit="1" customWidth="1"/>
    <col min="11276" max="11520" width="9.140625" style="28"/>
    <col min="11521" max="11521" width="6" style="28" bestFit="1" customWidth="1"/>
    <col min="11522" max="11522" width="30.140625" style="28" bestFit="1" customWidth="1"/>
    <col min="11523" max="11523" width="8.28515625" style="28" bestFit="1" customWidth="1"/>
    <col min="11524" max="11524" width="7" style="28" bestFit="1" customWidth="1"/>
    <col min="11525" max="11525" width="7.28515625" style="28" bestFit="1" customWidth="1"/>
    <col min="11526" max="11526" width="7.5703125" style="28" bestFit="1" customWidth="1"/>
    <col min="11527" max="11527" width="8.28515625" style="28" bestFit="1" customWidth="1"/>
    <col min="11528" max="11528" width="5.140625" style="28" bestFit="1" customWidth="1"/>
    <col min="11529" max="11529" width="7.7109375" style="28" bestFit="1" customWidth="1"/>
    <col min="11530" max="11530" width="9" style="28" bestFit="1" customWidth="1"/>
    <col min="11531" max="11531" width="14" style="28" bestFit="1" customWidth="1"/>
    <col min="11532" max="11776" width="9.140625" style="28"/>
    <col min="11777" max="11777" width="6" style="28" bestFit="1" customWidth="1"/>
    <col min="11778" max="11778" width="30.140625" style="28" bestFit="1" customWidth="1"/>
    <col min="11779" max="11779" width="8.28515625" style="28" bestFit="1" customWidth="1"/>
    <col min="11780" max="11780" width="7" style="28" bestFit="1" customWidth="1"/>
    <col min="11781" max="11781" width="7.28515625" style="28" bestFit="1" customWidth="1"/>
    <col min="11782" max="11782" width="7.5703125" style="28" bestFit="1" customWidth="1"/>
    <col min="11783" max="11783" width="8.28515625" style="28" bestFit="1" customWidth="1"/>
    <col min="11784" max="11784" width="5.140625" style="28" bestFit="1" customWidth="1"/>
    <col min="11785" max="11785" width="7.7109375" style="28" bestFit="1" customWidth="1"/>
    <col min="11786" max="11786" width="9" style="28" bestFit="1" customWidth="1"/>
    <col min="11787" max="11787" width="14" style="28" bestFit="1" customWidth="1"/>
    <col min="11788" max="12032" width="9.140625" style="28"/>
    <col min="12033" max="12033" width="6" style="28" bestFit="1" customWidth="1"/>
    <col min="12034" max="12034" width="30.140625" style="28" bestFit="1" customWidth="1"/>
    <col min="12035" max="12035" width="8.28515625" style="28" bestFit="1" customWidth="1"/>
    <col min="12036" max="12036" width="7" style="28" bestFit="1" customWidth="1"/>
    <col min="12037" max="12037" width="7.28515625" style="28" bestFit="1" customWidth="1"/>
    <col min="12038" max="12038" width="7.5703125" style="28" bestFit="1" customWidth="1"/>
    <col min="12039" max="12039" width="8.28515625" style="28" bestFit="1" customWidth="1"/>
    <col min="12040" max="12040" width="5.140625" style="28" bestFit="1" customWidth="1"/>
    <col min="12041" max="12041" width="7.7109375" style="28" bestFit="1" customWidth="1"/>
    <col min="12042" max="12042" width="9" style="28" bestFit="1" customWidth="1"/>
    <col min="12043" max="12043" width="14" style="28" bestFit="1" customWidth="1"/>
    <col min="12044" max="12288" width="9.140625" style="28"/>
    <col min="12289" max="12289" width="6" style="28" bestFit="1" customWidth="1"/>
    <col min="12290" max="12290" width="30.140625" style="28" bestFit="1" customWidth="1"/>
    <col min="12291" max="12291" width="8.28515625" style="28" bestFit="1" customWidth="1"/>
    <col min="12292" max="12292" width="7" style="28" bestFit="1" customWidth="1"/>
    <col min="12293" max="12293" width="7.28515625" style="28" bestFit="1" customWidth="1"/>
    <col min="12294" max="12294" width="7.5703125" style="28" bestFit="1" customWidth="1"/>
    <col min="12295" max="12295" width="8.28515625" style="28" bestFit="1" customWidth="1"/>
    <col min="12296" max="12296" width="5.140625" style="28" bestFit="1" customWidth="1"/>
    <col min="12297" max="12297" width="7.7109375" style="28" bestFit="1" customWidth="1"/>
    <col min="12298" max="12298" width="9" style="28" bestFit="1" customWidth="1"/>
    <col min="12299" max="12299" width="14" style="28" bestFit="1" customWidth="1"/>
    <col min="12300" max="12544" width="9.140625" style="28"/>
    <col min="12545" max="12545" width="6" style="28" bestFit="1" customWidth="1"/>
    <col min="12546" max="12546" width="30.140625" style="28" bestFit="1" customWidth="1"/>
    <col min="12547" max="12547" width="8.28515625" style="28" bestFit="1" customWidth="1"/>
    <col min="12548" max="12548" width="7" style="28" bestFit="1" customWidth="1"/>
    <col min="12549" max="12549" width="7.28515625" style="28" bestFit="1" customWidth="1"/>
    <col min="12550" max="12550" width="7.5703125" style="28" bestFit="1" customWidth="1"/>
    <col min="12551" max="12551" width="8.28515625" style="28" bestFit="1" customWidth="1"/>
    <col min="12552" max="12552" width="5.140625" style="28" bestFit="1" customWidth="1"/>
    <col min="12553" max="12553" width="7.7109375" style="28" bestFit="1" customWidth="1"/>
    <col min="12554" max="12554" width="9" style="28" bestFit="1" customWidth="1"/>
    <col min="12555" max="12555" width="14" style="28" bestFit="1" customWidth="1"/>
    <col min="12556" max="12800" width="9.140625" style="28"/>
    <col min="12801" max="12801" width="6" style="28" bestFit="1" customWidth="1"/>
    <col min="12802" max="12802" width="30.140625" style="28" bestFit="1" customWidth="1"/>
    <col min="12803" max="12803" width="8.28515625" style="28" bestFit="1" customWidth="1"/>
    <col min="12804" max="12804" width="7" style="28" bestFit="1" customWidth="1"/>
    <col min="12805" max="12805" width="7.28515625" style="28" bestFit="1" customWidth="1"/>
    <col min="12806" max="12806" width="7.5703125" style="28" bestFit="1" customWidth="1"/>
    <col min="12807" max="12807" width="8.28515625" style="28" bestFit="1" customWidth="1"/>
    <col min="12808" max="12808" width="5.140625" style="28" bestFit="1" customWidth="1"/>
    <col min="12809" max="12809" width="7.7109375" style="28" bestFit="1" customWidth="1"/>
    <col min="12810" max="12810" width="9" style="28" bestFit="1" customWidth="1"/>
    <col min="12811" max="12811" width="14" style="28" bestFit="1" customWidth="1"/>
    <col min="12812" max="13056" width="9.140625" style="28"/>
    <col min="13057" max="13057" width="6" style="28" bestFit="1" customWidth="1"/>
    <col min="13058" max="13058" width="30.140625" style="28" bestFit="1" customWidth="1"/>
    <col min="13059" max="13059" width="8.28515625" style="28" bestFit="1" customWidth="1"/>
    <col min="13060" max="13060" width="7" style="28" bestFit="1" customWidth="1"/>
    <col min="13061" max="13061" width="7.28515625" style="28" bestFit="1" customWidth="1"/>
    <col min="13062" max="13062" width="7.5703125" style="28" bestFit="1" customWidth="1"/>
    <col min="13063" max="13063" width="8.28515625" style="28" bestFit="1" customWidth="1"/>
    <col min="13064" max="13064" width="5.140625" style="28" bestFit="1" customWidth="1"/>
    <col min="13065" max="13065" width="7.7109375" style="28" bestFit="1" customWidth="1"/>
    <col min="13066" max="13066" width="9" style="28" bestFit="1" customWidth="1"/>
    <col min="13067" max="13067" width="14" style="28" bestFit="1" customWidth="1"/>
    <col min="13068" max="13312" width="9.140625" style="28"/>
    <col min="13313" max="13313" width="6" style="28" bestFit="1" customWidth="1"/>
    <col min="13314" max="13314" width="30.140625" style="28" bestFit="1" customWidth="1"/>
    <col min="13315" max="13315" width="8.28515625" style="28" bestFit="1" customWidth="1"/>
    <col min="13316" max="13316" width="7" style="28" bestFit="1" customWidth="1"/>
    <col min="13317" max="13317" width="7.28515625" style="28" bestFit="1" customWidth="1"/>
    <col min="13318" max="13318" width="7.5703125" style="28" bestFit="1" customWidth="1"/>
    <col min="13319" max="13319" width="8.28515625" style="28" bestFit="1" customWidth="1"/>
    <col min="13320" max="13320" width="5.140625" style="28" bestFit="1" customWidth="1"/>
    <col min="13321" max="13321" width="7.7109375" style="28" bestFit="1" customWidth="1"/>
    <col min="13322" max="13322" width="9" style="28" bestFit="1" customWidth="1"/>
    <col min="13323" max="13323" width="14" style="28" bestFit="1" customWidth="1"/>
    <col min="13324" max="13568" width="9.140625" style="28"/>
    <col min="13569" max="13569" width="6" style="28" bestFit="1" customWidth="1"/>
    <col min="13570" max="13570" width="30.140625" style="28" bestFit="1" customWidth="1"/>
    <col min="13571" max="13571" width="8.28515625" style="28" bestFit="1" customWidth="1"/>
    <col min="13572" max="13572" width="7" style="28" bestFit="1" customWidth="1"/>
    <col min="13573" max="13573" width="7.28515625" style="28" bestFit="1" customWidth="1"/>
    <col min="13574" max="13574" width="7.5703125" style="28" bestFit="1" customWidth="1"/>
    <col min="13575" max="13575" width="8.28515625" style="28" bestFit="1" customWidth="1"/>
    <col min="13576" max="13576" width="5.140625" style="28" bestFit="1" customWidth="1"/>
    <col min="13577" max="13577" width="7.7109375" style="28" bestFit="1" customWidth="1"/>
    <col min="13578" max="13578" width="9" style="28" bestFit="1" customWidth="1"/>
    <col min="13579" max="13579" width="14" style="28" bestFit="1" customWidth="1"/>
    <col min="13580" max="13824" width="9.140625" style="28"/>
    <col min="13825" max="13825" width="6" style="28" bestFit="1" customWidth="1"/>
    <col min="13826" max="13826" width="30.140625" style="28" bestFit="1" customWidth="1"/>
    <col min="13827" max="13827" width="8.28515625" style="28" bestFit="1" customWidth="1"/>
    <col min="13828" max="13828" width="7" style="28" bestFit="1" customWidth="1"/>
    <col min="13829" max="13829" width="7.28515625" style="28" bestFit="1" customWidth="1"/>
    <col min="13830" max="13830" width="7.5703125" style="28" bestFit="1" customWidth="1"/>
    <col min="13831" max="13831" width="8.28515625" style="28" bestFit="1" customWidth="1"/>
    <col min="13832" max="13832" width="5.140625" style="28" bestFit="1" customWidth="1"/>
    <col min="13833" max="13833" width="7.7109375" style="28" bestFit="1" customWidth="1"/>
    <col min="13834" max="13834" width="9" style="28" bestFit="1" customWidth="1"/>
    <col min="13835" max="13835" width="14" style="28" bestFit="1" customWidth="1"/>
    <col min="13836" max="14080" width="9.140625" style="28"/>
    <col min="14081" max="14081" width="6" style="28" bestFit="1" customWidth="1"/>
    <col min="14082" max="14082" width="30.140625" style="28" bestFit="1" customWidth="1"/>
    <col min="14083" max="14083" width="8.28515625" style="28" bestFit="1" customWidth="1"/>
    <col min="14084" max="14084" width="7" style="28" bestFit="1" customWidth="1"/>
    <col min="14085" max="14085" width="7.28515625" style="28" bestFit="1" customWidth="1"/>
    <col min="14086" max="14086" width="7.5703125" style="28" bestFit="1" customWidth="1"/>
    <col min="14087" max="14087" width="8.28515625" style="28" bestFit="1" customWidth="1"/>
    <col min="14088" max="14088" width="5.140625" style="28" bestFit="1" customWidth="1"/>
    <col min="14089" max="14089" width="7.7109375" style="28" bestFit="1" customWidth="1"/>
    <col min="14090" max="14090" width="9" style="28" bestFit="1" customWidth="1"/>
    <col min="14091" max="14091" width="14" style="28" bestFit="1" customWidth="1"/>
    <col min="14092" max="14336" width="9.140625" style="28"/>
    <col min="14337" max="14337" width="6" style="28" bestFit="1" customWidth="1"/>
    <col min="14338" max="14338" width="30.140625" style="28" bestFit="1" customWidth="1"/>
    <col min="14339" max="14339" width="8.28515625" style="28" bestFit="1" customWidth="1"/>
    <col min="14340" max="14340" width="7" style="28" bestFit="1" customWidth="1"/>
    <col min="14341" max="14341" width="7.28515625" style="28" bestFit="1" customWidth="1"/>
    <col min="14342" max="14342" width="7.5703125" style="28" bestFit="1" customWidth="1"/>
    <col min="14343" max="14343" width="8.28515625" style="28" bestFit="1" customWidth="1"/>
    <col min="14344" max="14344" width="5.140625" style="28" bestFit="1" customWidth="1"/>
    <col min="14345" max="14345" width="7.7109375" style="28" bestFit="1" customWidth="1"/>
    <col min="14346" max="14346" width="9" style="28" bestFit="1" customWidth="1"/>
    <col min="14347" max="14347" width="14" style="28" bestFit="1" customWidth="1"/>
    <col min="14348" max="14592" width="9.140625" style="28"/>
    <col min="14593" max="14593" width="6" style="28" bestFit="1" customWidth="1"/>
    <col min="14594" max="14594" width="30.140625" style="28" bestFit="1" customWidth="1"/>
    <col min="14595" max="14595" width="8.28515625" style="28" bestFit="1" customWidth="1"/>
    <col min="14596" max="14596" width="7" style="28" bestFit="1" customWidth="1"/>
    <col min="14597" max="14597" width="7.28515625" style="28" bestFit="1" customWidth="1"/>
    <col min="14598" max="14598" width="7.5703125" style="28" bestFit="1" customWidth="1"/>
    <col min="14599" max="14599" width="8.28515625" style="28" bestFit="1" customWidth="1"/>
    <col min="14600" max="14600" width="5.140625" style="28" bestFit="1" customWidth="1"/>
    <col min="14601" max="14601" width="7.7109375" style="28" bestFit="1" customWidth="1"/>
    <col min="14602" max="14602" width="9" style="28" bestFit="1" customWidth="1"/>
    <col min="14603" max="14603" width="14" style="28" bestFit="1" customWidth="1"/>
    <col min="14604" max="14848" width="9.140625" style="28"/>
    <col min="14849" max="14849" width="6" style="28" bestFit="1" customWidth="1"/>
    <col min="14850" max="14850" width="30.140625" style="28" bestFit="1" customWidth="1"/>
    <col min="14851" max="14851" width="8.28515625" style="28" bestFit="1" customWidth="1"/>
    <col min="14852" max="14852" width="7" style="28" bestFit="1" customWidth="1"/>
    <col min="14853" max="14853" width="7.28515625" style="28" bestFit="1" customWidth="1"/>
    <col min="14854" max="14854" width="7.5703125" style="28" bestFit="1" customWidth="1"/>
    <col min="14855" max="14855" width="8.28515625" style="28" bestFit="1" customWidth="1"/>
    <col min="14856" max="14856" width="5.140625" style="28" bestFit="1" customWidth="1"/>
    <col min="14857" max="14857" width="7.7109375" style="28" bestFit="1" customWidth="1"/>
    <col min="14858" max="14858" width="9" style="28" bestFit="1" customWidth="1"/>
    <col min="14859" max="14859" width="14" style="28" bestFit="1" customWidth="1"/>
    <col min="14860" max="15104" width="9.140625" style="28"/>
    <col min="15105" max="15105" width="6" style="28" bestFit="1" customWidth="1"/>
    <col min="15106" max="15106" width="30.140625" style="28" bestFit="1" customWidth="1"/>
    <col min="15107" max="15107" width="8.28515625" style="28" bestFit="1" customWidth="1"/>
    <col min="15108" max="15108" width="7" style="28" bestFit="1" customWidth="1"/>
    <col min="15109" max="15109" width="7.28515625" style="28" bestFit="1" customWidth="1"/>
    <col min="15110" max="15110" width="7.5703125" style="28" bestFit="1" customWidth="1"/>
    <col min="15111" max="15111" width="8.28515625" style="28" bestFit="1" customWidth="1"/>
    <col min="15112" max="15112" width="5.140625" style="28" bestFit="1" customWidth="1"/>
    <col min="15113" max="15113" width="7.7109375" style="28" bestFit="1" customWidth="1"/>
    <col min="15114" max="15114" width="9" style="28" bestFit="1" customWidth="1"/>
    <col min="15115" max="15115" width="14" style="28" bestFit="1" customWidth="1"/>
    <col min="15116" max="15360" width="9.140625" style="28"/>
    <col min="15361" max="15361" width="6" style="28" bestFit="1" customWidth="1"/>
    <col min="15362" max="15362" width="30.140625" style="28" bestFit="1" customWidth="1"/>
    <col min="15363" max="15363" width="8.28515625" style="28" bestFit="1" customWidth="1"/>
    <col min="15364" max="15364" width="7" style="28" bestFit="1" customWidth="1"/>
    <col min="15365" max="15365" width="7.28515625" style="28" bestFit="1" customWidth="1"/>
    <col min="15366" max="15366" width="7.5703125" style="28" bestFit="1" customWidth="1"/>
    <col min="15367" max="15367" width="8.28515625" style="28" bestFit="1" customWidth="1"/>
    <col min="15368" max="15368" width="5.140625" style="28" bestFit="1" customWidth="1"/>
    <col min="15369" max="15369" width="7.7109375" style="28" bestFit="1" customWidth="1"/>
    <col min="15370" max="15370" width="9" style="28" bestFit="1" customWidth="1"/>
    <col min="15371" max="15371" width="14" style="28" bestFit="1" customWidth="1"/>
    <col min="15372" max="15616" width="9.140625" style="28"/>
    <col min="15617" max="15617" width="6" style="28" bestFit="1" customWidth="1"/>
    <col min="15618" max="15618" width="30.140625" style="28" bestFit="1" customWidth="1"/>
    <col min="15619" max="15619" width="8.28515625" style="28" bestFit="1" customWidth="1"/>
    <col min="15620" max="15620" width="7" style="28" bestFit="1" customWidth="1"/>
    <col min="15621" max="15621" width="7.28515625" style="28" bestFit="1" customWidth="1"/>
    <col min="15622" max="15622" width="7.5703125" style="28" bestFit="1" customWidth="1"/>
    <col min="15623" max="15623" width="8.28515625" style="28" bestFit="1" customWidth="1"/>
    <col min="15624" max="15624" width="5.140625" style="28" bestFit="1" customWidth="1"/>
    <col min="15625" max="15625" width="7.7109375" style="28" bestFit="1" customWidth="1"/>
    <col min="15626" max="15626" width="9" style="28" bestFit="1" customWidth="1"/>
    <col min="15627" max="15627" width="14" style="28" bestFit="1" customWidth="1"/>
    <col min="15628" max="15872" width="9.140625" style="28"/>
    <col min="15873" max="15873" width="6" style="28" bestFit="1" customWidth="1"/>
    <col min="15874" max="15874" width="30.140625" style="28" bestFit="1" customWidth="1"/>
    <col min="15875" max="15875" width="8.28515625" style="28" bestFit="1" customWidth="1"/>
    <col min="15876" max="15876" width="7" style="28" bestFit="1" customWidth="1"/>
    <col min="15877" max="15877" width="7.28515625" style="28" bestFit="1" customWidth="1"/>
    <col min="15878" max="15878" width="7.5703125" style="28" bestFit="1" customWidth="1"/>
    <col min="15879" max="15879" width="8.28515625" style="28" bestFit="1" customWidth="1"/>
    <col min="15880" max="15880" width="5.140625" style="28" bestFit="1" customWidth="1"/>
    <col min="15881" max="15881" width="7.7109375" style="28" bestFit="1" customWidth="1"/>
    <col min="15882" max="15882" width="9" style="28" bestFit="1" customWidth="1"/>
    <col min="15883" max="15883" width="14" style="28" bestFit="1" customWidth="1"/>
    <col min="15884" max="16128" width="9.140625" style="28"/>
    <col min="16129" max="16129" width="6" style="28" bestFit="1" customWidth="1"/>
    <col min="16130" max="16130" width="30.140625" style="28" bestFit="1" customWidth="1"/>
    <col min="16131" max="16131" width="8.28515625" style="28" bestFit="1" customWidth="1"/>
    <col min="16132" max="16132" width="7" style="28" bestFit="1" customWidth="1"/>
    <col min="16133" max="16133" width="7.28515625" style="28" bestFit="1" customWidth="1"/>
    <col min="16134" max="16134" width="7.5703125" style="28" bestFit="1" customWidth="1"/>
    <col min="16135" max="16135" width="8.28515625" style="28" bestFit="1" customWidth="1"/>
    <col min="16136" max="16136" width="5.140625" style="28" bestFit="1" customWidth="1"/>
    <col min="16137" max="16137" width="7.7109375" style="28" bestFit="1" customWidth="1"/>
    <col min="16138" max="16138" width="9" style="28" bestFit="1" customWidth="1"/>
    <col min="16139" max="16139" width="14" style="28" bestFit="1" customWidth="1"/>
    <col min="16140" max="16384" width="9.140625" style="28"/>
  </cols>
  <sheetData>
    <row r="1" spans="1:16" s="22" customFormat="1" ht="28.5" x14ac:dyDescent="0.45">
      <c r="A1" s="343" t="s">
        <v>373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</row>
    <row r="2" spans="1:16" s="22" customFormat="1" ht="15" x14ac:dyDescent="0.25">
      <c r="A2" s="23" t="s">
        <v>6</v>
      </c>
      <c r="B2" s="128" t="s">
        <v>0</v>
      </c>
      <c r="C2" s="128" t="s">
        <v>9</v>
      </c>
      <c r="D2" s="128" t="s">
        <v>113</v>
      </c>
      <c r="E2" s="128" t="s">
        <v>110</v>
      </c>
      <c r="F2" s="128" t="s">
        <v>111</v>
      </c>
      <c r="G2" s="128" t="s">
        <v>112</v>
      </c>
      <c r="H2" s="72" t="s">
        <v>1</v>
      </c>
      <c r="I2" s="127" t="s">
        <v>3</v>
      </c>
      <c r="J2" s="93" t="s">
        <v>10</v>
      </c>
      <c r="K2" s="128" t="s">
        <v>107</v>
      </c>
    </row>
    <row r="3" spans="1:16" ht="15" x14ac:dyDescent="0.25">
      <c r="A3" s="25">
        <v>1</v>
      </c>
      <c r="B3" s="26" t="s">
        <v>93</v>
      </c>
      <c r="C3" s="27"/>
      <c r="D3" s="27"/>
      <c r="E3" s="27"/>
      <c r="F3" s="27"/>
      <c r="G3" s="27"/>
      <c r="H3" s="73"/>
      <c r="I3" s="94"/>
      <c r="J3" s="95"/>
      <c r="K3" s="128"/>
    </row>
    <row r="4" spans="1:16" x14ac:dyDescent="0.25">
      <c r="A4" s="23"/>
      <c r="B4" s="26" t="s">
        <v>27</v>
      </c>
      <c r="C4" s="27"/>
      <c r="D4" s="27"/>
      <c r="E4" s="27"/>
      <c r="F4" s="27"/>
      <c r="G4" s="27"/>
      <c r="H4" s="73"/>
      <c r="I4" s="94"/>
      <c r="J4" s="95"/>
      <c r="K4" s="128"/>
    </row>
    <row r="5" spans="1:16" ht="15" x14ac:dyDescent="0.25">
      <c r="A5" s="23"/>
      <c r="B5" s="29" t="s">
        <v>28</v>
      </c>
      <c r="C5" s="30"/>
      <c r="D5" s="21"/>
      <c r="E5" s="21"/>
      <c r="F5" s="27"/>
      <c r="G5" s="27"/>
      <c r="H5" s="73"/>
      <c r="I5" s="94"/>
      <c r="J5" s="95"/>
      <c r="K5" s="128"/>
      <c r="L5" s="27"/>
      <c r="M5" s="31" t="s">
        <v>109</v>
      </c>
      <c r="N5" s="32"/>
      <c r="O5" s="32"/>
      <c r="P5" s="33"/>
    </row>
    <row r="6" spans="1:16" ht="15" x14ac:dyDescent="0.25">
      <c r="A6" s="23"/>
      <c r="B6" s="34" t="s">
        <v>29</v>
      </c>
      <c r="C6" s="27">
        <v>1</v>
      </c>
      <c r="D6" s="27"/>
      <c r="E6" s="27"/>
      <c r="F6" s="27"/>
      <c r="G6" s="27">
        <f>C6</f>
        <v>1</v>
      </c>
      <c r="H6" s="74" t="s">
        <v>4</v>
      </c>
      <c r="I6" s="21">
        <v>152851.71</v>
      </c>
      <c r="J6" s="67">
        <f>G6*I6</f>
        <v>152851.71</v>
      </c>
      <c r="K6" s="128"/>
      <c r="L6" s="27"/>
      <c r="M6" s="35" t="s">
        <v>68</v>
      </c>
      <c r="N6" s="27" t="s">
        <v>195</v>
      </c>
      <c r="O6" s="27">
        <v>301</v>
      </c>
      <c r="P6" s="27" t="s">
        <v>37</v>
      </c>
    </row>
    <row r="7" spans="1:16" ht="15" x14ac:dyDescent="0.25">
      <c r="A7" s="23"/>
      <c r="B7" s="34" t="s">
        <v>30</v>
      </c>
      <c r="C7" s="27">
        <f>P7</f>
        <v>84</v>
      </c>
      <c r="D7" s="27">
        <v>18</v>
      </c>
      <c r="E7" s="27"/>
      <c r="F7" s="27"/>
      <c r="G7" s="27">
        <f>C7*D7</f>
        <v>1512</v>
      </c>
      <c r="H7" s="74" t="s">
        <v>39</v>
      </c>
      <c r="I7" s="21">
        <v>1513.23</v>
      </c>
      <c r="J7" s="67">
        <f t="shared" ref="J7:J9" si="0">G7*I7</f>
        <v>2288003.7600000002</v>
      </c>
      <c r="K7" s="128"/>
      <c r="L7" s="128" t="s">
        <v>46</v>
      </c>
      <c r="M7" s="36">
        <f>28*3</f>
        <v>84</v>
      </c>
      <c r="N7" s="128"/>
      <c r="O7" s="128"/>
      <c r="P7" s="128">
        <f>M7</f>
        <v>84</v>
      </c>
    </row>
    <row r="8" spans="1:16" ht="15" x14ac:dyDescent="0.25">
      <c r="A8" s="23"/>
      <c r="B8" s="34" t="s">
        <v>31</v>
      </c>
      <c r="C8" s="27">
        <f>C7</f>
        <v>84</v>
      </c>
      <c r="D8" s="27"/>
      <c r="E8" s="27"/>
      <c r="F8" s="27"/>
      <c r="G8" s="27">
        <f>C8</f>
        <v>84</v>
      </c>
      <c r="H8" s="74" t="s">
        <v>94</v>
      </c>
      <c r="I8" s="21">
        <v>397.41</v>
      </c>
      <c r="J8" s="67">
        <f t="shared" si="0"/>
        <v>33382.44</v>
      </c>
      <c r="K8" s="128"/>
      <c r="L8" s="128"/>
      <c r="M8" s="36"/>
      <c r="N8" s="128"/>
      <c r="O8" s="128"/>
      <c r="P8" s="128"/>
    </row>
    <row r="9" spans="1:16" ht="15" x14ac:dyDescent="0.25">
      <c r="A9" s="23"/>
      <c r="B9" s="37" t="s">
        <v>32</v>
      </c>
      <c r="C9" s="27">
        <f>C8</f>
        <v>84</v>
      </c>
      <c r="D9" s="27"/>
      <c r="E9" s="27"/>
      <c r="F9" s="27"/>
      <c r="G9" s="27">
        <f>C9</f>
        <v>84</v>
      </c>
      <c r="H9" s="74" t="s">
        <v>94</v>
      </c>
      <c r="I9" s="21">
        <v>458.56</v>
      </c>
      <c r="J9" s="67">
        <f t="shared" si="0"/>
        <v>38519.040000000001</v>
      </c>
      <c r="K9" s="128"/>
      <c r="L9" s="128"/>
      <c r="M9" s="36" t="s">
        <v>7</v>
      </c>
      <c r="N9" s="128" t="s">
        <v>8</v>
      </c>
      <c r="O9" s="128" t="s">
        <v>15</v>
      </c>
      <c r="P9" s="128" t="s">
        <v>38</v>
      </c>
    </row>
    <row r="10" spans="1:16" x14ac:dyDescent="0.25">
      <c r="A10" s="38"/>
      <c r="B10" s="26" t="s">
        <v>194</v>
      </c>
      <c r="C10" s="27">
        <f>P10</f>
        <v>28</v>
      </c>
      <c r="D10" s="27">
        <f>M10+0.6</f>
        <v>2.1</v>
      </c>
      <c r="E10" s="27">
        <f>N10+0.6</f>
        <v>2.1</v>
      </c>
      <c r="F10" s="27">
        <f>O10+0.05+0.05+0.7+0.23</f>
        <v>1.53</v>
      </c>
      <c r="G10" s="27">
        <f t="shared" ref="G10:G22" si="1">F10*E10*D10*C10</f>
        <v>188.92439999999999</v>
      </c>
      <c r="H10" s="73"/>
      <c r="I10" s="94"/>
      <c r="J10" s="95"/>
      <c r="K10" s="128"/>
      <c r="L10" s="128" t="s">
        <v>33</v>
      </c>
      <c r="M10" s="36">
        <v>1.5</v>
      </c>
      <c r="N10" s="128">
        <v>1.5</v>
      </c>
      <c r="O10" s="128">
        <v>0.5</v>
      </c>
      <c r="P10" s="128">
        <v>28</v>
      </c>
    </row>
    <row r="11" spans="1:16" ht="15" x14ac:dyDescent="0.25">
      <c r="A11" s="38"/>
      <c r="B11" s="27" t="s">
        <v>42</v>
      </c>
      <c r="C11" s="27">
        <v>20</v>
      </c>
      <c r="D11" s="27">
        <v>3.5</v>
      </c>
      <c r="E11" s="27">
        <v>1</v>
      </c>
      <c r="F11" s="27">
        <f>0.23+0.2+0.05</f>
        <v>0.48000000000000004</v>
      </c>
      <c r="G11" s="27">
        <f t="shared" si="1"/>
        <v>33.6</v>
      </c>
      <c r="H11" s="73"/>
      <c r="I11" s="94"/>
      <c r="J11" s="95"/>
      <c r="K11" s="128"/>
      <c r="L11" s="128"/>
      <c r="M11" s="36"/>
      <c r="N11" s="128"/>
      <c r="O11" s="128"/>
      <c r="P11" s="128"/>
    </row>
    <row r="12" spans="1:16" ht="15" x14ac:dyDescent="0.25">
      <c r="A12" s="38"/>
      <c r="B12" s="27"/>
      <c r="C12" s="27"/>
      <c r="D12" s="27"/>
      <c r="E12" s="27"/>
      <c r="F12" s="128" t="s">
        <v>37</v>
      </c>
      <c r="G12" s="128">
        <f>SUM(G10:G11)</f>
        <v>222.52439999999999</v>
      </c>
      <c r="H12" s="73" t="s">
        <v>51</v>
      </c>
      <c r="I12" s="94">
        <v>315.89</v>
      </c>
      <c r="J12" s="95">
        <f>G12*I12</f>
        <v>70293.232715999999</v>
      </c>
      <c r="K12" s="128"/>
      <c r="L12" s="128"/>
      <c r="M12" s="36"/>
      <c r="N12" s="128"/>
      <c r="O12" s="128"/>
      <c r="P12" s="128"/>
    </row>
    <row r="13" spans="1:16" ht="15" x14ac:dyDescent="0.25">
      <c r="A13" s="38"/>
      <c r="B13" s="27" t="s">
        <v>13</v>
      </c>
      <c r="C13" s="27">
        <f>P10</f>
        <v>28</v>
      </c>
      <c r="D13" s="27">
        <f>M10+0.3</f>
        <v>1.8</v>
      </c>
      <c r="E13" s="27">
        <f>N10+0.3</f>
        <v>1.8</v>
      </c>
      <c r="F13" s="27">
        <v>0.23</v>
      </c>
      <c r="G13" s="27">
        <f t="shared" si="1"/>
        <v>20.865600000000001</v>
      </c>
      <c r="H13" s="73"/>
      <c r="I13" s="94"/>
      <c r="J13" s="95"/>
      <c r="K13" s="128"/>
      <c r="L13" s="128"/>
      <c r="M13" s="36"/>
      <c r="N13" s="128"/>
      <c r="O13" s="128"/>
      <c r="P13" s="128"/>
    </row>
    <row r="14" spans="1:16" x14ac:dyDescent="0.25">
      <c r="A14" s="38"/>
      <c r="B14" s="27" t="s">
        <v>42</v>
      </c>
      <c r="C14" s="27">
        <f>C26</f>
        <v>6</v>
      </c>
      <c r="D14" s="27">
        <f>D26</f>
        <v>42</v>
      </c>
      <c r="E14" s="27">
        <f>0.35+0.3</f>
        <v>0.64999999999999991</v>
      </c>
      <c r="F14" s="27">
        <v>0.23</v>
      </c>
      <c r="G14" s="27">
        <f t="shared" si="1"/>
        <v>37.673999999999999</v>
      </c>
      <c r="H14" s="73"/>
      <c r="I14" s="94"/>
      <c r="J14" s="95"/>
      <c r="K14" s="128"/>
      <c r="L14" s="128"/>
      <c r="N14" s="128"/>
      <c r="O14" s="128"/>
      <c r="P14" s="128"/>
    </row>
    <row r="15" spans="1:16" x14ac:dyDescent="0.25">
      <c r="A15" s="38"/>
      <c r="B15" s="27"/>
      <c r="C15" s="27"/>
      <c r="D15" s="27"/>
      <c r="E15" s="27"/>
      <c r="F15" s="128" t="s">
        <v>37</v>
      </c>
      <c r="G15" s="128">
        <f>SUM(G13:G14)</f>
        <v>58.5396</v>
      </c>
      <c r="H15" s="73" t="s">
        <v>51</v>
      </c>
      <c r="I15" s="94">
        <v>950</v>
      </c>
      <c r="J15" s="95">
        <f t="shared" ref="J15:J19" si="2">G15*I15</f>
        <v>55612.62</v>
      </c>
      <c r="K15" s="128"/>
      <c r="L15" s="128"/>
      <c r="M15" s="36"/>
      <c r="N15" s="128"/>
      <c r="O15" s="128"/>
      <c r="P15" s="128"/>
    </row>
    <row r="16" spans="1:16" x14ac:dyDescent="0.25">
      <c r="A16" s="38"/>
      <c r="B16" s="27" t="s">
        <v>14</v>
      </c>
      <c r="C16" s="27">
        <f>P10</f>
        <v>28</v>
      </c>
      <c r="D16" s="27">
        <f>M10+0.2</f>
        <v>1.7</v>
      </c>
      <c r="E16" s="27">
        <f>N10+0.2</f>
        <v>1.7</v>
      </c>
      <c r="F16" s="27">
        <v>0.05</v>
      </c>
      <c r="G16" s="27">
        <f t="shared" si="1"/>
        <v>4.0460000000000003</v>
      </c>
      <c r="H16" s="73"/>
      <c r="I16" s="94"/>
      <c r="J16" s="95"/>
      <c r="K16" s="128"/>
      <c r="L16" s="36"/>
      <c r="M16" s="36"/>
      <c r="N16" s="128"/>
      <c r="O16" s="128"/>
      <c r="P16" s="128"/>
    </row>
    <row r="17" spans="1:16" x14ac:dyDescent="0.25">
      <c r="A17" s="38"/>
      <c r="B17" s="27" t="s">
        <v>42</v>
      </c>
      <c r="C17" s="27">
        <f>C14</f>
        <v>6</v>
      </c>
      <c r="D17" s="27">
        <f>D14</f>
        <v>42</v>
      </c>
      <c r="E17" s="27">
        <f>0.35+0.2</f>
        <v>0.55000000000000004</v>
      </c>
      <c r="F17" s="27">
        <v>0.05</v>
      </c>
      <c r="G17" s="27">
        <f t="shared" si="1"/>
        <v>6.9300000000000015</v>
      </c>
      <c r="H17" s="73"/>
      <c r="I17" s="94"/>
      <c r="J17" s="95"/>
      <c r="K17" s="128"/>
      <c r="L17" s="128"/>
      <c r="M17" s="36"/>
      <c r="N17" s="128"/>
      <c r="O17" s="128"/>
      <c r="P17" s="128"/>
    </row>
    <row r="18" spans="1:16" x14ac:dyDescent="0.25">
      <c r="A18" s="38"/>
      <c r="B18" s="27"/>
      <c r="C18" s="27"/>
      <c r="D18" s="27"/>
      <c r="E18" s="27"/>
      <c r="F18" s="128" t="s">
        <v>37</v>
      </c>
      <c r="G18" s="128">
        <f>SUM(G16:G17)</f>
        <v>10.976000000000003</v>
      </c>
      <c r="H18" s="73" t="s">
        <v>51</v>
      </c>
      <c r="I18" s="94">
        <v>3535.97</v>
      </c>
      <c r="J18" s="95">
        <f t="shared" si="2"/>
        <v>38810.806720000008</v>
      </c>
      <c r="K18" s="128"/>
      <c r="L18" s="128"/>
      <c r="M18" s="36"/>
      <c r="N18" s="128"/>
      <c r="O18" s="128"/>
      <c r="P18" s="128"/>
    </row>
    <row r="19" spans="1:16" x14ac:dyDescent="0.25">
      <c r="A19" s="38"/>
      <c r="B19" s="27" t="s">
        <v>34</v>
      </c>
      <c r="C19" s="27">
        <f>P10</f>
        <v>28</v>
      </c>
      <c r="D19" s="27">
        <f>M10+0.2</f>
        <v>1.7</v>
      </c>
      <c r="E19" s="27">
        <f>N10+0.2</f>
        <v>1.7</v>
      </c>
      <c r="F19" s="27">
        <v>0.05</v>
      </c>
      <c r="G19" s="128">
        <f t="shared" si="1"/>
        <v>4.0460000000000003</v>
      </c>
      <c r="H19" s="73" t="s">
        <v>51</v>
      </c>
      <c r="I19" s="94">
        <v>927.3</v>
      </c>
      <c r="J19" s="95">
        <f t="shared" si="2"/>
        <v>3751.8558000000003</v>
      </c>
      <c r="K19" s="128"/>
      <c r="L19" s="128"/>
      <c r="M19" s="36"/>
      <c r="N19" s="128"/>
      <c r="O19" s="128"/>
      <c r="P19" s="128"/>
    </row>
    <row r="20" spans="1:16" x14ac:dyDescent="0.25">
      <c r="A20" s="38"/>
      <c r="B20" s="27" t="s">
        <v>35</v>
      </c>
      <c r="C20" s="27">
        <f>P10</f>
        <v>28</v>
      </c>
      <c r="D20" s="27">
        <f>M10</f>
        <v>1.5</v>
      </c>
      <c r="E20" s="27">
        <f>N10</f>
        <v>1.5</v>
      </c>
      <c r="F20" s="27">
        <f>O10</f>
        <v>0.5</v>
      </c>
      <c r="G20" s="27">
        <f t="shared" si="1"/>
        <v>31.5</v>
      </c>
      <c r="H20" s="73"/>
      <c r="I20" s="94"/>
      <c r="J20" s="95"/>
      <c r="K20" s="128"/>
      <c r="L20" s="128"/>
      <c r="M20" s="36"/>
      <c r="N20" s="128"/>
      <c r="O20" s="128"/>
      <c r="P20" s="128"/>
    </row>
    <row r="21" spans="1:16" x14ac:dyDescent="0.25">
      <c r="A21" s="38"/>
      <c r="B21" s="27" t="s">
        <v>325</v>
      </c>
      <c r="C21" s="27">
        <f>P21</f>
        <v>26</v>
      </c>
      <c r="D21" s="27">
        <f>M21</f>
        <v>0.75</v>
      </c>
      <c r="E21" s="27">
        <f>N21</f>
        <v>0.75</v>
      </c>
      <c r="F21" s="27">
        <f>O21</f>
        <v>1</v>
      </c>
      <c r="G21" s="27">
        <f t="shared" si="1"/>
        <v>14.625</v>
      </c>
      <c r="H21" s="73"/>
      <c r="I21" s="94"/>
      <c r="J21" s="95"/>
      <c r="K21" s="128"/>
      <c r="L21" s="128" t="s">
        <v>326</v>
      </c>
      <c r="M21" s="36">
        <v>0.75</v>
      </c>
      <c r="N21" s="128">
        <v>0.75</v>
      </c>
      <c r="O21" s="128">
        <v>1</v>
      </c>
      <c r="P21" s="128">
        <v>26</v>
      </c>
    </row>
    <row r="22" spans="1:16" x14ac:dyDescent="0.25">
      <c r="A22" s="38"/>
      <c r="B22" s="27" t="s">
        <v>42</v>
      </c>
      <c r="C22" s="27">
        <v>6</v>
      </c>
      <c r="D22" s="27">
        <f>(27+24)-(12*0.75)</f>
        <v>42</v>
      </c>
      <c r="E22" s="27">
        <v>0.7</v>
      </c>
      <c r="F22" s="27">
        <f>N22</f>
        <v>0.35</v>
      </c>
      <c r="G22" s="27">
        <f t="shared" si="1"/>
        <v>61.739999999999995</v>
      </c>
      <c r="H22" s="73"/>
      <c r="I22" s="94"/>
      <c r="J22" s="95"/>
      <c r="K22" s="128"/>
      <c r="L22" s="128" t="s">
        <v>43</v>
      </c>
      <c r="M22" s="36">
        <v>0.7</v>
      </c>
      <c r="N22" s="128">
        <v>0.35</v>
      </c>
      <c r="O22" s="128"/>
      <c r="P22" s="128"/>
    </row>
    <row r="23" spans="1:16" x14ac:dyDescent="0.25">
      <c r="A23" s="38"/>
      <c r="B23" s="27" t="s">
        <v>16</v>
      </c>
      <c r="C23" s="27"/>
      <c r="D23" s="27"/>
      <c r="E23" s="27"/>
      <c r="F23" s="128" t="s">
        <v>37</v>
      </c>
      <c r="G23" s="128">
        <f>SUM(G20:G22)</f>
        <v>107.86499999999999</v>
      </c>
      <c r="H23" s="73" t="s">
        <v>51</v>
      </c>
      <c r="I23" s="94">
        <v>5329.43</v>
      </c>
      <c r="J23" s="95">
        <f>G23*I23</f>
        <v>574858.96695000003</v>
      </c>
      <c r="K23" s="128"/>
      <c r="L23" s="36"/>
      <c r="M23" s="128"/>
      <c r="N23" s="128"/>
      <c r="O23" s="128"/>
    </row>
    <row r="24" spans="1:16" x14ac:dyDescent="0.25">
      <c r="A24" s="38"/>
      <c r="B24" s="27" t="s">
        <v>17</v>
      </c>
      <c r="C24" s="27">
        <f>C20</f>
        <v>28</v>
      </c>
      <c r="D24" s="27">
        <f>D20+D20+E20+E20</f>
        <v>6</v>
      </c>
      <c r="E24" s="27"/>
      <c r="F24" s="27">
        <f>F20</f>
        <v>0.5</v>
      </c>
      <c r="G24" s="27">
        <f>C24*D24*F24</f>
        <v>84</v>
      </c>
      <c r="H24" s="73"/>
      <c r="I24" s="94"/>
      <c r="J24" s="95"/>
      <c r="K24" s="128"/>
      <c r="L24" s="36"/>
      <c r="M24" s="128"/>
      <c r="N24" s="128"/>
      <c r="O24" s="128"/>
    </row>
    <row r="25" spans="1:16" x14ac:dyDescent="0.25">
      <c r="A25" s="38"/>
      <c r="B25" s="27" t="s">
        <v>326</v>
      </c>
      <c r="C25" s="27">
        <f>C21</f>
        <v>26</v>
      </c>
      <c r="D25" s="27">
        <f>D21+E21+D21+E21</f>
        <v>3</v>
      </c>
      <c r="E25" s="27"/>
      <c r="F25" s="27">
        <v>1</v>
      </c>
      <c r="G25" s="27">
        <f t="shared" ref="G25:G26" si="3">C25*D25*F25</f>
        <v>78</v>
      </c>
      <c r="H25" s="73"/>
      <c r="I25" s="94"/>
      <c r="J25" s="95"/>
      <c r="K25" s="128"/>
      <c r="L25" s="36"/>
      <c r="M25" s="128"/>
      <c r="N25" s="128"/>
      <c r="O25" s="128"/>
    </row>
    <row r="26" spans="1:16" x14ac:dyDescent="0.25">
      <c r="A26" s="38"/>
      <c r="B26" s="27" t="s">
        <v>42</v>
      </c>
      <c r="C26" s="27">
        <f>C22</f>
        <v>6</v>
      </c>
      <c r="D26" s="27">
        <f>D22</f>
        <v>42</v>
      </c>
      <c r="E26" s="27"/>
      <c r="F26" s="27">
        <f>0.7+0.7</f>
        <v>1.4</v>
      </c>
      <c r="G26" s="27">
        <f t="shared" si="3"/>
        <v>352.79999999999995</v>
      </c>
      <c r="H26" s="73"/>
      <c r="I26" s="94"/>
      <c r="J26" s="95"/>
      <c r="K26" s="128"/>
      <c r="L26" s="36"/>
      <c r="M26" s="128"/>
      <c r="N26" s="128"/>
      <c r="O26" s="128"/>
    </row>
    <row r="27" spans="1:16" x14ac:dyDescent="0.25">
      <c r="A27" s="38"/>
      <c r="B27" s="27"/>
      <c r="C27" s="27"/>
      <c r="D27" s="27"/>
      <c r="E27" s="27"/>
      <c r="F27" s="128" t="s">
        <v>37</v>
      </c>
      <c r="G27" s="128">
        <f>SUM(G24:G26)</f>
        <v>514.79999999999995</v>
      </c>
      <c r="H27" s="73" t="s">
        <v>36</v>
      </c>
      <c r="I27" s="94">
        <v>718.4</v>
      </c>
      <c r="J27" s="95">
        <f>G27*I27</f>
        <v>369832.31999999995</v>
      </c>
      <c r="K27" s="128"/>
      <c r="L27" s="36"/>
      <c r="M27" s="128"/>
      <c r="N27" s="128"/>
      <c r="O27" s="128"/>
    </row>
    <row r="28" spans="1:16" x14ac:dyDescent="0.25">
      <c r="A28" s="38"/>
      <c r="B28" s="27" t="s">
        <v>18</v>
      </c>
      <c r="C28" s="27">
        <v>1</v>
      </c>
      <c r="D28" s="6">
        <f>G23</f>
        <v>107.86499999999999</v>
      </c>
      <c r="E28" s="27">
        <v>100</v>
      </c>
      <c r="F28" s="27"/>
      <c r="G28" s="27">
        <f>D28*E28</f>
        <v>10786.5</v>
      </c>
      <c r="H28" s="73" t="s">
        <v>56</v>
      </c>
      <c r="I28" s="94">
        <v>66.239999999999995</v>
      </c>
      <c r="J28" s="95">
        <f t="shared" ref="J28:J30" si="4">G28*I28</f>
        <v>714497.75999999989</v>
      </c>
      <c r="K28" s="128"/>
      <c r="L28" s="36"/>
      <c r="M28" s="128"/>
      <c r="N28" s="128"/>
      <c r="O28" s="128"/>
    </row>
    <row r="29" spans="1:16" x14ac:dyDescent="0.25">
      <c r="A29" s="38"/>
      <c r="B29" s="27" t="s">
        <v>19</v>
      </c>
      <c r="C29" s="27">
        <f>C24</f>
        <v>28</v>
      </c>
      <c r="D29" s="6">
        <v>8</v>
      </c>
      <c r="E29" s="27">
        <f>(36*36/162)+1.5</f>
        <v>9.5</v>
      </c>
      <c r="F29" s="27">
        <v>0.9</v>
      </c>
      <c r="G29" s="27">
        <f>C29*D29*E29*F29</f>
        <v>1915.2</v>
      </c>
      <c r="H29" s="73" t="s">
        <v>56</v>
      </c>
      <c r="I29" s="94">
        <v>125</v>
      </c>
      <c r="J29" s="95">
        <f t="shared" si="4"/>
        <v>239400</v>
      </c>
      <c r="K29" s="128"/>
      <c r="L29" s="36">
        <v>0.9</v>
      </c>
      <c r="M29" s="128">
        <v>9.5</v>
      </c>
      <c r="N29" s="128"/>
      <c r="O29" s="128">
        <f>36*8</f>
        <v>288</v>
      </c>
    </row>
    <row r="30" spans="1:16" x14ac:dyDescent="0.25">
      <c r="A30" s="38"/>
      <c r="B30" s="27" t="s">
        <v>41</v>
      </c>
      <c r="C30" s="27">
        <f>P21</f>
        <v>26</v>
      </c>
      <c r="D30" s="6">
        <f>M21</f>
        <v>0.75</v>
      </c>
      <c r="E30" s="27">
        <f>N21</f>
        <v>0.75</v>
      </c>
      <c r="F30" s="27">
        <v>0.05</v>
      </c>
      <c r="G30" s="6">
        <f>C30*D30*E30*F30</f>
        <v>0.73125000000000007</v>
      </c>
      <c r="H30" s="73" t="s">
        <v>51</v>
      </c>
      <c r="I30" s="94">
        <f>5502.66/0.05</f>
        <v>110053.2</v>
      </c>
      <c r="J30" s="95">
        <f t="shared" si="4"/>
        <v>80476.402500000011</v>
      </c>
      <c r="K30" s="128"/>
    </row>
    <row r="31" spans="1:16" x14ac:dyDescent="0.25">
      <c r="A31" s="38"/>
      <c r="B31" s="27" t="s">
        <v>44</v>
      </c>
      <c r="C31" s="27">
        <v>1</v>
      </c>
      <c r="D31" s="6">
        <f>G10+G11</f>
        <v>222.52439999999999</v>
      </c>
      <c r="E31" s="27"/>
      <c r="F31" s="27"/>
      <c r="G31" s="6">
        <f>C31*D31</f>
        <v>222.52439999999999</v>
      </c>
      <c r="H31" s="73"/>
      <c r="I31" s="94"/>
      <c r="J31" s="95"/>
      <c r="K31" s="128"/>
    </row>
    <row r="32" spans="1:16" x14ac:dyDescent="0.25">
      <c r="A32" s="38"/>
      <c r="B32" s="27" t="s">
        <v>45</v>
      </c>
      <c r="C32" s="27">
        <v>-1</v>
      </c>
      <c r="D32" s="6">
        <f>G13+G14+G16+G17+G19+G20+G21+G22</f>
        <v>181.42660000000001</v>
      </c>
      <c r="E32" s="27"/>
      <c r="F32" s="27"/>
      <c r="G32" s="6">
        <f>C32*D32</f>
        <v>-181.42660000000001</v>
      </c>
      <c r="H32" s="73"/>
      <c r="I32" s="127"/>
      <c r="J32" s="93"/>
      <c r="K32" s="128"/>
    </row>
    <row r="33" spans="1:11" x14ac:dyDescent="0.25">
      <c r="A33" s="38"/>
      <c r="B33" s="27"/>
      <c r="C33" s="27"/>
      <c r="D33" s="27"/>
      <c r="E33" s="27"/>
      <c r="F33" s="128"/>
      <c r="G33" s="128"/>
      <c r="H33" s="73"/>
      <c r="I33" s="94"/>
      <c r="J33" s="95"/>
      <c r="K33" s="128"/>
    </row>
    <row r="34" spans="1:11" x14ac:dyDescent="0.25">
      <c r="A34" s="39"/>
      <c r="B34" s="26" t="s">
        <v>49</v>
      </c>
      <c r="C34" s="40"/>
      <c r="D34" s="40"/>
      <c r="E34" s="40"/>
      <c r="F34" s="40"/>
      <c r="G34" s="40"/>
      <c r="H34" s="78"/>
      <c r="I34" s="96"/>
      <c r="J34" s="68"/>
      <c r="K34" s="128"/>
    </row>
    <row r="35" spans="1:11" x14ac:dyDescent="0.25">
      <c r="A35" s="41"/>
      <c r="B35" s="42" t="s">
        <v>50</v>
      </c>
      <c r="C35" s="43">
        <v>4</v>
      </c>
      <c r="D35" s="43">
        <v>3.2</v>
      </c>
      <c r="E35" s="43">
        <v>1.5</v>
      </c>
      <c r="F35" s="43">
        <v>6</v>
      </c>
      <c r="G35" s="43">
        <f>F35*E35*D35*C35</f>
        <v>115.2</v>
      </c>
      <c r="H35" s="73" t="s">
        <v>51</v>
      </c>
      <c r="I35" s="94">
        <v>315.19</v>
      </c>
      <c r="J35" s="95">
        <f>I35*G35</f>
        <v>36309.887999999999</v>
      </c>
      <c r="K35" s="128"/>
    </row>
    <row r="36" spans="1:11" x14ac:dyDescent="0.25">
      <c r="A36" s="41"/>
      <c r="B36" s="42" t="s">
        <v>52</v>
      </c>
      <c r="C36" s="43"/>
      <c r="D36" s="43"/>
      <c r="E36" s="43"/>
      <c r="F36" s="43"/>
      <c r="G36" s="43">
        <f>G35</f>
        <v>115.2</v>
      </c>
      <c r="H36" s="73" t="s">
        <v>51</v>
      </c>
      <c r="I36" s="94">
        <v>75</v>
      </c>
      <c r="J36" s="95">
        <f>I36*G36</f>
        <v>8640</v>
      </c>
      <c r="K36" s="128"/>
    </row>
    <row r="37" spans="1:11" x14ac:dyDescent="0.25">
      <c r="A37" s="41"/>
      <c r="B37" s="42" t="s">
        <v>13</v>
      </c>
      <c r="C37" s="43">
        <v>3.2</v>
      </c>
      <c r="D37" s="43">
        <v>2.5</v>
      </c>
      <c r="E37" s="43">
        <v>0.23</v>
      </c>
      <c r="F37" s="43">
        <f>F35</f>
        <v>6</v>
      </c>
      <c r="G37" s="43">
        <f>F37*E37*D37*C37</f>
        <v>11.040000000000001</v>
      </c>
      <c r="H37" s="73" t="s">
        <v>51</v>
      </c>
      <c r="I37" s="94">
        <v>950</v>
      </c>
      <c r="J37" s="95">
        <f>I37*G37</f>
        <v>10488</v>
      </c>
      <c r="K37" s="128"/>
    </row>
    <row r="38" spans="1:11" x14ac:dyDescent="0.25">
      <c r="A38" s="41"/>
      <c r="B38" s="42" t="s">
        <v>53</v>
      </c>
      <c r="C38" s="43">
        <v>3.2</v>
      </c>
      <c r="D38" s="66">
        <v>2.5</v>
      </c>
      <c r="E38" s="43">
        <v>0.1</v>
      </c>
      <c r="F38" s="43">
        <f>F35</f>
        <v>6</v>
      </c>
      <c r="G38" s="43">
        <f>F38*E38*D38*C38</f>
        <v>4.8000000000000007</v>
      </c>
      <c r="H38" s="73" t="s">
        <v>51</v>
      </c>
      <c r="I38" s="94">
        <v>3535.97</v>
      </c>
      <c r="J38" s="95">
        <f>I38*G38</f>
        <v>16972.656000000003</v>
      </c>
      <c r="K38" s="128"/>
    </row>
    <row r="39" spans="1:11" x14ac:dyDescent="0.25">
      <c r="A39" s="41"/>
      <c r="B39" s="42" t="s">
        <v>54</v>
      </c>
      <c r="C39" s="43">
        <v>3</v>
      </c>
      <c r="D39" s="66">
        <v>2.2000000000000002</v>
      </c>
      <c r="E39" s="43">
        <v>0.95</v>
      </c>
      <c r="F39" s="43">
        <f>F35</f>
        <v>6</v>
      </c>
      <c r="G39" s="43">
        <f>F39*E39*D39*C39</f>
        <v>37.619999999999997</v>
      </c>
      <c r="H39" s="73" t="s">
        <v>51</v>
      </c>
      <c r="I39" s="94"/>
      <c r="J39" s="95"/>
      <c r="K39" s="128"/>
    </row>
    <row r="40" spans="1:11" x14ac:dyDescent="0.25">
      <c r="A40" s="41"/>
      <c r="B40" s="42"/>
      <c r="C40" s="43"/>
      <c r="D40" s="66"/>
      <c r="E40" s="43"/>
      <c r="F40" s="128" t="s">
        <v>37</v>
      </c>
      <c r="G40" s="43">
        <f>G39</f>
        <v>37.619999999999997</v>
      </c>
      <c r="H40" s="73" t="s">
        <v>51</v>
      </c>
      <c r="I40" s="94">
        <v>5329.43</v>
      </c>
      <c r="J40" s="95">
        <f>I40*G40</f>
        <v>200493.15659999999</v>
      </c>
      <c r="K40" s="128"/>
    </row>
    <row r="41" spans="1:11" x14ac:dyDescent="0.25">
      <c r="A41" s="41"/>
      <c r="B41" s="42" t="s">
        <v>55</v>
      </c>
      <c r="C41" s="43">
        <f>G40</f>
        <v>37.619999999999997</v>
      </c>
      <c r="D41" s="66"/>
      <c r="E41" s="43"/>
      <c r="F41" s="43">
        <v>8</v>
      </c>
      <c r="G41" s="43">
        <f>F41*C41</f>
        <v>300.95999999999998</v>
      </c>
      <c r="H41" s="73" t="s">
        <v>36</v>
      </c>
      <c r="I41" s="94">
        <v>529.89</v>
      </c>
      <c r="J41" s="95">
        <f t="shared" ref="J41:J45" si="5">I41*G41</f>
        <v>159475.69439999998</v>
      </c>
      <c r="K41" s="128"/>
    </row>
    <row r="42" spans="1:11" x14ac:dyDescent="0.25">
      <c r="A42" s="41"/>
      <c r="B42" s="42" t="s">
        <v>5</v>
      </c>
      <c r="C42" s="43">
        <f>G40</f>
        <v>37.619999999999997</v>
      </c>
      <c r="D42" s="66"/>
      <c r="E42" s="43"/>
      <c r="F42" s="43">
        <v>125</v>
      </c>
      <c r="G42" s="43">
        <f>F42*C42</f>
        <v>4702.5</v>
      </c>
      <c r="H42" s="73" t="s">
        <v>56</v>
      </c>
      <c r="I42" s="94">
        <v>66.239999999999995</v>
      </c>
      <c r="J42" s="95">
        <f t="shared" si="5"/>
        <v>311493.59999999998</v>
      </c>
      <c r="K42" s="128"/>
    </row>
    <row r="43" spans="1:11" x14ac:dyDescent="0.25">
      <c r="A43" s="41"/>
      <c r="B43" s="42" t="s">
        <v>44</v>
      </c>
      <c r="C43" s="43">
        <f>G35-G37-G38-G39</f>
        <v>61.74</v>
      </c>
      <c r="D43" s="66"/>
      <c r="E43" s="43"/>
      <c r="F43" s="43">
        <v>1</v>
      </c>
      <c r="G43" s="43">
        <f>F43*C43</f>
        <v>61.74</v>
      </c>
      <c r="H43" s="73" t="s">
        <v>51</v>
      </c>
      <c r="I43" s="94">
        <v>183.42</v>
      </c>
      <c r="J43" s="95">
        <f t="shared" si="5"/>
        <v>11324.3508</v>
      </c>
      <c r="K43" s="128"/>
    </row>
    <row r="44" spans="1:11" x14ac:dyDescent="0.25">
      <c r="A44" s="41"/>
      <c r="B44" s="42" t="s">
        <v>57</v>
      </c>
      <c r="C44" s="43">
        <v>8</v>
      </c>
      <c r="D44" s="66"/>
      <c r="E44" s="43"/>
      <c r="F44" s="43">
        <v>1</v>
      </c>
      <c r="G44" s="43">
        <f>F44*C44</f>
        <v>8</v>
      </c>
      <c r="H44" s="73" t="s">
        <v>9</v>
      </c>
      <c r="I44" s="94">
        <v>400</v>
      </c>
      <c r="J44" s="95">
        <f t="shared" si="5"/>
        <v>3200</v>
      </c>
      <c r="K44" s="128"/>
    </row>
    <row r="45" spans="1:11" x14ac:dyDescent="0.25">
      <c r="A45" s="41"/>
      <c r="B45" s="42" t="s">
        <v>58</v>
      </c>
      <c r="C45" s="43">
        <v>0.15</v>
      </c>
      <c r="D45" s="66">
        <v>0.15</v>
      </c>
      <c r="E45" s="43">
        <v>0.4</v>
      </c>
      <c r="F45" s="43">
        <f>G44</f>
        <v>8</v>
      </c>
      <c r="G45" s="66">
        <f>C45*D45*E45*F45</f>
        <v>7.1999999999999995E-2</v>
      </c>
      <c r="H45" s="73" t="s">
        <v>51</v>
      </c>
      <c r="I45" s="94">
        <f>I30</f>
        <v>110053.2</v>
      </c>
      <c r="J45" s="95">
        <f t="shared" si="5"/>
        <v>7923.8303999999989</v>
      </c>
      <c r="K45" s="128"/>
    </row>
    <row r="46" spans="1:11" x14ac:dyDescent="0.25">
      <c r="A46" s="39"/>
      <c r="B46" s="26" t="s">
        <v>59</v>
      </c>
      <c r="C46" s="40"/>
      <c r="D46" s="13"/>
      <c r="E46" s="40"/>
      <c r="F46" s="40"/>
      <c r="G46" s="13"/>
      <c r="H46" s="78"/>
      <c r="I46" s="96"/>
      <c r="J46" s="68"/>
      <c r="K46" s="128"/>
    </row>
    <row r="47" spans="1:11" x14ac:dyDescent="0.25">
      <c r="A47" s="41"/>
      <c r="B47" s="42" t="s">
        <v>50</v>
      </c>
      <c r="C47" s="43">
        <v>1.6</v>
      </c>
      <c r="D47" s="66">
        <v>1.1000000000000001</v>
      </c>
      <c r="E47" s="43">
        <v>1.2</v>
      </c>
      <c r="F47" s="43">
        <v>11</v>
      </c>
      <c r="G47" s="66">
        <f>F47*E47*D47*C47</f>
        <v>23.231999999999999</v>
      </c>
      <c r="H47" s="73" t="s">
        <v>51</v>
      </c>
      <c r="I47" s="94">
        <f>I35</f>
        <v>315.19</v>
      </c>
      <c r="J47" s="95">
        <f>I47*G47</f>
        <v>7322.4940799999995</v>
      </c>
      <c r="K47" s="128"/>
    </row>
    <row r="48" spans="1:11" x14ac:dyDescent="0.25">
      <c r="A48" s="41"/>
      <c r="B48" s="42" t="s">
        <v>13</v>
      </c>
      <c r="C48" s="43">
        <v>1.3</v>
      </c>
      <c r="D48" s="66">
        <f>D47</f>
        <v>1.1000000000000001</v>
      </c>
      <c r="E48" s="43">
        <v>0.23</v>
      </c>
      <c r="F48" s="43">
        <f>F47</f>
        <v>11</v>
      </c>
      <c r="G48" s="66">
        <f>F48*E48*D48*C48</f>
        <v>3.6179000000000006</v>
      </c>
      <c r="H48" s="73" t="s">
        <v>51</v>
      </c>
      <c r="I48" s="94">
        <v>1500</v>
      </c>
      <c r="J48" s="95">
        <f>I48*G48</f>
        <v>5426.8500000000013</v>
      </c>
      <c r="K48" s="128"/>
    </row>
    <row r="49" spans="1:11" x14ac:dyDescent="0.25">
      <c r="A49" s="41"/>
      <c r="B49" s="42" t="s">
        <v>53</v>
      </c>
      <c r="C49" s="43">
        <f>C48</f>
        <v>1.3</v>
      </c>
      <c r="D49" s="66">
        <f>D47</f>
        <v>1.1000000000000001</v>
      </c>
      <c r="E49" s="43">
        <v>0.1</v>
      </c>
      <c r="F49" s="43">
        <f>F47</f>
        <v>11</v>
      </c>
      <c r="G49" s="66">
        <f>F49*E49*D49*C49</f>
        <v>1.5730000000000004</v>
      </c>
      <c r="H49" s="73" t="s">
        <v>51</v>
      </c>
      <c r="I49" s="94">
        <f>I38</f>
        <v>3535.97</v>
      </c>
      <c r="J49" s="95">
        <f>I49*G49</f>
        <v>5562.0808100000013</v>
      </c>
      <c r="K49" s="128"/>
    </row>
    <row r="50" spans="1:11" x14ac:dyDescent="0.25">
      <c r="A50" s="41"/>
      <c r="B50" s="42" t="s">
        <v>54</v>
      </c>
      <c r="C50" s="43">
        <v>1</v>
      </c>
      <c r="D50" s="66">
        <v>0.75</v>
      </c>
      <c r="E50" s="43">
        <v>0.75</v>
      </c>
      <c r="F50" s="43">
        <f>F47</f>
        <v>11</v>
      </c>
      <c r="G50" s="66">
        <f>F50*E50*D50*C50</f>
        <v>6.1875</v>
      </c>
      <c r="H50" s="73" t="s">
        <v>51</v>
      </c>
      <c r="I50" s="94"/>
      <c r="J50" s="95"/>
      <c r="K50" s="128"/>
    </row>
    <row r="51" spans="1:11" x14ac:dyDescent="0.25">
      <c r="A51" s="41"/>
      <c r="B51" s="42"/>
      <c r="C51" s="43"/>
      <c r="D51" s="66"/>
      <c r="E51" s="43"/>
      <c r="F51" s="43"/>
      <c r="G51" s="66">
        <f>G50</f>
        <v>6.1875</v>
      </c>
      <c r="H51" s="73" t="s">
        <v>51</v>
      </c>
      <c r="I51" s="94">
        <f>I40</f>
        <v>5329.43</v>
      </c>
      <c r="J51" s="95">
        <f>I51*G51</f>
        <v>32975.848125000004</v>
      </c>
      <c r="K51" s="128"/>
    </row>
    <row r="52" spans="1:11" x14ac:dyDescent="0.25">
      <c r="A52" s="41"/>
      <c r="B52" s="42" t="s">
        <v>55</v>
      </c>
      <c r="C52" s="43">
        <f>G51</f>
        <v>6.1875</v>
      </c>
      <c r="D52" s="66"/>
      <c r="E52" s="43"/>
      <c r="F52" s="43">
        <v>8</v>
      </c>
      <c r="G52" s="66">
        <f>F52*C52</f>
        <v>49.5</v>
      </c>
      <c r="H52" s="73" t="s">
        <v>36</v>
      </c>
      <c r="I52" s="94">
        <f>I41</f>
        <v>529.89</v>
      </c>
      <c r="J52" s="95">
        <f t="shared" ref="J52:J56" si="6">I52*G52</f>
        <v>26229.555</v>
      </c>
      <c r="K52" s="128"/>
    </row>
    <row r="53" spans="1:11" x14ac:dyDescent="0.25">
      <c r="A53" s="41"/>
      <c r="B53" s="42" t="s">
        <v>5</v>
      </c>
      <c r="C53" s="43">
        <f>G51</f>
        <v>6.1875</v>
      </c>
      <c r="D53" s="66"/>
      <c r="E53" s="43"/>
      <c r="F53" s="43">
        <v>125</v>
      </c>
      <c r="G53" s="66">
        <f>F53*C53</f>
        <v>773.4375</v>
      </c>
      <c r="H53" s="73" t="s">
        <v>56</v>
      </c>
      <c r="I53" s="94">
        <f>I42</f>
        <v>66.239999999999995</v>
      </c>
      <c r="J53" s="95">
        <f t="shared" si="6"/>
        <v>51232.499999999993</v>
      </c>
      <c r="K53" s="128"/>
    </row>
    <row r="54" spans="1:11" x14ac:dyDescent="0.25">
      <c r="A54" s="41"/>
      <c r="B54" s="42" t="s">
        <v>44</v>
      </c>
      <c r="C54" s="43">
        <f>G47-G48-G49-G50</f>
        <v>11.8536</v>
      </c>
      <c r="D54" s="66"/>
      <c r="E54" s="43"/>
      <c r="F54" s="43">
        <v>1</v>
      </c>
      <c r="G54" s="66">
        <f>F54*C54</f>
        <v>11.8536</v>
      </c>
      <c r="H54" s="73" t="s">
        <v>51</v>
      </c>
      <c r="I54" s="94">
        <f>I43</f>
        <v>183.42</v>
      </c>
      <c r="J54" s="95">
        <f t="shared" si="6"/>
        <v>2174.187312</v>
      </c>
      <c r="K54" s="128"/>
    </row>
    <row r="55" spans="1:11" x14ac:dyDescent="0.25">
      <c r="A55" s="41"/>
      <c r="B55" s="42" t="s">
        <v>57</v>
      </c>
      <c r="C55" s="43">
        <v>4</v>
      </c>
      <c r="D55" s="66"/>
      <c r="E55" s="43"/>
      <c r="F55" s="43">
        <v>1</v>
      </c>
      <c r="G55" s="66">
        <f>F55*C55</f>
        <v>4</v>
      </c>
      <c r="H55" s="73" t="s">
        <v>9</v>
      </c>
      <c r="I55" s="94">
        <v>400</v>
      </c>
      <c r="J55" s="95">
        <f t="shared" si="6"/>
        <v>1600</v>
      </c>
      <c r="K55" s="128"/>
    </row>
    <row r="56" spans="1:11" x14ac:dyDescent="0.25">
      <c r="A56" s="41"/>
      <c r="B56" s="42" t="s">
        <v>58</v>
      </c>
      <c r="C56" s="43">
        <v>0.1</v>
      </c>
      <c r="D56" s="66">
        <v>0.1</v>
      </c>
      <c r="E56" s="43">
        <v>0.3</v>
      </c>
      <c r="F56" s="43">
        <f>G55</f>
        <v>4</v>
      </c>
      <c r="G56" s="66">
        <f>C56*D56*E56*F56</f>
        <v>1.2000000000000002E-2</v>
      </c>
      <c r="H56" s="73" t="s">
        <v>51</v>
      </c>
      <c r="I56" s="94">
        <f>I45</f>
        <v>110053.2</v>
      </c>
      <c r="J56" s="95">
        <f t="shared" si="6"/>
        <v>1320.6384000000003</v>
      </c>
      <c r="K56" s="128"/>
    </row>
    <row r="57" spans="1:11" x14ac:dyDescent="0.25">
      <c r="A57" s="38"/>
      <c r="B57" s="26" t="s">
        <v>331</v>
      </c>
      <c r="C57" s="40"/>
      <c r="D57" s="13"/>
      <c r="E57" s="40"/>
      <c r="F57" s="40"/>
      <c r="G57" s="13"/>
      <c r="H57" s="78"/>
      <c r="I57" s="96"/>
      <c r="J57" s="68"/>
      <c r="K57" s="44"/>
    </row>
    <row r="58" spans="1:11" x14ac:dyDescent="0.25">
      <c r="A58" s="45" t="s">
        <v>95</v>
      </c>
      <c r="B58" s="29" t="s">
        <v>69</v>
      </c>
      <c r="C58" s="30"/>
      <c r="D58" s="67"/>
      <c r="E58" s="46"/>
      <c r="F58" s="46"/>
      <c r="G58" s="46"/>
      <c r="H58" s="78"/>
      <c r="I58" s="96"/>
      <c r="J58" s="68"/>
      <c r="K58" s="44"/>
    </row>
    <row r="59" spans="1:11" x14ac:dyDescent="0.25">
      <c r="A59" s="30"/>
      <c r="B59" s="34" t="s">
        <v>324</v>
      </c>
      <c r="C59" s="27">
        <v>1</v>
      </c>
      <c r="D59" s="6"/>
      <c r="E59" s="46"/>
      <c r="F59" s="46"/>
      <c r="G59" s="70">
        <f>C59</f>
        <v>1</v>
      </c>
      <c r="H59" s="74" t="s">
        <v>4</v>
      </c>
      <c r="I59" s="21">
        <v>305703.42</v>
      </c>
      <c r="J59" s="70">
        <f>G59*I59</f>
        <v>305703.42</v>
      </c>
      <c r="K59" s="44"/>
    </row>
    <row r="60" spans="1:11" x14ac:dyDescent="0.25">
      <c r="A60" s="30"/>
      <c r="B60" s="34" t="s">
        <v>70</v>
      </c>
      <c r="C60" s="27">
        <v>1</v>
      </c>
      <c r="D60" s="6"/>
      <c r="E60" s="46"/>
      <c r="F60" s="46"/>
      <c r="G60" s="70">
        <f>C60</f>
        <v>1</v>
      </c>
      <c r="H60" s="74" t="s">
        <v>4</v>
      </c>
      <c r="I60" s="21">
        <v>229277.57</v>
      </c>
      <c r="J60" s="70">
        <f t="shared" ref="J60:J63" si="7">G60*I60</f>
        <v>229277.57</v>
      </c>
      <c r="K60" s="44"/>
    </row>
    <row r="61" spans="1:11" x14ac:dyDescent="0.25">
      <c r="A61" s="30"/>
      <c r="B61" s="34" t="s">
        <v>71</v>
      </c>
      <c r="C61" s="27">
        <f>20</f>
        <v>20</v>
      </c>
      <c r="D61" s="6">
        <v>18</v>
      </c>
      <c r="E61" s="46"/>
      <c r="F61" s="46"/>
      <c r="G61" s="70">
        <f>C61*D61</f>
        <v>360</v>
      </c>
      <c r="H61" s="74" t="s">
        <v>39</v>
      </c>
      <c r="I61" s="21">
        <v>2394.6799999999998</v>
      </c>
      <c r="J61" s="70">
        <f t="shared" si="7"/>
        <v>862084.79999999993</v>
      </c>
      <c r="K61" s="44"/>
    </row>
    <row r="62" spans="1:11" x14ac:dyDescent="0.25">
      <c r="A62" s="30"/>
      <c r="B62" s="34" t="s">
        <v>31</v>
      </c>
      <c r="C62" s="27">
        <f>C61</f>
        <v>20</v>
      </c>
      <c r="D62" s="6"/>
      <c r="E62" s="46"/>
      <c r="F62" s="46"/>
      <c r="G62" s="70">
        <f>C62</f>
        <v>20</v>
      </c>
      <c r="H62" s="74" t="s">
        <v>67</v>
      </c>
      <c r="I62" s="21">
        <v>509.51</v>
      </c>
      <c r="J62" s="70">
        <f t="shared" si="7"/>
        <v>10190.200000000001</v>
      </c>
      <c r="K62" s="44"/>
    </row>
    <row r="63" spans="1:11" x14ac:dyDescent="0.25">
      <c r="A63" s="30"/>
      <c r="B63" s="37" t="s">
        <v>32</v>
      </c>
      <c r="C63" s="27">
        <f>C61</f>
        <v>20</v>
      </c>
      <c r="D63" s="6"/>
      <c r="E63" s="46"/>
      <c r="F63" s="46"/>
      <c r="G63" s="70">
        <f>C63</f>
        <v>20</v>
      </c>
      <c r="H63" s="74" t="s">
        <v>67</v>
      </c>
      <c r="I63" s="21">
        <v>1273.76</v>
      </c>
      <c r="J63" s="70">
        <f t="shared" si="7"/>
        <v>25475.200000000001</v>
      </c>
      <c r="K63" s="44"/>
    </row>
    <row r="64" spans="1:11" x14ac:dyDescent="0.25">
      <c r="A64" s="38" t="s">
        <v>96</v>
      </c>
      <c r="B64" s="140" t="s">
        <v>184</v>
      </c>
      <c r="C64" s="46"/>
      <c r="D64" s="14"/>
      <c r="E64" s="46"/>
      <c r="F64" s="46"/>
      <c r="G64" s="68"/>
      <c r="H64" s="78"/>
      <c r="I64" s="96"/>
      <c r="J64" s="68"/>
      <c r="K64" s="44"/>
    </row>
    <row r="65" spans="1:11" x14ac:dyDescent="0.25">
      <c r="A65" s="47">
        <v>1</v>
      </c>
      <c r="B65" s="48" t="s">
        <v>60</v>
      </c>
      <c r="C65" s="48">
        <v>4</v>
      </c>
      <c r="D65" s="8">
        <f>4+0.5+0.5</f>
        <v>5</v>
      </c>
      <c r="E65" s="48">
        <f>D65</f>
        <v>5</v>
      </c>
      <c r="F65" s="48">
        <f>0.7+0.05+0.23</f>
        <v>0.98</v>
      </c>
      <c r="G65" s="69">
        <f>F65*E65*D65*C65</f>
        <v>98</v>
      </c>
      <c r="H65" s="75" t="s">
        <v>51</v>
      </c>
      <c r="I65" s="97">
        <f>I47</f>
        <v>315.19</v>
      </c>
      <c r="J65" s="69">
        <f>G65*I65</f>
        <v>30888.62</v>
      </c>
      <c r="K65" s="44"/>
    </row>
    <row r="66" spans="1:11" x14ac:dyDescent="0.25">
      <c r="A66" s="47">
        <v>2</v>
      </c>
      <c r="B66" s="48" t="s">
        <v>61</v>
      </c>
      <c r="C66" s="48"/>
      <c r="D66" s="8"/>
      <c r="E66" s="48"/>
      <c r="F66" s="48"/>
      <c r="G66" s="69">
        <f>G65</f>
        <v>98</v>
      </c>
      <c r="H66" s="75" t="s">
        <v>51</v>
      </c>
      <c r="I66" s="97">
        <v>100</v>
      </c>
      <c r="J66" s="69">
        <f t="shared" ref="J66:J70" si="8">G66*I66</f>
        <v>9800</v>
      </c>
      <c r="K66" s="44"/>
    </row>
    <row r="67" spans="1:11" x14ac:dyDescent="0.25">
      <c r="A67" s="47">
        <v>3</v>
      </c>
      <c r="B67" s="48" t="s">
        <v>62</v>
      </c>
      <c r="C67" s="48">
        <f>C65</f>
        <v>4</v>
      </c>
      <c r="D67" s="8">
        <v>3.14</v>
      </c>
      <c r="E67" s="48">
        <f>2*2</f>
        <v>4</v>
      </c>
      <c r="F67" s="48">
        <v>1.5</v>
      </c>
      <c r="G67" s="69">
        <f t="shared" ref="G67:G68" si="9">F67*E67*D67*C67</f>
        <v>75.36</v>
      </c>
      <c r="H67" s="75" t="s">
        <v>51</v>
      </c>
      <c r="I67" s="97">
        <f>I51</f>
        <v>5329.43</v>
      </c>
      <c r="J67" s="69">
        <f t="shared" si="8"/>
        <v>401625.84480000002</v>
      </c>
      <c r="K67" s="44"/>
    </row>
    <row r="68" spans="1:11" x14ac:dyDescent="0.25">
      <c r="A68" s="47">
        <v>4</v>
      </c>
      <c r="B68" s="48" t="s">
        <v>72</v>
      </c>
      <c r="C68" s="48">
        <f>C65</f>
        <v>4</v>
      </c>
      <c r="D68" s="8">
        <v>3.14</v>
      </c>
      <c r="E68" s="48">
        <f>D65</f>
        <v>5</v>
      </c>
      <c r="F68" s="48">
        <v>0.1</v>
      </c>
      <c r="G68" s="69">
        <f t="shared" si="9"/>
        <v>6.28</v>
      </c>
      <c r="H68" s="75" t="s">
        <v>51</v>
      </c>
      <c r="I68" s="97">
        <f>I19</f>
        <v>927.3</v>
      </c>
      <c r="J68" s="69">
        <f t="shared" si="8"/>
        <v>5823.4439999999995</v>
      </c>
      <c r="K68" s="44"/>
    </row>
    <row r="69" spans="1:11" x14ac:dyDescent="0.25">
      <c r="A69" s="47">
        <v>5</v>
      </c>
      <c r="B69" s="48" t="s">
        <v>63</v>
      </c>
      <c r="C69" s="48">
        <v>1</v>
      </c>
      <c r="D69" s="8"/>
      <c r="E69" s="48">
        <f>G67</f>
        <v>75.36</v>
      </c>
      <c r="F69" s="48">
        <v>100</v>
      </c>
      <c r="G69" s="69">
        <f>F69*E69*C69</f>
        <v>7536</v>
      </c>
      <c r="H69" s="75" t="s">
        <v>56</v>
      </c>
      <c r="I69" s="97">
        <f>I53</f>
        <v>66.239999999999995</v>
      </c>
      <c r="J69" s="70">
        <f t="shared" si="8"/>
        <v>499184.63999999996</v>
      </c>
      <c r="K69" s="44"/>
    </row>
    <row r="70" spans="1:11" x14ac:dyDescent="0.25">
      <c r="A70" s="47">
        <v>6</v>
      </c>
      <c r="B70" s="48" t="s">
        <v>64</v>
      </c>
      <c r="C70" s="48">
        <f>C65</f>
        <v>4</v>
      </c>
      <c r="D70" s="8">
        <v>1</v>
      </c>
      <c r="E70" s="48">
        <f>3.14*D65</f>
        <v>15.700000000000001</v>
      </c>
      <c r="F70" s="48">
        <v>1.5</v>
      </c>
      <c r="G70" s="69">
        <f>F70*E70*D70*C70</f>
        <v>94.2</v>
      </c>
      <c r="H70" s="75" t="s">
        <v>36</v>
      </c>
      <c r="I70" s="97">
        <f>I52</f>
        <v>529.89</v>
      </c>
      <c r="J70" s="69">
        <f t="shared" si="8"/>
        <v>49915.637999999999</v>
      </c>
      <c r="K70" s="44"/>
    </row>
    <row r="71" spans="1:11" x14ac:dyDescent="0.25">
      <c r="A71" s="47">
        <v>7</v>
      </c>
      <c r="B71" s="48" t="s">
        <v>65</v>
      </c>
      <c r="C71" s="48">
        <f>C65</f>
        <v>4</v>
      </c>
      <c r="D71" s="8">
        <f>(3.14*2.6)/0.3</f>
        <v>27.213333333333338</v>
      </c>
      <c r="E71" s="48">
        <v>16</v>
      </c>
      <c r="F71" s="48"/>
      <c r="G71" s="69">
        <f>E71*D71*C71</f>
        <v>1741.6533333333336</v>
      </c>
      <c r="H71" s="75" t="s">
        <v>56</v>
      </c>
      <c r="I71" s="97">
        <v>125</v>
      </c>
      <c r="J71" s="69">
        <f>G71*I71</f>
        <v>217706.66666666672</v>
      </c>
      <c r="K71" s="44"/>
    </row>
    <row r="72" spans="1:11" x14ac:dyDescent="0.25">
      <c r="A72" s="47">
        <v>8</v>
      </c>
      <c r="B72" s="48" t="s">
        <v>73</v>
      </c>
      <c r="C72" s="48">
        <f>C65</f>
        <v>4</v>
      </c>
      <c r="D72" s="8">
        <f>D65</f>
        <v>5</v>
      </c>
      <c r="E72" s="48">
        <f>E65</f>
        <v>5</v>
      </c>
      <c r="F72" s="48">
        <v>0.05</v>
      </c>
      <c r="G72" s="69">
        <f>F72*E72*D72*C72</f>
        <v>5</v>
      </c>
      <c r="H72" s="75" t="s">
        <v>12</v>
      </c>
      <c r="I72" s="97">
        <f>I49</f>
        <v>3535.97</v>
      </c>
      <c r="J72" s="69">
        <f>G72*I72</f>
        <v>17679.849999999999</v>
      </c>
      <c r="K72" s="44"/>
    </row>
    <row r="73" spans="1:11" x14ac:dyDescent="0.25">
      <c r="A73" s="47"/>
      <c r="B73" s="48"/>
      <c r="C73" s="48"/>
      <c r="D73" s="8"/>
      <c r="E73" s="48"/>
      <c r="F73" s="48"/>
      <c r="G73" s="109"/>
      <c r="H73" s="146"/>
      <c r="I73" s="110"/>
      <c r="J73" s="68"/>
      <c r="K73" s="44"/>
    </row>
    <row r="74" spans="1:11" x14ac:dyDescent="0.25">
      <c r="A74" s="16">
        <v>2</v>
      </c>
      <c r="B74" s="83" t="s">
        <v>185</v>
      </c>
      <c r="C74" s="10"/>
      <c r="D74" s="10"/>
      <c r="E74" s="10"/>
      <c r="F74" s="10"/>
      <c r="G74" s="10"/>
      <c r="H74" s="10"/>
      <c r="I74" s="10"/>
      <c r="J74" s="10"/>
      <c r="K74" s="10"/>
    </row>
    <row r="75" spans="1:11" x14ac:dyDescent="0.25">
      <c r="A75" s="10"/>
      <c r="B75" s="10" t="s">
        <v>60</v>
      </c>
      <c r="C75" s="10">
        <v>7</v>
      </c>
      <c r="D75" s="10">
        <f>1.8+0.6+0.6+0.6</f>
        <v>3.6</v>
      </c>
      <c r="E75" s="10">
        <f>D75</f>
        <v>3.6</v>
      </c>
      <c r="F75" s="10">
        <v>5</v>
      </c>
      <c r="G75" s="10">
        <f>C75*D75*E75*F75</f>
        <v>453.6</v>
      </c>
      <c r="H75" s="10" t="s">
        <v>51</v>
      </c>
      <c r="I75" s="10">
        <v>315.42</v>
      </c>
      <c r="J75" s="3">
        <f t="shared" ref="J75:J86" si="10">G75*I75</f>
        <v>143074.51200000002</v>
      </c>
      <c r="K75" s="10"/>
    </row>
    <row r="76" spans="1:11" x14ac:dyDescent="0.25">
      <c r="A76" s="10"/>
      <c r="B76" s="10" t="s">
        <v>124</v>
      </c>
      <c r="C76" s="10"/>
      <c r="D76" s="10"/>
      <c r="E76" s="10"/>
      <c r="F76" s="10"/>
      <c r="G76" s="10">
        <f>G75</f>
        <v>453.6</v>
      </c>
      <c r="H76" s="10" t="s">
        <v>51</v>
      </c>
      <c r="I76" s="10">
        <v>100</v>
      </c>
      <c r="J76" s="3">
        <f t="shared" si="10"/>
        <v>45360</v>
      </c>
      <c r="K76" s="10"/>
    </row>
    <row r="77" spans="1:11" x14ac:dyDescent="0.25">
      <c r="A77" s="10"/>
      <c r="B77" s="10" t="s">
        <v>125</v>
      </c>
      <c r="C77" s="10">
        <v>0</v>
      </c>
      <c r="D77" s="10">
        <v>3.6</v>
      </c>
      <c r="E77" s="10">
        <v>3.6</v>
      </c>
      <c r="F77" s="10">
        <v>2</v>
      </c>
      <c r="G77" s="10">
        <f>C77*D77*E77*F77</f>
        <v>0</v>
      </c>
      <c r="H77" s="10" t="s">
        <v>51</v>
      </c>
      <c r="I77" s="10">
        <f>I63</f>
        <v>1273.76</v>
      </c>
      <c r="J77" s="3">
        <f t="shared" si="10"/>
        <v>0</v>
      </c>
      <c r="K77" s="10"/>
    </row>
    <row r="78" spans="1:11" x14ac:dyDescent="0.25">
      <c r="A78" s="10"/>
      <c r="B78" s="10" t="s">
        <v>79</v>
      </c>
      <c r="C78" s="10">
        <f>C75</f>
        <v>7</v>
      </c>
      <c r="D78" s="10">
        <v>3</v>
      </c>
      <c r="E78" s="10">
        <v>3</v>
      </c>
      <c r="F78" s="10">
        <v>0.23</v>
      </c>
      <c r="G78" s="10">
        <f t="shared" ref="G78:G85" si="11">C78*D78*E78*F78</f>
        <v>14.49</v>
      </c>
      <c r="H78" s="10" t="s">
        <v>51</v>
      </c>
      <c r="I78" s="10">
        <v>950</v>
      </c>
      <c r="J78" s="3">
        <f t="shared" si="10"/>
        <v>13765.5</v>
      </c>
      <c r="K78" s="10"/>
    </row>
    <row r="79" spans="1:11" x14ac:dyDescent="0.25">
      <c r="A79" s="10"/>
      <c r="B79" s="10" t="s">
        <v>88</v>
      </c>
      <c r="C79" s="10">
        <f>C75</f>
        <v>7</v>
      </c>
      <c r="D79" s="10">
        <v>3</v>
      </c>
      <c r="E79" s="10">
        <v>3</v>
      </c>
      <c r="F79" s="10">
        <v>7.4999999999999997E-2</v>
      </c>
      <c r="G79" s="10">
        <f t="shared" si="11"/>
        <v>4.7249999999999996</v>
      </c>
      <c r="H79" s="10" t="s">
        <v>51</v>
      </c>
      <c r="I79" s="10">
        <v>3525</v>
      </c>
      <c r="J79" s="3">
        <f t="shared" si="10"/>
        <v>16655.625</v>
      </c>
      <c r="K79" s="10"/>
    </row>
    <row r="80" spans="1:11" x14ac:dyDescent="0.25">
      <c r="A80" s="10"/>
      <c r="B80" s="10" t="s">
        <v>126</v>
      </c>
      <c r="C80" s="10">
        <f>C75</f>
        <v>7</v>
      </c>
      <c r="D80" s="10">
        <f>1.8+0.3+0.3+0.3+0.3</f>
        <v>2.9999999999999996</v>
      </c>
      <c r="E80" s="10">
        <f>D80</f>
        <v>2.9999999999999996</v>
      </c>
      <c r="F80" s="10">
        <v>1</v>
      </c>
      <c r="G80" s="10">
        <f t="shared" si="11"/>
        <v>62.999999999999979</v>
      </c>
      <c r="H80" s="10" t="s">
        <v>51</v>
      </c>
      <c r="I80" s="10">
        <v>5329.43</v>
      </c>
      <c r="J80" s="3">
        <f t="shared" si="10"/>
        <v>335754.08999999991</v>
      </c>
      <c r="K80" s="10"/>
    </row>
    <row r="81" spans="1:11" x14ac:dyDescent="0.25">
      <c r="A81" s="10"/>
      <c r="B81" s="10" t="s">
        <v>127</v>
      </c>
      <c r="C81" s="10">
        <f>C75</f>
        <v>7</v>
      </c>
      <c r="D81" s="10">
        <v>4</v>
      </c>
      <c r="E81" s="10">
        <f>0.5*0.5</f>
        <v>0.25</v>
      </c>
      <c r="F81" s="10">
        <v>1.5</v>
      </c>
      <c r="G81" s="10">
        <f t="shared" si="11"/>
        <v>10.5</v>
      </c>
      <c r="H81" s="10" t="s">
        <v>51</v>
      </c>
      <c r="I81" s="10">
        <f>I80</f>
        <v>5329.43</v>
      </c>
      <c r="J81" s="3">
        <f t="shared" si="10"/>
        <v>55959.014999999999</v>
      </c>
      <c r="K81" s="10"/>
    </row>
    <row r="82" spans="1:11" x14ac:dyDescent="0.25">
      <c r="A82" s="10"/>
      <c r="B82" s="10" t="s">
        <v>128</v>
      </c>
      <c r="C82" s="10">
        <v>1</v>
      </c>
      <c r="D82" s="10">
        <v>1</v>
      </c>
      <c r="E82" s="10">
        <f>G80+G81</f>
        <v>73.499999999999972</v>
      </c>
      <c r="F82" s="10">
        <v>100</v>
      </c>
      <c r="G82" s="10">
        <f t="shared" si="11"/>
        <v>7349.9999999999973</v>
      </c>
      <c r="H82" s="11" t="s">
        <v>56</v>
      </c>
      <c r="I82" s="11">
        <v>66.239999999999995</v>
      </c>
      <c r="J82" s="18">
        <f t="shared" si="10"/>
        <v>486863.99999999977</v>
      </c>
      <c r="K82" s="10"/>
    </row>
    <row r="83" spans="1:11" x14ac:dyDescent="0.25">
      <c r="A83" s="10"/>
      <c r="B83" s="10" t="s">
        <v>55</v>
      </c>
      <c r="C83" s="10">
        <f>C75</f>
        <v>7</v>
      </c>
      <c r="D83" s="10">
        <v>4</v>
      </c>
      <c r="E83" s="10">
        <v>1</v>
      </c>
      <c r="F83" s="10">
        <v>3</v>
      </c>
      <c r="G83" s="10">
        <f t="shared" si="11"/>
        <v>84</v>
      </c>
      <c r="H83" s="10" t="s">
        <v>36</v>
      </c>
      <c r="I83" s="11">
        <v>529.89</v>
      </c>
      <c r="J83" s="3">
        <f t="shared" si="10"/>
        <v>44510.76</v>
      </c>
      <c r="K83" s="10"/>
    </row>
    <row r="84" spans="1:11" x14ac:dyDescent="0.25">
      <c r="A84" s="10"/>
      <c r="B84" s="10" t="s">
        <v>129</v>
      </c>
      <c r="C84" s="10">
        <f>C75</f>
        <v>7</v>
      </c>
      <c r="D84" s="10">
        <v>16</v>
      </c>
      <c r="E84" s="10">
        <f>0.45</f>
        <v>0.45</v>
      </c>
      <c r="F84" s="10">
        <v>1.5</v>
      </c>
      <c r="G84" s="10">
        <f t="shared" si="11"/>
        <v>75.599999999999994</v>
      </c>
      <c r="H84" s="10" t="s">
        <v>36</v>
      </c>
      <c r="I84" s="11">
        <v>718.4</v>
      </c>
      <c r="J84" s="3">
        <f t="shared" si="10"/>
        <v>54311.039999999994</v>
      </c>
      <c r="K84" s="10"/>
    </row>
    <row r="85" spans="1:11" x14ac:dyDescent="0.25">
      <c r="A85" s="10"/>
      <c r="B85" s="10" t="s">
        <v>65</v>
      </c>
      <c r="C85" s="10">
        <f>C75</f>
        <v>7</v>
      </c>
      <c r="D85" s="10">
        <v>16</v>
      </c>
      <c r="E85" s="10">
        <v>10</v>
      </c>
      <c r="F85" s="10">
        <v>1</v>
      </c>
      <c r="G85" s="10">
        <f t="shared" si="11"/>
        <v>1120</v>
      </c>
      <c r="H85" s="10" t="s">
        <v>56</v>
      </c>
      <c r="I85" s="11">
        <v>125</v>
      </c>
      <c r="J85" s="3">
        <f t="shared" si="10"/>
        <v>140000</v>
      </c>
      <c r="K85" s="10"/>
    </row>
    <row r="86" spans="1:11" x14ac:dyDescent="0.25">
      <c r="A86" s="10"/>
      <c r="B86" s="10" t="s">
        <v>327</v>
      </c>
      <c r="C86" s="10"/>
      <c r="D86" s="10"/>
      <c r="E86" s="10"/>
      <c r="F86" s="10"/>
      <c r="G86" s="10">
        <v>1</v>
      </c>
      <c r="H86" s="10" t="s">
        <v>117</v>
      </c>
      <c r="I86" s="11">
        <v>1</v>
      </c>
      <c r="J86" s="3">
        <f t="shared" si="10"/>
        <v>1</v>
      </c>
      <c r="K86" s="10"/>
    </row>
    <row r="87" spans="1:11" x14ac:dyDescent="0.25">
      <c r="A87" s="12"/>
      <c r="B87" s="12"/>
      <c r="C87" s="12"/>
      <c r="D87" s="12"/>
      <c r="E87" s="12"/>
      <c r="F87" s="12"/>
      <c r="G87" s="344"/>
      <c r="H87" s="344"/>
      <c r="I87" s="344"/>
      <c r="J87" s="130"/>
      <c r="K87" s="9"/>
    </row>
    <row r="88" spans="1:11" ht="18.75" x14ac:dyDescent="0.3">
      <c r="A88" s="38"/>
      <c r="B88" s="138" t="s">
        <v>328</v>
      </c>
      <c r="C88" s="40"/>
      <c r="D88" s="13"/>
      <c r="E88" s="40"/>
      <c r="F88" s="40"/>
      <c r="G88" s="40"/>
      <c r="H88" s="78"/>
      <c r="I88" s="96"/>
      <c r="J88" s="68"/>
      <c r="K88" s="40"/>
    </row>
    <row r="89" spans="1:11" x14ac:dyDescent="0.25">
      <c r="A89" s="50">
        <v>1</v>
      </c>
      <c r="B89" s="51" t="s">
        <v>60</v>
      </c>
      <c r="C89" s="48"/>
      <c r="D89" s="333">
        <f>34*18</f>
        <v>612</v>
      </c>
      <c r="E89" s="333"/>
      <c r="F89" s="48">
        <v>0.5</v>
      </c>
      <c r="G89" s="48">
        <f>D89*F89</f>
        <v>306</v>
      </c>
      <c r="H89" s="75" t="s">
        <v>51</v>
      </c>
      <c r="I89" s="97">
        <v>315.42</v>
      </c>
      <c r="J89" s="69">
        <f t="shared" ref="J89:J94" si="12">G89*I89</f>
        <v>96518.52</v>
      </c>
      <c r="K89" s="44"/>
    </row>
    <row r="90" spans="1:11" x14ac:dyDescent="0.25">
      <c r="A90" s="50">
        <v>2</v>
      </c>
      <c r="B90" s="51" t="s">
        <v>75</v>
      </c>
      <c r="C90" s="48"/>
      <c r="D90" s="48"/>
      <c r="E90" s="48"/>
      <c r="F90" s="48"/>
      <c r="G90" s="48">
        <f>G89</f>
        <v>306</v>
      </c>
      <c r="H90" s="75" t="s">
        <v>51</v>
      </c>
      <c r="I90" s="97">
        <v>100</v>
      </c>
      <c r="J90" s="69">
        <f t="shared" si="12"/>
        <v>30600</v>
      </c>
      <c r="K90" s="44"/>
    </row>
    <row r="91" spans="1:11" x14ac:dyDescent="0.25">
      <c r="A91" s="50">
        <v>3</v>
      </c>
      <c r="B91" s="51" t="s">
        <v>76</v>
      </c>
      <c r="C91" s="48"/>
      <c r="D91" s="333">
        <f>D89</f>
        <v>612</v>
      </c>
      <c r="E91" s="333"/>
      <c r="F91" s="48">
        <v>0.23</v>
      </c>
      <c r="G91" s="48">
        <f>D91*F91</f>
        <v>140.76000000000002</v>
      </c>
      <c r="H91" s="75" t="s">
        <v>51</v>
      </c>
      <c r="I91" s="97">
        <v>950</v>
      </c>
      <c r="J91" s="69">
        <f t="shared" si="12"/>
        <v>133722.00000000003</v>
      </c>
      <c r="K91" s="44"/>
    </row>
    <row r="92" spans="1:11" x14ac:dyDescent="0.25">
      <c r="A92" s="50">
        <v>4</v>
      </c>
      <c r="B92" s="51" t="s">
        <v>77</v>
      </c>
      <c r="C92" s="48"/>
      <c r="D92" s="333">
        <f>D89</f>
        <v>612</v>
      </c>
      <c r="E92" s="333"/>
      <c r="F92" s="48">
        <v>7.4999999999999997E-2</v>
      </c>
      <c r="G92" s="48">
        <f>D92*F92</f>
        <v>45.9</v>
      </c>
      <c r="H92" s="75" t="s">
        <v>36</v>
      </c>
      <c r="I92" s="97">
        <v>3535</v>
      </c>
      <c r="J92" s="69">
        <f t="shared" si="12"/>
        <v>162256.5</v>
      </c>
      <c r="K92" s="44"/>
    </row>
    <row r="93" spans="1:11" x14ac:dyDescent="0.25">
      <c r="A93" s="50">
        <v>5</v>
      </c>
      <c r="B93" s="51" t="s">
        <v>78</v>
      </c>
      <c r="C93" s="48"/>
      <c r="D93" s="333">
        <f>D89</f>
        <v>612</v>
      </c>
      <c r="E93" s="333"/>
      <c r="F93" s="48">
        <v>0.25</v>
      </c>
      <c r="G93" s="48">
        <f>D93*F93</f>
        <v>153</v>
      </c>
      <c r="H93" s="75" t="s">
        <v>36</v>
      </c>
      <c r="I93" s="97">
        <f>I84</f>
        <v>718.4</v>
      </c>
      <c r="J93" s="69">
        <f t="shared" si="12"/>
        <v>109915.2</v>
      </c>
      <c r="K93" s="44"/>
    </row>
    <row r="94" spans="1:11" x14ac:dyDescent="0.25">
      <c r="A94" s="50">
        <v>6</v>
      </c>
      <c r="B94" s="51" t="s">
        <v>63</v>
      </c>
      <c r="C94" s="48"/>
      <c r="D94" s="48">
        <f>G93</f>
        <v>153</v>
      </c>
      <c r="E94" s="48">
        <v>100</v>
      </c>
      <c r="F94" s="48"/>
      <c r="G94" s="48">
        <f>D94*E94</f>
        <v>15300</v>
      </c>
      <c r="H94" s="75" t="s">
        <v>56</v>
      </c>
      <c r="I94" s="97">
        <v>81.52</v>
      </c>
      <c r="J94" s="69">
        <f t="shared" si="12"/>
        <v>1247256</v>
      </c>
      <c r="K94" s="44"/>
    </row>
    <row r="95" spans="1:11" x14ac:dyDescent="0.25">
      <c r="A95" s="50"/>
      <c r="B95" s="51"/>
      <c r="C95" s="48"/>
      <c r="D95" s="48"/>
      <c r="E95" s="48"/>
      <c r="F95" s="48"/>
      <c r="G95" s="109"/>
      <c r="H95" s="146"/>
      <c r="I95" s="110"/>
      <c r="J95" s="68"/>
      <c r="K95" s="44"/>
    </row>
    <row r="96" spans="1:11" ht="18.75" x14ac:dyDescent="0.3">
      <c r="A96" s="52"/>
      <c r="B96" s="148" t="s">
        <v>97</v>
      </c>
      <c r="C96" s="61"/>
      <c r="D96" s="61"/>
      <c r="E96" s="61"/>
      <c r="F96" s="61"/>
      <c r="G96" s="61"/>
      <c r="H96" s="79"/>
      <c r="I96" s="98"/>
      <c r="J96" s="99"/>
      <c r="K96" s="62"/>
    </row>
    <row r="97" spans="1:11" x14ac:dyDescent="0.25">
      <c r="A97" s="52">
        <v>1</v>
      </c>
      <c r="B97" s="54" t="s">
        <v>60</v>
      </c>
      <c r="C97" s="63"/>
      <c r="D97" s="63">
        <f>3+1.2</f>
        <v>4.2</v>
      </c>
      <c r="E97" s="63">
        <f>2+1.2</f>
        <v>3.2</v>
      </c>
      <c r="F97" s="63">
        <f>2+0.3+0.23+0.1</f>
        <v>2.63</v>
      </c>
      <c r="G97" s="63">
        <f>D97*E97*F97</f>
        <v>35.347200000000001</v>
      </c>
      <c r="H97" s="76" t="s">
        <v>51</v>
      </c>
      <c r="I97" s="100">
        <f>I89</f>
        <v>315.42</v>
      </c>
      <c r="J97" s="101">
        <f>G97*I97</f>
        <v>11149.213824</v>
      </c>
      <c r="K97" s="62"/>
    </row>
    <row r="98" spans="1:11" x14ac:dyDescent="0.25">
      <c r="A98" s="52">
        <v>2</v>
      </c>
      <c r="B98" s="54" t="s">
        <v>61</v>
      </c>
      <c r="C98" s="63"/>
      <c r="D98" s="63"/>
      <c r="E98" s="63"/>
      <c r="F98" s="63"/>
      <c r="G98" s="63">
        <f>G97</f>
        <v>35.347200000000001</v>
      </c>
      <c r="H98" s="76" t="s">
        <v>51</v>
      </c>
      <c r="I98" s="100">
        <v>100</v>
      </c>
      <c r="J98" s="101">
        <f t="shared" ref="J98:J105" si="13">G98*I98</f>
        <v>3534.7200000000003</v>
      </c>
      <c r="K98" s="62"/>
    </row>
    <row r="99" spans="1:11" x14ac:dyDescent="0.25">
      <c r="A99" s="52">
        <v>3</v>
      </c>
      <c r="B99" s="54" t="s">
        <v>79</v>
      </c>
      <c r="C99" s="63"/>
      <c r="D99" s="63">
        <f>D97</f>
        <v>4.2</v>
      </c>
      <c r="E99" s="63">
        <f>E97</f>
        <v>3.2</v>
      </c>
      <c r="F99" s="63">
        <v>0.23</v>
      </c>
      <c r="G99" s="63">
        <f>D99*E99*F99</f>
        <v>3.0912000000000006</v>
      </c>
      <c r="H99" s="76" t="s">
        <v>51</v>
      </c>
      <c r="I99" s="100">
        <v>950</v>
      </c>
      <c r="J99" s="101">
        <f t="shared" si="13"/>
        <v>2936.6400000000008</v>
      </c>
      <c r="K99" s="62"/>
    </row>
    <row r="100" spans="1:11" x14ac:dyDescent="0.25">
      <c r="A100" s="52">
        <v>4</v>
      </c>
      <c r="B100" s="54" t="s">
        <v>80</v>
      </c>
      <c r="C100" s="63"/>
      <c r="D100" s="63">
        <f>D99</f>
        <v>4.2</v>
      </c>
      <c r="E100" s="63">
        <f>E99</f>
        <v>3.2</v>
      </c>
      <c r="F100" s="63">
        <v>7.4999999999999997E-2</v>
      </c>
      <c r="G100" s="63">
        <f>D100*E100*F100</f>
        <v>1.008</v>
      </c>
      <c r="H100" s="76" t="s">
        <v>51</v>
      </c>
      <c r="I100" s="100">
        <v>3535.97</v>
      </c>
      <c r="J100" s="101">
        <f t="shared" si="13"/>
        <v>3564.25776</v>
      </c>
      <c r="K100" s="62"/>
    </row>
    <row r="101" spans="1:11" x14ac:dyDescent="0.25">
      <c r="A101" s="52">
        <v>5</v>
      </c>
      <c r="B101" s="54" t="s">
        <v>81</v>
      </c>
      <c r="C101" s="63"/>
      <c r="D101" s="63">
        <f>D99</f>
        <v>4.2</v>
      </c>
      <c r="E101" s="63">
        <f>E100</f>
        <v>3.2</v>
      </c>
      <c r="F101" s="63">
        <v>0.3</v>
      </c>
      <c r="G101" s="63">
        <f>D101*E101*F101</f>
        <v>4.032</v>
      </c>
      <c r="H101" s="76" t="s">
        <v>51</v>
      </c>
      <c r="I101" s="100">
        <v>5335</v>
      </c>
      <c r="J101" s="101">
        <f>G101*I101</f>
        <v>21510.720000000001</v>
      </c>
      <c r="K101" s="62"/>
    </row>
    <row r="102" spans="1:11" x14ac:dyDescent="0.25">
      <c r="A102" s="52">
        <v>6</v>
      </c>
      <c r="B102" s="54" t="s">
        <v>82</v>
      </c>
      <c r="C102" s="63">
        <v>2</v>
      </c>
      <c r="D102" s="63">
        <f>2+3+2+3</f>
        <v>10</v>
      </c>
      <c r="E102" s="63">
        <f>F97-F101-F100-F99</f>
        <v>2.0249999999999999</v>
      </c>
      <c r="F102" s="63">
        <v>0.15</v>
      </c>
      <c r="G102" s="63">
        <f>C102*D102*E102*F102</f>
        <v>6.0750000000000002</v>
      </c>
      <c r="H102" s="76" t="s">
        <v>51</v>
      </c>
      <c r="I102" s="100">
        <v>5335</v>
      </c>
      <c r="J102" s="101">
        <f t="shared" si="13"/>
        <v>32410.125</v>
      </c>
      <c r="K102" s="62"/>
    </row>
    <row r="103" spans="1:11" x14ac:dyDescent="0.25">
      <c r="A103" s="52">
        <v>7</v>
      </c>
      <c r="B103" s="54" t="s">
        <v>63</v>
      </c>
      <c r="C103" s="63"/>
      <c r="D103" s="63"/>
      <c r="E103" s="63">
        <f>G102+G101</f>
        <v>10.106999999999999</v>
      </c>
      <c r="F103" s="63">
        <v>100</v>
      </c>
      <c r="G103" s="63">
        <f>E103*F103</f>
        <v>1010.6999999999999</v>
      </c>
      <c r="H103" s="76" t="s">
        <v>56</v>
      </c>
      <c r="I103" s="100">
        <f>I94</f>
        <v>81.52</v>
      </c>
      <c r="J103" s="102">
        <f t="shared" si="13"/>
        <v>82392.263999999996</v>
      </c>
      <c r="K103" s="62"/>
    </row>
    <row r="104" spans="1:11" x14ac:dyDescent="0.25">
      <c r="A104" s="52">
        <v>8</v>
      </c>
      <c r="B104" s="54" t="s">
        <v>64</v>
      </c>
      <c r="C104" s="63">
        <f>C102</f>
        <v>2</v>
      </c>
      <c r="D104" s="63">
        <f>D102</f>
        <v>10</v>
      </c>
      <c r="E104" s="63">
        <f>E102+0.3</f>
        <v>2.3249999999999997</v>
      </c>
      <c r="F104" s="63"/>
      <c r="G104" s="63">
        <f>C104*D104*E104</f>
        <v>46.499999999999993</v>
      </c>
      <c r="H104" s="76" t="s">
        <v>36</v>
      </c>
      <c r="I104" s="100">
        <f>718.4</f>
        <v>718.4</v>
      </c>
      <c r="J104" s="101">
        <f t="shared" si="13"/>
        <v>33405.599999999991</v>
      </c>
      <c r="K104" s="62"/>
    </row>
    <row r="105" spans="1:11" x14ac:dyDescent="0.25">
      <c r="A105" s="52">
        <v>9</v>
      </c>
      <c r="B105" s="54" t="s">
        <v>83</v>
      </c>
      <c r="C105" s="63">
        <f>C102</f>
        <v>2</v>
      </c>
      <c r="D105" s="63">
        <f>D104</f>
        <v>10</v>
      </c>
      <c r="E105" s="63">
        <f>E104</f>
        <v>2.3249999999999997</v>
      </c>
      <c r="F105" s="63"/>
      <c r="G105" s="63">
        <f>C105*D105*E105</f>
        <v>46.499999999999993</v>
      </c>
      <c r="H105" s="76" t="s">
        <v>36</v>
      </c>
      <c r="I105" s="100">
        <v>336.27</v>
      </c>
      <c r="J105" s="101">
        <f t="shared" si="13"/>
        <v>15636.554999999997</v>
      </c>
      <c r="K105" s="62"/>
    </row>
    <row r="106" spans="1:11" x14ac:dyDescent="0.25">
      <c r="A106" s="52">
        <v>9</v>
      </c>
      <c r="B106" s="54" t="s">
        <v>318</v>
      </c>
      <c r="C106" s="63"/>
      <c r="D106" s="63"/>
      <c r="E106" s="63"/>
      <c r="F106" s="63"/>
      <c r="G106" s="63">
        <v>1</v>
      </c>
      <c r="H106" s="76" t="s">
        <v>4</v>
      </c>
      <c r="I106" s="100">
        <v>0</v>
      </c>
      <c r="J106" s="101">
        <f>G106*I106</f>
        <v>0</v>
      </c>
      <c r="K106" s="62"/>
    </row>
    <row r="107" spans="1:11" x14ac:dyDescent="0.25">
      <c r="A107" s="52">
        <v>10</v>
      </c>
      <c r="B107" s="54" t="s">
        <v>84</v>
      </c>
      <c r="C107" s="63"/>
      <c r="D107" s="63"/>
      <c r="E107" s="63"/>
      <c r="F107" s="63"/>
      <c r="G107" s="63">
        <f>G105/2</f>
        <v>23.249999999999996</v>
      </c>
      <c r="H107" s="76" t="s">
        <v>85</v>
      </c>
      <c r="I107" s="100">
        <v>200</v>
      </c>
      <c r="J107" s="101">
        <f>G107*I107</f>
        <v>4649.9999999999991</v>
      </c>
      <c r="K107" s="62"/>
    </row>
    <row r="108" spans="1:11" x14ac:dyDescent="0.25">
      <c r="A108" s="52">
        <v>11</v>
      </c>
      <c r="B108" s="54" t="s">
        <v>86</v>
      </c>
      <c r="C108" s="63">
        <v>1</v>
      </c>
      <c r="D108" s="63">
        <v>3</v>
      </c>
      <c r="E108" s="63">
        <v>2</v>
      </c>
      <c r="F108" s="63">
        <v>75</v>
      </c>
      <c r="G108" s="63">
        <f>C108*D108*E108*F108</f>
        <v>450</v>
      </c>
      <c r="H108" s="76" t="s">
        <v>56</v>
      </c>
      <c r="I108" s="100">
        <v>81.52</v>
      </c>
      <c r="J108" s="101">
        <f>G108*I108</f>
        <v>36684</v>
      </c>
      <c r="K108" s="62"/>
    </row>
    <row r="109" spans="1:11" x14ac:dyDescent="0.25">
      <c r="A109" s="52">
        <v>12</v>
      </c>
      <c r="B109" s="54" t="s">
        <v>87</v>
      </c>
      <c r="C109" s="63"/>
      <c r="D109" s="63"/>
      <c r="E109" s="63">
        <v>3.5000000000000003E-2</v>
      </c>
      <c r="F109" s="63">
        <f>G108</f>
        <v>450</v>
      </c>
      <c r="G109" s="63">
        <f>E109*F109</f>
        <v>15.750000000000002</v>
      </c>
      <c r="H109" s="76" t="s">
        <v>36</v>
      </c>
      <c r="I109" s="100">
        <f>244.56+626.69</f>
        <v>871.25</v>
      </c>
      <c r="J109" s="101">
        <f>G109*I109</f>
        <v>13722.187500000002</v>
      </c>
      <c r="K109" s="62"/>
    </row>
    <row r="110" spans="1:11" x14ac:dyDescent="0.25">
      <c r="A110" s="261"/>
      <c r="B110" s="262"/>
      <c r="C110" s="263"/>
      <c r="D110" s="263"/>
      <c r="E110" s="263"/>
      <c r="F110" s="330"/>
      <c r="G110" s="330"/>
      <c r="H110" s="330"/>
      <c r="I110" s="330"/>
      <c r="J110" s="264"/>
      <c r="K110" s="265"/>
    </row>
    <row r="111" spans="1:11" ht="18.75" x14ac:dyDescent="0.3">
      <c r="A111" s="38"/>
      <c r="B111" s="137" t="s">
        <v>114</v>
      </c>
      <c r="C111" s="65"/>
      <c r="D111" s="65"/>
      <c r="E111" s="65"/>
      <c r="F111" s="65"/>
      <c r="G111" s="65"/>
      <c r="H111" s="80"/>
      <c r="I111" s="104"/>
      <c r="J111" s="101"/>
      <c r="K111" s="62"/>
    </row>
    <row r="112" spans="1:11" x14ac:dyDescent="0.25">
      <c r="A112" s="52">
        <v>1</v>
      </c>
      <c r="B112" s="54" t="s">
        <v>60</v>
      </c>
      <c r="C112" s="63"/>
      <c r="D112" s="63">
        <v>60</v>
      </c>
      <c r="E112" s="63">
        <f>0.1+0.15+0.6+0.15+0.1+0.3+0.3</f>
        <v>1.7000000000000002</v>
      </c>
      <c r="F112" s="63">
        <f>1+0.23+0.075</f>
        <v>1.3049999999999999</v>
      </c>
      <c r="G112" s="63">
        <f>D112*E112*F112</f>
        <v>133.11000000000001</v>
      </c>
      <c r="H112" s="76" t="s">
        <v>51</v>
      </c>
      <c r="I112" s="100">
        <f>I97</f>
        <v>315.42</v>
      </c>
      <c r="J112" s="101">
        <f>G112*I112</f>
        <v>41985.556200000006</v>
      </c>
      <c r="K112" s="62"/>
    </row>
    <row r="113" spans="1:11" x14ac:dyDescent="0.25">
      <c r="A113" s="52">
        <v>2</v>
      </c>
      <c r="B113" s="54" t="s">
        <v>61</v>
      </c>
      <c r="C113" s="63"/>
      <c r="D113" s="63"/>
      <c r="E113" s="63"/>
      <c r="F113" s="63"/>
      <c r="G113" s="63">
        <f>G112</f>
        <v>133.11000000000001</v>
      </c>
      <c r="H113" s="76" t="s">
        <v>51</v>
      </c>
      <c r="I113" s="100">
        <v>100</v>
      </c>
      <c r="J113" s="101">
        <f t="shared" ref="J113:J120" si="14">G113*I113</f>
        <v>13311.000000000002</v>
      </c>
      <c r="K113" s="62"/>
    </row>
    <row r="114" spans="1:11" x14ac:dyDescent="0.25">
      <c r="A114" s="52">
        <v>3</v>
      </c>
      <c r="B114" s="54" t="s">
        <v>79</v>
      </c>
      <c r="C114" s="63"/>
      <c r="D114" s="63">
        <f>D112</f>
        <v>60</v>
      </c>
      <c r="E114" s="63">
        <v>1</v>
      </c>
      <c r="F114" s="63">
        <v>0.23</v>
      </c>
      <c r="G114" s="63">
        <f>D114*E114*F114</f>
        <v>13.8</v>
      </c>
      <c r="H114" s="76" t="s">
        <v>51</v>
      </c>
      <c r="I114" s="100">
        <v>950</v>
      </c>
      <c r="J114" s="101">
        <f t="shared" si="14"/>
        <v>13110</v>
      </c>
      <c r="K114" s="62"/>
    </row>
    <row r="115" spans="1:11" x14ac:dyDescent="0.25">
      <c r="A115" s="52">
        <v>4</v>
      </c>
      <c r="B115" s="54" t="s">
        <v>88</v>
      </c>
      <c r="C115" s="63"/>
      <c r="D115" s="63">
        <f>D112</f>
        <v>60</v>
      </c>
      <c r="E115" s="63">
        <v>1</v>
      </c>
      <c r="F115" s="63">
        <v>7.4999999999999997E-2</v>
      </c>
      <c r="G115" s="63">
        <f>D115*E115*F115</f>
        <v>4.5</v>
      </c>
      <c r="H115" s="76" t="s">
        <v>51</v>
      </c>
      <c r="I115" s="100">
        <f>I100</f>
        <v>3535.97</v>
      </c>
      <c r="J115" s="101">
        <f t="shared" si="14"/>
        <v>15911.865</v>
      </c>
      <c r="K115" s="62"/>
    </row>
    <row r="116" spans="1:11" x14ac:dyDescent="0.25">
      <c r="A116" s="52">
        <v>5</v>
      </c>
      <c r="B116" s="54" t="s">
        <v>81</v>
      </c>
      <c r="C116" s="63"/>
      <c r="D116" s="63">
        <f>D112</f>
        <v>60</v>
      </c>
      <c r="E116" s="63">
        <v>1</v>
      </c>
      <c r="F116" s="63">
        <v>0.2</v>
      </c>
      <c r="G116" s="63">
        <f>D116*E116*F116</f>
        <v>12</v>
      </c>
      <c r="H116" s="76" t="s">
        <v>51</v>
      </c>
      <c r="I116" s="100">
        <f>I101</f>
        <v>5335</v>
      </c>
      <c r="J116" s="101">
        <f t="shared" si="14"/>
        <v>64020</v>
      </c>
      <c r="K116" s="62"/>
    </row>
    <row r="117" spans="1:11" x14ac:dyDescent="0.25">
      <c r="A117" s="52">
        <v>6</v>
      </c>
      <c r="B117" s="54" t="s">
        <v>89</v>
      </c>
      <c r="C117" s="63"/>
      <c r="D117" s="63">
        <f>D112*2</f>
        <v>120</v>
      </c>
      <c r="E117" s="63">
        <v>1</v>
      </c>
      <c r="F117" s="63">
        <v>0.15</v>
      </c>
      <c r="G117" s="63">
        <f>D117*E117*F117</f>
        <v>18</v>
      </c>
      <c r="H117" s="76" t="s">
        <v>51</v>
      </c>
      <c r="I117" s="100">
        <f>I102</f>
        <v>5335</v>
      </c>
      <c r="J117" s="101">
        <f t="shared" si="14"/>
        <v>96030</v>
      </c>
      <c r="K117" s="62"/>
    </row>
    <row r="118" spans="1:11" x14ac:dyDescent="0.25">
      <c r="A118" s="52">
        <v>7</v>
      </c>
      <c r="B118" s="54" t="s">
        <v>90</v>
      </c>
      <c r="C118" s="63"/>
      <c r="D118" s="63">
        <f>D112*2</f>
        <v>120</v>
      </c>
      <c r="E118" s="63">
        <v>1</v>
      </c>
      <c r="F118" s="63">
        <v>0.3</v>
      </c>
      <c r="G118" s="63">
        <v>1.3</v>
      </c>
      <c r="H118" s="76" t="s">
        <v>51</v>
      </c>
      <c r="I118" s="100">
        <v>183.42</v>
      </c>
      <c r="J118" s="101">
        <f t="shared" si="14"/>
        <v>238.446</v>
      </c>
      <c r="K118" s="62"/>
    </row>
    <row r="119" spans="1:11" x14ac:dyDescent="0.25">
      <c r="A119" s="52">
        <v>8</v>
      </c>
      <c r="B119" s="54" t="s">
        <v>63</v>
      </c>
      <c r="C119" s="63"/>
      <c r="D119" s="63"/>
      <c r="E119" s="63">
        <f>G116+G117</f>
        <v>30</v>
      </c>
      <c r="F119" s="63">
        <v>100</v>
      </c>
      <c r="G119" s="63">
        <f>E119*F119</f>
        <v>3000</v>
      </c>
      <c r="H119" s="76" t="s">
        <v>56</v>
      </c>
      <c r="I119" s="100">
        <v>66.239999999999995</v>
      </c>
      <c r="J119" s="101">
        <f t="shared" si="14"/>
        <v>198719.99999999997</v>
      </c>
      <c r="K119" s="62"/>
    </row>
    <row r="120" spans="1:11" x14ac:dyDescent="0.25">
      <c r="A120" s="52">
        <v>9</v>
      </c>
      <c r="B120" s="54" t="s">
        <v>91</v>
      </c>
      <c r="C120" s="63"/>
      <c r="D120" s="63">
        <f>D112*4</f>
        <v>240</v>
      </c>
      <c r="E120" s="63">
        <v>1</v>
      </c>
      <c r="F120" s="63">
        <v>1</v>
      </c>
      <c r="G120" s="63">
        <f>D120*E120*F120</f>
        <v>240</v>
      </c>
      <c r="H120" s="76" t="s">
        <v>36</v>
      </c>
      <c r="I120" s="100">
        <f>I104</f>
        <v>718.4</v>
      </c>
      <c r="J120" s="101">
        <f t="shared" si="14"/>
        <v>172416</v>
      </c>
      <c r="K120" s="62"/>
    </row>
    <row r="121" spans="1:11" x14ac:dyDescent="0.25">
      <c r="A121" s="50"/>
      <c r="B121" s="51"/>
      <c r="C121" s="48"/>
      <c r="D121" s="48"/>
      <c r="E121" s="48"/>
      <c r="H121" s="109"/>
      <c r="I121" s="110"/>
      <c r="J121" s="68"/>
      <c r="K121" s="111"/>
    </row>
    <row r="122" spans="1:11" x14ac:dyDescent="0.25">
      <c r="A122" s="25">
        <v>2</v>
      </c>
      <c r="B122" s="26" t="s">
        <v>189</v>
      </c>
      <c r="C122" s="27"/>
      <c r="D122" s="27"/>
      <c r="E122" s="27"/>
      <c r="F122" s="128"/>
      <c r="G122" s="128"/>
      <c r="H122" s="73"/>
      <c r="I122" s="94"/>
      <c r="J122" s="95"/>
      <c r="K122" s="128"/>
    </row>
    <row r="123" spans="1:11" x14ac:dyDescent="0.25">
      <c r="A123" s="25"/>
      <c r="B123" s="27" t="s">
        <v>187</v>
      </c>
      <c r="C123" s="27">
        <v>18</v>
      </c>
      <c r="D123" s="6">
        <v>7</v>
      </c>
      <c r="E123" s="27">
        <f>D123*C123</f>
        <v>126</v>
      </c>
      <c r="F123" s="27"/>
      <c r="G123" s="27"/>
      <c r="H123" s="73" t="s">
        <v>36</v>
      </c>
      <c r="I123" s="94"/>
      <c r="J123" s="95"/>
      <c r="K123" s="128"/>
    </row>
    <row r="124" spans="1:11" x14ac:dyDescent="0.25">
      <c r="A124" s="25"/>
      <c r="B124" s="27" t="s">
        <v>21</v>
      </c>
      <c r="C124" s="27">
        <v>1.25</v>
      </c>
      <c r="D124" s="6"/>
      <c r="E124" s="27">
        <f>SUM(E123:E123)</f>
        <v>126</v>
      </c>
      <c r="F124" s="27">
        <v>150</v>
      </c>
      <c r="G124" s="27">
        <f>C124*E124*F124</f>
        <v>23625</v>
      </c>
      <c r="H124" s="73" t="s">
        <v>56</v>
      </c>
      <c r="I124" s="94">
        <v>81.52</v>
      </c>
      <c r="J124" s="95">
        <f>I124*G124</f>
        <v>1925910</v>
      </c>
      <c r="K124" s="128"/>
    </row>
    <row r="125" spans="1:11" x14ac:dyDescent="0.25">
      <c r="A125" s="25"/>
      <c r="B125" s="27" t="s">
        <v>249</v>
      </c>
      <c r="C125" s="27">
        <v>1.25</v>
      </c>
      <c r="D125" s="6"/>
      <c r="E125" s="27">
        <f>E123</f>
        <v>126</v>
      </c>
      <c r="F125" s="27"/>
      <c r="G125" s="27">
        <f>C125*E125</f>
        <v>157.5</v>
      </c>
      <c r="H125" s="73" t="s">
        <v>36</v>
      </c>
      <c r="I125" s="94">
        <v>504.41</v>
      </c>
      <c r="J125" s="95">
        <f>I125*G125</f>
        <v>79444.574999999997</v>
      </c>
      <c r="K125" s="128"/>
    </row>
    <row r="126" spans="1:11" x14ac:dyDescent="0.25">
      <c r="A126" s="25"/>
      <c r="B126" s="27" t="s">
        <v>24</v>
      </c>
      <c r="C126" s="27"/>
      <c r="D126" s="6"/>
      <c r="E126" s="27">
        <f>G124</f>
        <v>23625</v>
      </c>
      <c r="F126" s="27">
        <v>0.03</v>
      </c>
      <c r="G126" s="27">
        <f>F126*E126</f>
        <v>708.75</v>
      </c>
      <c r="H126" s="73" t="s">
        <v>36</v>
      </c>
      <c r="I126" s="94">
        <v>871.25</v>
      </c>
      <c r="J126" s="95">
        <f>I126*G126</f>
        <v>617498.4375</v>
      </c>
      <c r="K126" s="128"/>
    </row>
    <row r="127" spans="1:11" x14ac:dyDescent="0.25">
      <c r="A127" s="25">
        <v>3</v>
      </c>
      <c r="B127" s="26" t="s">
        <v>186</v>
      </c>
      <c r="C127" s="27"/>
      <c r="D127" s="27"/>
      <c r="E127" s="27"/>
      <c r="F127" s="128"/>
      <c r="G127" s="128"/>
      <c r="H127" s="73"/>
      <c r="I127" s="94"/>
      <c r="J127" s="95"/>
      <c r="K127" s="128"/>
    </row>
    <row r="128" spans="1:11" x14ac:dyDescent="0.25">
      <c r="A128" s="38"/>
      <c r="B128" s="27" t="s">
        <v>20</v>
      </c>
      <c r="C128" s="27"/>
      <c r="D128" s="27"/>
      <c r="E128" s="27">
        <f>(12*26)+(3*6)</f>
        <v>330</v>
      </c>
      <c r="F128" s="27"/>
      <c r="G128" s="27"/>
      <c r="H128" s="73" t="s">
        <v>36</v>
      </c>
      <c r="I128" s="94"/>
      <c r="J128" s="95"/>
      <c r="K128" s="128"/>
    </row>
    <row r="129" spans="1:11" x14ac:dyDescent="0.25">
      <c r="A129" s="38"/>
      <c r="B129" s="27" t="s">
        <v>21</v>
      </c>
      <c r="C129" s="27"/>
      <c r="D129" s="27"/>
      <c r="E129" s="27">
        <f>SUM(E128:E128)</f>
        <v>330</v>
      </c>
      <c r="F129" s="27">
        <v>150</v>
      </c>
      <c r="G129" s="27">
        <f>F129*E129</f>
        <v>49500</v>
      </c>
      <c r="H129" s="73" t="s">
        <v>56</v>
      </c>
      <c r="I129" s="94">
        <v>81.52</v>
      </c>
      <c r="J129" s="95">
        <f>G129*I129</f>
        <v>4035240</v>
      </c>
      <c r="K129" s="128"/>
    </row>
    <row r="130" spans="1:11" x14ac:dyDescent="0.25">
      <c r="A130" s="38"/>
      <c r="B130" s="27" t="s">
        <v>22</v>
      </c>
      <c r="C130" s="27"/>
      <c r="D130" s="27"/>
      <c r="E130" s="27">
        <f>E128</f>
        <v>330</v>
      </c>
      <c r="F130" s="27"/>
      <c r="G130" s="27">
        <f>E130</f>
        <v>330</v>
      </c>
      <c r="H130" s="73" t="s">
        <v>36</v>
      </c>
      <c r="I130" s="94">
        <v>3000</v>
      </c>
      <c r="J130" s="95">
        <f t="shared" ref="J130:J132" si="15">G130*I130</f>
        <v>990000</v>
      </c>
      <c r="K130" s="128"/>
    </row>
    <row r="131" spans="1:11" x14ac:dyDescent="0.25">
      <c r="A131" s="38"/>
      <c r="B131" s="27" t="s">
        <v>23</v>
      </c>
      <c r="C131" s="27"/>
      <c r="D131" s="27"/>
      <c r="E131" s="27">
        <f>12+12+26+26+3+3+6+6+50</f>
        <v>144</v>
      </c>
      <c r="F131" s="27"/>
      <c r="G131" s="27">
        <f>E131</f>
        <v>144</v>
      </c>
      <c r="H131" s="73" t="s">
        <v>47</v>
      </c>
      <c r="I131" s="94">
        <v>1500</v>
      </c>
      <c r="J131" s="95">
        <f t="shared" si="15"/>
        <v>216000</v>
      </c>
      <c r="K131" s="128"/>
    </row>
    <row r="132" spans="1:11" x14ac:dyDescent="0.25">
      <c r="A132" s="38"/>
      <c r="B132" s="27" t="s">
        <v>24</v>
      </c>
      <c r="C132" s="27"/>
      <c r="D132" s="27"/>
      <c r="E132" s="27">
        <f>G129</f>
        <v>49500</v>
      </c>
      <c r="F132" s="27">
        <v>0.03</v>
      </c>
      <c r="G132" s="27">
        <f>F132*E132</f>
        <v>1485</v>
      </c>
      <c r="H132" s="73" t="s">
        <v>36</v>
      </c>
      <c r="I132" s="94">
        <v>871.25</v>
      </c>
      <c r="J132" s="95">
        <f t="shared" si="15"/>
        <v>1293806.25</v>
      </c>
      <c r="K132" s="128"/>
    </row>
    <row r="133" spans="1:11" x14ac:dyDescent="0.25">
      <c r="A133" s="25">
        <v>4</v>
      </c>
      <c r="B133" s="26" t="s">
        <v>188</v>
      </c>
      <c r="C133" s="27"/>
      <c r="D133" s="27"/>
      <c r="E133" s="27"/>
      <c r="F133" s="128"/>
      <c r="G133" s="128"/>
      <c r="H133" s="73"/>
      <c r="I133" s="94"/>
      <c r="J133" s="95"/>
      <c r="K133" s="128"/>
    </row>
    <row r="134" spans="1:11" x14ac:dyDescent="0.25">
      <c r="A134" s="38"/>
      <c r="B134" s="27" t="s">
        <v>187</v>
      </c>
      <c r="C134" s="27">
        <v>18</v>
      </c>
      <c r="D134" s="6">
        <f>6+6</f>
        <v>12</v>
      </c>
      <c r="E134" s="27">
        <f>D134*C134</f>
        <v>216</v>
      </c>
      <c r="F134" s="27"/>
      <c r="G134" s="27"/>
      <c r="H134" s="73" t="s">
        <v>36</v>
      </c>
      <c r="I134" s="94"/>
      <c r="J134" s="95"/>
      <c r="K134" s="128"/>
    </row>
    <row r="135" spans="1:11" x14ac:dyDescent="0.25">
      <c r="A135" s="38"/>
      <c r="B135" s="27" t="s">
        <v>21</v>
      </c>
      <c r="C135" s="27">
        <v>1.25</v>
      </c>
      <c r="D135" s="6"/>
      <c r="E135" s="27">
        <f>SUM(E134:E134)</f>
        <v>216</v>
      </c>
      <c r="F135" s="27">
        <v>150</v>
      </c>
      <c r="G135" s="27">
        <f>C135*E135*F135</f>
        <v>40500</v>
      </c>
      <c r="H135" s="73" t="s">
        <v>56</v>
      </c>
      <c r="I135" s="94">
        <v>81.52</v>
      </c>
      <c r="J135" s="95">
        <f>I135*G135</f>
        <v>3301560</v>
      </c>
      <c r="K135" s="128"/>
    </row>
    <row r="136" spans="1:11" x14ac:dyDescent="0.25">
      <c r="A136" s="38"/>
      <c r="B136" s="27" t="s">
        <v>249</v>
      </c>
      <c r="C136" s="27">
        <v>1.25</v>
      </c>
      <c r="D136" s="6"/>
      <c r="E136" s="27">
        <f>E134</f>
        <v>216</v>
      </c>
      <c r="F136" s="27"/>
      <c r="G136" s="27">
        <f>C136*E136</f>
        <v>270</v>
      </c>
      <c r="H136" s="73" t="s">
        <v>36</v>
      </c>
      <c r="I136" s="94">
        <v>504.41</v>
      </c>
      <c r="J136" s="95">
        <f>I136*G136</f>
        <v>136190.70000000001</v>
      </c>
      <c r="K136" s="128"/>
    </row>
    <row r="137" spans="1:11" x14ac:dyDescent="0.25">
      <c r="A137" s="38"/>
      <c r="B137" s="27" t="s">
        <v>24</v>
      </c>
      <c r="C137" s="27"/>
      <c r="D137" s="6"/>
      <c r="E137" s="27">
        <f>G135</f>
        <v>40500</v>
      </c>
      <c r="F137" s="27">
        <v>0.03</v>
      </c>
      <c r="G137" s="27">
        <f>F137*E137</f>
        <v>1215</v>
      </c>
      <c r="H137" s="73" t="s">
        <v>36</v>
      </c>
      <c r="I137" s="94">
        <v>871.25</v>
      </c>
      <c r="J137" s="95">
        <f>I137*G137</f>
        <v>1058568.75</v>
      </c>
      <c r="K137" s="128"/>
    </row>
    <row r="138" spans="1:11" x14ac:dyDescent="0.25">
      <c r="A138" s="25">
        <v>5</v>
      </c>
      <c r="B138" s="26" t="s">
        <v>190</v>
      </c>
      <c r="C138" s="27"/>
      <c r="D138" s="27"/>
      <c r="E138" s="27"/>
      <c r="F138" s="128"/>
      <c r="G138" s="128"/>
      <c r="H138" s="73"/>
      <c r="I138" s="94"/>
      <c r="J138" s="95"/>
      <c r="K138" s="128"/>
    </row>
    <row r="139" spans="1:11" x14ac:dyDescent="0.25">
      <c r="A139" s="38"/>
      <c r="B139" s="27" t="s">
        <v>20</v>
      </c>
      <c r="C139" s="27"/>
      <c r="D139" s="27"/>
      <c r="E139" s="27">
        <f>(12*21)</f>
        <v>252</v>
      </c>
      <c r="F139" s="27"/>
      <c r="G139" s="27"/>
      <c r="H139" s="73" t="s">
        <v>36</v>
      </c>
      <c r="I139" s="94"/>
      <c r="J139" s="95"/>
      <c r="K139" s="128"/>
    </row>
    <row r="140" spans="1:11" x14ac:dyDescent="0.25">
      <c r="A140" s="38"/>
      <c r="B140" s="27" t="s">
        <v>21</v>
      </c>
      <c r="C140" s="27"/>
      <c r="D140" s="27"/>
      <c r="E140" s="27">
        <f>SUM(E139:E139)</f>
        <v>252</v>
      </c>
      <c r="F140" s="27">
        <v>150</v>
      </c>
      <c r="G140" s="27">
        <f>F140*E140</f>
        <v>37800</v>
      </c>
      <c r="H140" s="73" t="s">
        <v>56</v>
      </c>
      <c r="I140" s="94">
        <v>81.52</v>
      </c>
      <c r="J140" s="95">
        <f>G140*I140</f>
        <v>3081456</v>
      </c>
      <c r="K140" s="128"/>
    </row>
    <row r="141" spans="1:11" x14ac:dyDescent="0.25">
      <c r="A141" s="38"/>
      <c r="B141" s="27" t="s">
        <v>22</v>
      </c>
      <c r="C141" s="27"/>
      <c r="D141" s="27"/>
      <c r="E141" s="27">
        <f>E139</f>
        <v>252</v>
      </c>
      <c r="F141" s="27"/>
      <c r="G141" s="27">
        <f>E141</f>
        <v>252</v>
      </c>
      <c r="H141" s="73" t="s">
        <v>36</v>
      </c>
      <c r="I141" s="94">
        <v>3000</v>
      </c>
      <c r="J141" s="95">
        <f t="shared" ref="J141:J143" si="16">G141*I141</f>
        <v>756000</v>
      </c>
      <c r="K141" s="128"/>
    </row>
    <row r="142" spans="1:11" x14ac:dyDescent="0.25">
      <c r="A142" s="38"/>
      <c r="B142" s="27" t="s">
        <v>23</v>
      </c>
      <c r="C142" s="27"/>
      <c r="D142" s="27"/>
      <c r="E142" s="27">
        <f>12+12+26+26+3+3+6+6</f>
        <v>94</v>
      </c>
      <c r="F142" s="27"/>
      <c r="G142" s="27">
        <f>E142</f>
        <v>94</v>
      </c>
      <c r="H142" s="73" t="s">
        <v>47</v>
      </c>
      <c r="I142" s="94">
        <v>1500</v>
      </c>
      <c r="J142" s="95">
        <f t="shared" si="16"/>
        <v>141000</v>
      </c>
      <c r="K142" s="128"/>
    </row>
    <row r="143" spans="1:11" x14ac:dyDescent="0.25">
      <c r="A143" s="38"/>
      <c r="B143" s="27" t="s">
        <v>24</v>
      </c>
      <c r="C143" s="27"/>
      <c r="D143" s="27"/>
      <c r="E143" s="27">
        <f>G140</f>
        <v>37800</v>
      </c>
      <c r="F143" s="27">
        <v>0.03</v>
      </c>
      <c r="G143" s="27">
        <f>F143*E143</f>
        <v>1134</v>
      </c>
      <c r="H143" s="73" t="s">
        <v>36</v>
      </c>
      <c r="I143" s="94">
        <f>I114</f>
        <v>950</v>
      </c>
      <c r="J143" s="95">
        <f t="shared" si="16"/>
        <v>1077300</v>
      </c>
      <c r="K143" s="128"/>
    </row>
    <row r="144" spans="1:11" x14ac:dyDescent="0.25">
      <c r="A144" s="25">
        <v>6</v>
      </c>
      <c r="B144" s="26" t="s">
        <v>191</v>
      </c>
      <c r="C144" s="27"/>
      <c r="D144" s="27"/>
      <c r="E144" s="27"/>
      <c r="F144" s="128"/>
      <c r="G144" s="128"/>
      <c r="H144" s="73"/>
      <c r="I144" s="94"/>
      <c r="J144" s="95"/>
      <c r="K144" s="128"/>
    </row>
    <row r="145" spans="1:11" x14ac:dyDescent="0.25">
      <c r="A145" s="38"/>
      <c r="B145" s="27" t="s">
        <v>187</v>
      </c>
      <c r="C145" s="27">
        <v>12</v>
      </c>
      <c r="D145" s="6">
        <v>21</v>
      </c>
      <c r="E145" s="27">
        <f>D145*C145</f>
        <v>252</v>
      </c>
      <c r="F145" s="27"/>
      <c r="G145" s="27"/>
      <c r="H145" s="73" t="s">
        <v>36</v>
      </c>
      <c r="I145" s="94"/>
      <c r="J145" s="95"/>
      <c r="K145" s="128"/>
    </row>
    <row r="146" spans="1:11" x14ac:dyDescent="0.25">
      <c r="A146" s="38"/>
      <c r="B146" s="27" t="s">
        <v>21</v>
      </c>
      <c r="C146" s="27">
        <v>1.25</v>
      </c>
      <c r="D146" s="6"/>
      <c r="E146" s="27">
        <f>SUM(E145:E145)</f>
        <v>252</v>
      </c>
      <c r="F146" s="27">
        <v>150</v>
      </c>
      <c r="G146" s="27">
        <f>C146*E146*F146</f>
        <v>47250</v>
      </c>
      <c r="H146" s="73" t="s">
        <v>56</v>
      </c>
      <c r="I146" s="94">
        <v>81.52</v>
      </c>
      <c r="J146" s="95">
        <f>I146*G146</f>
        <v>3851820</v>
      </c>
      <c r="K146" s="128"/>
    </row>
    <row r="147" spans="1:11" x14ac:dyDescent="0.25">
      <c r="A147" s="38"/>
      <c r="B147" s="27" t="s">
        <v>249</v>
      </c>
      <c r="C147" s="27">
        <v>1.25</v>
      </c>
      <c r="D147" s="6"/>
      <c r="E147" s="27">
        <f>E145</f>
        <v>252</v>
      </c>
      <c r="F147" s="27"/>
      <c r="G147" s="27">
        <f>C147*E147</f>
        <v>315</v>
      </c>
      <c r="H147" s="73" t="s">
        <v>36</v>
      </c>
      <c r="I147" s="94">
        <v>504.41</v>
      </c>
      <c r="J147" s="95">
        <f>I147*G147</f>
        <v>158889.15</v>
      </c>
      <c r="K147" s="128"/>
    </row>
    <row r="148" spans="1:11" x14ac:dyDescent="0.25">
      <c r="A148" s="38"/>
      <c r="B148" s="27" t="s">
        <v>24</v>
      </c>
      <c r="C148" s="27"/>
      <c r="D148" s="6"/>
      <c r="E148" s="27">
        <f>G146</f>
        <v>47250</v>
      </c>
      <c r="F148" s="27">
        <v>0.03</v>
      </c>
      <c r="G148" s="27">
        <f>F148*E148</f>
        <v>1417.5</v>
      </c>
      <c r="H148" s="73" t="s">
        <v>36</v>
      </c>
      <c r="I148" s="94">
        <v>871.25</v>
      </c>
      <c r="J148" s="95">
        <f>I148*G148</f>
        <v>1234996.875</v>
      </c>
      <c r="K148" s="128"/>
    </row>
    <row r="149" spans="1:11" ht="31.5" x14ac:dyDescent="0.25">
      <c r="A149" s="38">
        <v>7</v>
      </c>
      <c r="B149" s="147" t="s">
        <v>192</v>
      </c>
      <c r="C149" s="27">
        <f>7+7+7+5+7+5+5+5</f>
        <v>48</v>
      </c>
      <c r="D149" s="6"/>
      <c r="E149" s="27">
        <v>50</v>
      </c>
      <c r="F149" s="27"/>
      <c r="G149" s="27">
        <f>C149*E149</f>
        <v>2400</v>
      </c>
      <c r="H149" s="73" t="s">
        <v>56</v>
      </c>
      <c r="I149" s="94">
        <v>81.52</v>
      </c>
      <c r="J149" s="95">
        <f>G149*I149</f>
        <v>195648</v>
      </c>
      <c r="K149" s="129"/>
    </row>
    <row r="150" spans="1:11" x14ac:dyDescent="0.25">
      <c r="A150" s="38"/>
      <c r="B150" s="27"/>
      <c r="C150" s="27"/>
      <c r="D150" s="27"/>
      <c r="E150" s="27"/>
      <c r="F150" s="27"/>
      <c r="G150" s="342" t="s">
        <v>26</v>
      </c>
      <c r="H150" s="342"/>
      <c r="I150" s="342"/>
      <c r="J150" s="293">
        <f>SUM(J6:J149)</f>
        <v>36371003.787863664</v>
      </c>
      <c r="K150" s="294">
        <f>J150</f>
        <v>36371003.787863664</v>
      </c>
    </row>
    <row r="153" spans="1:11" x14ac:dyDescent="0.25">
      <c r="D153" s="145"/>
    </row>
  </sheetData>
  <mergeCells count="8">
    <mergeCell ref="D93:E93"/>
    <mergeCell ref="F110:I110"/>
    <mergeCell ref="G150:I150"/>
    <mergeCell ref="D92:E92"/>
    <mergeCell ref="A1:K1"/>
    <mergeCell ref="G87:I87"/>
    <mergeCell ref="D89:E89"/>
    <mergeCell ref="D91:E9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3" workbookViewId="0">
      <selection activeCell="B33" sqref="B33"/>
    </sheetView>
  </sheetViews>
  <sheetFormatPr defaultRowHeight="15.75" x14ac:dyDescent="0.25"/>
  <cols>
    <col min="1" max="1" width="6.42578125" style="60" bestFit="1" customWidth="1"/>
    <col min="2" max="2" width="66.7109375" style="28" customWidth="1"/>
    <col min="3" max="3" width="7.85546875" style="28" bestFit="1" customWidth="1"/>
    <col min="4" max="4" width="7.7109375" style="28" bestFit="1" customWidth="1"/>
    <col min="5" max="5" width="7.85546875" style="28" bestFit="1" customWidth="1"/>
    <col min="6" max="6" width="7.28515625" style="28" bestFit="1" customWidth="1"/>
    <col min="7" max="7" width="10.140625" style="28" bestFit="1" customWidth="1"/>
    <col min="8" max="8" width="5.140625" style="77" bestFit="1" customWidth="1"/>
    <col min="9" max="9" width="11.28515625" style="107" bestFit="1" customWidth="1"/>
    <col min="10" max="10" width="14.28515625" style="108" bestFit="1" customWidth="1"/>
    <col min="11" max="11" width="13.140625" style="22" bestFit="1" customWidth="1"/>
    <col min="12" max="12" width="10.28515625" style="28" bestFit="1" customWidth="1"/>
    <col min="13" max="13" width="7.7109375" style="28" bestFit="1" customWidth="1"/>
    <col min="14" max="14" width="5.140625" style="28" bestFit="1" customWidth="1"/>
    <col min="15" max="15" width="6.140625" style="28" bestFit="1" customWidth="1"/>
    <col min="16" max="256" width="9.140625" style="28"/>
    <col min="257" max="257" width="6" style="28" bestFit="1" customWidth="1"/>
    <col min="258" max="258" width="30.140625" style="28" bestFit="1" customWidth="1"/>
    <col min="259" max="259" width="8.28515625" style="28" bestFit="1" customWidth="1"/>
    <col min="260" max="260" width="7" style="28" bestFit="1" customWidth="1"/>
    <col min="261" max="261" width="7.28515625" style="28" bestFit="1" customWidth="1"/>
    <col min="262" max="262" width="7.5703125" style="28" bestFit="1" customWidth="1"/>
    <col min="263" max="263" width="8.28515625" style="28" bestFit="1" customWidth="1"/>
    <col min="264" max="264" width="5.140625" style="28" bestFit="1" customWidth="1"/>
    <col min="265" max="265" width="7.7109375" style="28" bestFit="1" customWidth="1"/>
    <col min="266" max="266" width="9" style="28" bestFit="1" customWidth="1"/>
    <col min="267" max="267" width="14" style="28" bestFit="1" customWidth="1"/>
    <col min="268" max="512" width="9.140625" style="28"/>
    <col min="513" max="513" width="6" style="28" bestFit="1" customWidth="1"/>
    <col min="514" max="514" width="30.140625" style="28" bestFit="1" customWidth="1"/>
    <col min="515" max="515" width="8.28515625" style="28" bestFit="1" customWidth="1"/>
    <col min="516" max="516" width="7" style="28" bestFit="1" customWidth="1"/>
    <col min="517" max="517" width="7.28515625" style="28" bestFit="1" customWidth="1"/>
    <col min="518" max="518" width="7.5703125" style="28" bestFit="1" customWidth="1"/>
    <col min="519" max="519" width="8.28515625" style="28" bestFit="1" customWidth="1"/>
    <col min="520" max="520" width="5.140625" style="28" bestFit="1" customWidth="1"/>
    <col min="521" max="521" width="7.7109375" style="28" bestFit="1" customWidth="1"/>
    <col min="522" max="522" width="9" style="28" bestFit="1" customWidth="1"/>
    <col min="523" max="523" width="14" style="28" bestFit="1" customWidth="1"/>
    <col min="524" max="768" width="9.140625" style="28"/>
    <col min="769" max="769" width="6" style="28" bestFit="1" customWidth="1"/>
    <col min="770" max="770" width="30.140625" style="28" bestFit="1" customWidth="1"/>
    <col min="771" max="771" width="8.28515625" style="28" bestFit="1" customWidth="1"/>
    <col min="772" max="772" width="7" style="28" bestFit="1" customWidth="1"/>
    <col min="773" max="773" width="7.28515625" style="28" bestFit="1" customWidth="1"/>
    <col min="774" max="774" width="7.5703125" style="28" bestFit="1" customWidth="1"/>
    <col min="775" max="775" width="8.28515625" style="28" bestFit="1" customWidth="1"/>
    <col min="776" max="776" width="5.140625" style="28" bestFit="1" customWidth="1"/>
    <col min="777" max="777" width="7.7109375" style="28" bestFit="1" customWidth="1"/>
    <col min="778" max="778" width="9" style="28" bestFit="1" customWidth="1"/>
    <col min="779" max="779" width="14" style="28" bestFit="1" customWidth="1"/>
    <col min="780" max="1024" width="9.140625" style="28"/>
    <col min="1025" max="1025" width="6" style="28" bestFit="1" customWidth="1"/>
    <col min="1026" max="1026" width="30.140625" style="28" bestFit="1" customWidth="1"/>
    <col min="1027" max="1027" width="8.28515625" style="28" bestFit="1" customWidth="1"/>
    <col min="1028" max="1028" width="7" style="28" bestFit="1" customWidth="1"/>
    <col min="1029" max="1029" width="7.28515625" style="28" bestFit="1" customWidth="1"/>
    <col min="1030" max="1030" width="7.5703125" style="28" bestFit="1" customWidth="1"/>
    <col min="1031" max="1031" width="8.28515625" style="28" bestFit="1" customWidth="1"/>
    <col min="1032" max="1032" width="5.140625" style="28" bestFit="1" customWidth="1"/>
    <col min="1033" max="1033" width="7.7109375" style="28" bestFit="1" customWidth="1"/>
    <col min="1034" max="1034" width="9" style="28" bestFit="1" customWidth="1"/>
    <col min="1035" max="1035" width="14" style="28" bestFit="1" customWidth="1"/>
    <col min="1036" max="1280" width="9.140625" style="28"/>
    <col min="1281" max="1281" width="6" style="28" bestFit="1" customWidth="1"/>
    <col min="1282" max="1282" width="30.140625" style="28" bestFit="1" customWidth="1"/>
    <col min="1283" max="1283" width="8.28515625" style="28" bestFit="1" customWidth="1"/>
    <col min="1284" max="1284" width="7" style="28" bestFit="1" customWidth="1"/>
    <col min="1285" max="1285" width="7.28515625" style="28" bestFit="1" customWidth="1"/>
    <col min="1286" max="1286" width="7.5703125" style="28" bestFit="1" customWidth="1"/>
    <col min="1287" max="1287" width="8.28515625" style="28" bestFit="1" customWidth="1"/>
    <col min="1288" max="1288" width="5.140625" style="28" bestFit="1" customWidth="1"/>
    <col min="1289" max="1289" width="7.7109375" style="28" bestFit="1" customWidth="1"/>
    <col min="1290" max="1290" width="9" style="28" bestFit="1" customWidth="1"/>
    <col min="1291" max="1291" width="14" style="28" bestFit="1" customWidth="1"/>
    <col min="1292" max="1536" width="9.140625" style="28"/>
    <col min="1537" max="1537" width="6" style="28" bestFit="1" customWidth="1"/>
    <col min="1538" max="1538" width="30.140625" style="28" bestFit="1" customWidth="1"/>
    <col min="1539" max="1539" width="8.28515625" style="28" bestFit="1" customWidth="1"/>
    <col min="1540" max="1540" width="7" style="28" bestFit="1" customWidth="1"/>
    <col min="1541" max="1541" width="7.28515625" style="28" bestFit="1" customWidth="1"/>
    <col min="1542" max="1542" width="7.5703125" style="28" bestFit="1" customWidth="1"/>
    <col min="1543" max="1543" width="8.28515625" style="28" bestFit="1" customWidth="1"/>
    <col min="1544" max="1544" width="5.140625" style="28" bestFit="1" customWidth="1"/>
    <col min="1545" max="1545" width="7.7109375" style="28" bestFit="1" customWidth="1"/>
    <col min="1546" max="1546" width="9" style="28" bestFit="1" customWidth="1"/>
    <col min="1547" max="1547" width="14" style="28" bestFit="1" customWidth="1"/>
    <col min="1548" max="1792" width="9.140625" style="28"/>
    <col min="1793" max="1793" width="6" style="28" bestFit="1" customWidth="1"/>
    <col min="1794" max="1794" width="30.140625" style="28" bestFit="1" customWidth="1"/>
    <col min="1795" max="1795" width="8.28515625" style="28" bestFit="1" customWidth="1"/>
    <col min="1796" max="1796" width="7" style="28" bestFit="1" customWidth="1"/>
    <col min="1797" max="1797" width="7.28515625" style="28" bestFit="1" customWidth="1"/>
    <col min="1798" max="1798" width="7.5703125" style="28" bestFit="1" customWidth="1"/>
    <col min="1799" max="1799" width="8.28515625" style="28" bestFit="1" customWidth="1"/>
    <col min="1800" max="1800" width="5.140625" style="28" bestFit="1" customWidth="1"/>
    <col min="1801" max="1801" width="7.7109375" style="28" bestFit="1" customWidth="1"/>
    <col min="1802" max="1802" width="9" style="28" bestFit="1" customWidth="1"/>
    <col min="1803" max="1803" width="14" style="28" bestFit="1" customWidth="1"/>
    <col min="1804" max="2048" width="9.140625" style="28"/>
    <col min="2049" max="2049" width="6" style="28" bestFit="1" customWidth="1"/>
    <col min="2050" max="2050" width="30.140625" style="28" bestFit="1" customWidth="1"/>
    <col min="2051" max="2051" width="8.28515625" style="28" bestFit="1" customWidth="1"/>
    <col min="2052" max="2052" width="7" style="28" bestFit="1" customWidth="1"/>
    <col min="2053" max="2053" width="7.28515625" style="28" bestFit="1" customWidth="1"/>
    <col min="2054" max="2054" width="7.5703125" style="28" bestFit="1" customWidth="1"/>
    <col min="2055" max="2055" width="8.28515625" style="28" bestFit="1" customWidth="1"/>
    <col min="2056" max="2056" width="5.140625" style="28" bestFit="1" customWidth="1"/>
    <col min="2057" max="2057" width="7.7109375" style="28" bestFit="1" customWidth="1"/>
    <col min="2058" max="2058" width="9" style="28" bestFit="1" customWidth="1"/>
    <col min="2059" max="2059" width="14" style="28" bestFit="1" customWidth="1"/>
    <col min="2060" max="2304" width="9.140625" style="28"/>
    <col min="2305" max="2305" width="6" style="28" bestFit="1" customWidth="1"/>
    <col min="2306" max="2306" width="30.140625" style="28" bestFit="1" customWidth="1"/>
    <col min="2307" max="2307" width="8.28515625" style="28" bestFit="1" customWidth="1"/>
    <col min="2308" max="2308" width="7" style="28" bestFit="1" customWidth="1"/>
    <col min="2309" max="2309" width="7.28515625" style="28" bestFit="1" customWidth="1"/>
    <col min="2310" max="2310" width="7.5703125" style="28" bestFit="1" customWidth="1"/>
    <col min="2311" max="2311" width="8.28515625" style="28" bestFit="1" customWidth="1"/>
    <col min="2312" max="2312" width="5.140625" style="28" bestFit="1" customWidth="1"/>
    <col min="2313" max="2313" width="7.7109375" style="28" bestFit="1" customWidth="1"/>
    <col min="2314" max="2314" width="9" style="28" bestFit="1" customWidth="1"/>
    <col min="2315" max="2315" width="14" style="28" bestFit="1" customWidth="1"/>
    <col min="2316" max="2560" width="9.140625" style="28"/>
    <col min="2561" max="2561" width="6" style="28" bestFit="1" customWidth="1"/>
    <col min="2562" max="2562" width="30.140625" style="28" bestFit="1" customWidth="1"/>
    <col min="2563" max="2563" width="8.28515625" style="28" bestFit="1" customWidth="1"/>
    <col min="2564" max="2564" width="7" style="28" bestFit="1" customWidth="1"/>
    <col min="2565" max="2565" width="7.28515625" style="28" bestFit="1" customWidth="1"/>
    <col min="2566" max="2566" width="7.5703125" style="28" bestFit="1" customWidth="1"/>
    <col min="2567" max="2567" width="8.28515625" style="28" bestFit="1" customWidth="1"/>
    <col min="2568" max="2568" width="5.140625" style="28" bestFit="1" customWidth="1"/>
    <col min="2569" max="2569" width="7.7109375" style="28" bestFit="1" customWidth="1"/>
    <col min="2570" max="2570" width="9" style="28" bestFit="1" customWidth="1"/>
    <col min="2571" max="2571" width="14" style="28" bestFit="1" customWidth="1"/>
    <col min="2572" max="2816" width="9.140625" style="28"/>
    <col min="2817" max="2817" width="6" style="28" bestFit="1" customWidth="1"/>
    <col min="2818" max="2818" width="30.140625" style="28" bestFit="1" customWidth="1"/>
    <col min="2819" max="2819" width="8.28515625" style="28" bestFit="1" customWidth="1"/>
    <col min="2820" max="2820" width="7" style="28" bestFit="1" customWidth="1"/>
    <col min="2821" max="2821" width="7.28515625" style="28" bestFit="1" customWidth="1"/>
    <col min="2822" max="2822" width="7.5703125" style="28" bestFit="1" customWidth="1"/>
    <col min="2823" max="2823" width="8.28515625" style="28" bestFit="1" customWidth="1"/>
    <col min="2824" max="2824" width="5.140625" style="28" bestFit="1" customWidth="1"/>
    <col min="2825" max="2825" width="7.7109375" style="28" bestFit="1" customWidth="1"/>
    <col min="2826" max="2826" width="9" style="28" bestFit="1" customWidth="1"/>
    <col min="2827" max="2827" width="14" style="28" bestFit="1" customWidth="1"/>
    <col min="2828" max="3072" width="9.140625" style="28"/>
    <col min="3073" max="3073" width="6" style="28" bestFit="1" customWidth="1"/>
    <col min="3074" max="3074" width="30.140625" style="28" bestFit="1" customWidth="1"/>
    <col min="3075" max="3075" width="8.28515625" style="28" bestFit="1" customWidth="1"/>
    <col min="3076" max="3076" width="7" style="28" bestFit="1" customWidth="1"/>
    <col min="3077" max="3077" width="7.28515625" style="28" bestFit="1" customWidth="1"/>
    <col min="3078" max="3078" width="7.5703125" style="28" bestFit="1" customWidth="1"/>
    <col min="3079" max="3079" width="8.28515625" style="28" bestFit="1" customWidth="1"/>
    <col min="3080" max="3080" width="5.140625" style="28" bestFit="1" customWidth="1"/>
    <col min="3081" max="3081" width="7.7109375" style="28" bestFit="1" customWidth="1"/>
    <col min="3082" max="3082" width="9" style="28" bestFit="1" customWidth="1"/>
    <col min="3083" max="3083" width="14" style="28" bestFit="1" customWidth="1"/>
    <col min="3084" max="3328" width="9.140625" style="28"/>
    <col min="3329" max="3329" width="6" style="28" bestFit="1" customWidth="1"/>
    <col min="3330" max="3330" width="30.140625" style="28" bestFit="1" customWidth="1"/>
    <col min="3331" max="3331" width="8.28515625" style="28" bestFit="1" customWidth="1"/>
    <col min="3332" max="3332" width="7" style="28" bestFit="1" customWidth="1"/>
    <col min="3333" max="3333" width="7.28515625" style="28" bestFit="1" customWidth="1"/>
    <col min="3334" max="3334" width="7.5703125" style="28" bestFit="1" customWidth="1"/>
    <col min="3335" max="3335" width="8.28515625" style="28" bestFit="1" customWidth="1"/>
    <col min="3336" max="3336" width="5.140625" style="28" bestFit="1" customWidth="1"/>
    <col min="3337" max="3337" width="7.7109375" style="28" bestFit="1" customWidth="1"/>
    <col min="3338" max="3338" width="9" style="28" bestFit="1" customWidth="1"/>
    <col min="3339" max="3339" width="14" style="28" bestFit="1" customWidth="1"/>
    <col min="3340" max="3584" width="9.140625" style="28"/>
    <col min="3585" max="3585" width="6" style="28" bestFit="1" customWidth="1"/>
    <col min="3586" max="3586" width="30.140625" style="28" bestFit="1" customWidth="1"/>
    <col min="3587" max="3587" width="8.28515625" style="28" bestFit="1" customWidth="1"/>
    <col min="3588" max="3588" width="7" style="28" bestFit="1" customWidth="1"/>
    <col min="3589" max="3589" width="7.28515625" style="28" bestFit="1" customWidth="1"/>
    <col min="3590" max="3590" width="7.5703125" style="28" bestFit="1" customWidth="1"/>
    <col min="3591" max="3591" width="8.28515625" style="28" bestFit="1" customWidth="1"/>
    <col min="3592" max="3592" width="5.140625" style="28" bestFit="1" customWidth="1"/>
    <col min="3593" max="3593" width="7.7109375" style="28" bestFit="1" customWidth="1"/>
    <col min="3594" max="3594" width="9" style="28" bestFit="1" customWidth="1"/>
    <col min="3595" max="3595" width="14" style="28" bestFit="1" customWidth="1"/>
    <col min="3596" max="3840" width="9.140625" style="28"/>
    <col min="3841" max="3841" width="6" style="28" bestFit="1" customWidth="1"/>
    <col min="3842" max="3842" width="30.140625" style="28" bestFit="1" customWidth="1"/>
    <col min="3843" max="3843" width="8.28515625" style="28" bestFit="1" customWidth="1"/>
    <col min="3844" max="3844" width="7" style="28" bestFit="1" customWidth="1"/>
    <col min="3845" max="3845" width="7.28515625" style="28" bestFit="1" customWidth="1"/>
    <col min="3846" max="3846" width="7.5703125" style="28" bestFit="1" customWidth="1"/>
    <col min="3847" max="3847" width="8.28515625" style="28" bestFit="1" customWidth="1"/>
    <col min="3848" max="3848" width="5.140625" style="28" bestFit="1" customWidth="1"/>
    <col min="3849" max="3849" width="7.7109375" style="28" bestFit="1" customWidth="1"/>
    <col min="3850" max="3850" width="9" style="28" bestFit="1" customWidth="1"/>
    <col min="3851" max="3851" width="14" style="28" bestFit="1" customWidth="1"/>
    <col min="3852" max="4096" width="9.140625" style="28"/>
    <col min="4097" max="4097" width="6" style="28" bestFit="1" customWidth="1"/>
    <col min="4098" max="4098" width="30.140625" style="28" bestFit="1" customWidth="1"/>
    <col min="4099" max="4099" width="8.28515625" style="28" bestFit="1" customWidth="1"/>
    <col min="4100" max="4100" width="7" style="28" bestFit="1" customWidth="1"/>
    <col min="4101" max="4101" width="7.28515625" style="28" bestFit="1" customWidth="1"/>
    <col min="4102" max="4102" width="7.5703125" style="28" bestFit="1" customWidth="1"/>
    <col min="4103" max="4103" width="8.28515625" style="28" bestFit="1" customWidth="1"/>
    <col min="4104" max="4104" width="5.140625" style="28" bestFit="1" customWidth="1"/>
    <col min="4105" max="4105" width="7.7109375" style="28" bestFit="1" customWidth="1"/>
    <col min="4106" max="4106" width="9" style="28" bestFit="1" customWidth="1"/>
    <col min="4107" max="4107" width="14" style="28" bestFit="1" customWidth="1"/>
    <col min="4108" max="4352" width="9.140625" style="28"/>
    <col min="4353" max="4353" width="6" style="28" bestFit="1" customWidth="1"/>
    <col min="4354" max="4354" width="30.140625" style="28" bestFit="1" customWidth="1"/>
    <col min="4355" max="4355" width="8.28515625" style="28" bestFit="1" customWidth="1"/>
    <col min="4356" max="4356" width="7" style="28" bestFit="1" customWidth="1"/>
    <col min="4357" max="4357" width="7.28515625" style="28" bestFit="1" customWidth="1"/>
    <col min="4358" max="4358" width="7.5703125" style="28" bestFit="1" customWidth="1"/>
    <col min="4359" max="4359" width="8.28515625" style="28" bestFit="1" customWidth="1"/>
    <col min="4360" max="4360" width="5.140625" style="28" bestFit="1" customWidth="1"/>
    <col min="4361" max="4361" width="7.7109375" style="28" bestFit="1" customWidth="1"/>
    <col min="4362" max="4362" width="9" style="28" bestFit="1" customWidth="1"/>
    <col min="4363" max="4363" width="14" style="28" bestFit="1" customWidth="1"/>
    <col min="4364" max="4608" width="9.140625" style="28"/>
    <col min="4609" max="4609" width="6" style="28" bestFit="1" customWidth="1"/>
    <col min="4610" max="4610" width="30.140625" style="28" bestFit="1" customWidth="1"/>
    <col min="4611" max="4611" width="8.28515625" style="28" bestFit="1" customWidth="1"/>
    <col min="4612" max="4612" width="7" style="28" bestFit="1" customWidth="1"/>
    <col min="4613" max="4613" width="7.28515625" style="28" bestFit="1" customWidth="1"/>
    <col min="4614" max="4614" width="7.5703125" style="28" bestFit="1" customWidth="1"/>
    <col min="4615" max="4615" width="8.28515625" style="28" bestFit="1" customWidth="1"/>
    <col min="4616" max="4616" width="5.140625" style="28" bestFit="1" customWidth="1"/>
    <col min="4617" max="4617" width="7.7109375" style="28" bestFit="1" customWidth="1"/>
    <col min="4618" max="4618" width="9" style="28" bestFit="1" customWidth="1"/>
    <col min="4619" max="4619" width="14" style="28" bestFit="1" customWidth="1"/>
    <col min="4620" max="4864" width="9.140625" style="28"/>
    <col min="4865" max="4865" width="6" style="28" bestFit="1" customWidth="1"/>
    <col min="4866" max="4866" width="30.140625" style="28" bestFit="1" customWidth="1"/>
    <col min="4867" max="4867" width="8.28515625" style="28" bestFit="1" customWidth="1"/>
    <col min="4868" max="4868" width="7" style="28" bestFit="1" customWidth="1"/>
    <col min="4869" max="4869" width="7.28515625" style="28" bestFit="1" customWidth="1"/>
    <col min="4870" max="4870" width="7.5703125" style="28" bestFit="1" customWidth="1"/>
    <col min="4871" max="4871" width="8.28515625" style="28" bestFit="1" customWidth="1"/>
    <col min="4872" max="4872" width="5.140625" style="28" bestFit="1" customWidth="1"/>
    <col min="4873" max="4873" width="7.7109375" style="28" bestFit="1" customWidth="1"/>
    <col min="4874" max="4874" width="9" style="28" bestFit="1" customWidth="1"/>
    <col min="4875" max="4875" width="14" style="28" bestFit="1" customWidth="1"/>
    <col min="4876" max="5120" width="9.140625" style="28"/>
    <col min="5121" max="5121" width="6" style="28" bestFit="1" customWidth="1"/>
    <col min="5122" max="5122" width="30.140625" style="28" bestFit="1" customWidth="1"/>
    <col min="5123" max="5123" width="8.28515625" style="28" bestFit="1" customWidth="1"/>
    <col min="5124" max="5124" width="7" style="28" bestFit="1" customWidth="1"/>
    <col min="5125" max="5125" width="7.28515625" style="28" bestFit="1" customWidth="1"/>
    <col min="5126" max="5126" width="7.5703125" style="28" bestFit="1" customWidth="1"/>
    <col min="5127" max="5127" width="8.28515625" style="28" bestFit="1" customWidth="1"/>
    <col min="5128" max="5128" width="5.140625" style="28" bestFit="1" customWidth="1"/>
    <col min="5129" max="5129" width="7.7109375" style="28" bestFit="1" customWidth="1"/>
    <col min="5130" max="5130" width="9" style="28" bestFit="1" customWidth="1"/>
    <col min="5131" max="5131" width="14" style="28" bestFit="1" customWidth="1"/>
    <col min="5132" max="5376" width="9.140625" style="28"/>
    <col min="5377" max="5377" width="6" style="28" bestFit="1" customWidth="1"/>
    <col min="5378" max="5378" width="30.140625" style="28" bestFit="1" customWidth="1"/>
    <col min="5379" max="5379" width="8.28515625" style="28" bestFit="1" customWidth="1"/>
    <col min="5380" max="5380" width="7" style="28" bestFit="1" customWidth="1"/>
    <col min="5381" max="5381" width="7.28515625" style="28" bestFit="1" customWidth="1"/>
    <col min="5382" max="5382" width="7.5703125" style="28" bestFit="1" customWidth="1"/>
    <col min="5383" max="5383" width="8.28515625" style="28" bestFit="1" customWidth="1"/>
    <col min="5384" max="5384" width="5.140625" style="28" bestFit="1" customWidth="1"/>
    <col min="5385" max="5385" width="7.7109375" style="28" bestFit="1" customWidth="1"/>
    <col min="5386" max="5386" width="9" style="28" bestFit="1" customWidth="1"/>
    <col min="5387" max="5387" width="14" style="28" bestFit="1" customWidth="1"/>
    <col min="5388" max="5632" width="9.140625" style="28"/>
    <col min="5633" max="5633" width="6" style="28" bestFit="1" customWidth="1"/>
    <col min="5634" max="5634" width="30.140625" style="28" bestFit="1" customWidth="1"/>
    <col min="5635" max="5635" width="8.28515625" style="28" bestFit="1" customWidth="1"/>
    <col min="5636" max="5636" width="7" style="28" bestFit="1" customWidth="1"/>
    <col min="5637" max="5637" width="7.28515625" style="28" bestFit="1" customWidth="1"/>
    <col min="5638" max="5638" width="7.5703125" style="28" bestFit="1" customWidth="1"/>
    <col min="5639" max="5639" width="8.28515625" style="28" bestFit="1" customWidth="1"/>
    <col min="5640" max="5640" width="5.140625" style="28" bestFit="1" customWidth="1"/>
    <col min="5641" max="5641" width="7.7109375" style="28" bestFit="1" customWidth="1"/>
    <col min="5642" max="5642" width="9" style="28" bestFit="1" customWidth="1"/>
    <col min="5643" max="5643" width="14" style="28" bestFit="1" customWidth="1"/>
    <col min="5644" max="5888" width="9.140625" style="28"/>
    <col min="5889" max="5889" width="6" style="28" bestFit="1" customWidth="1"/>
    <col min="5890" max="5890" width="30.140625" style="28" bestFit="1" customWidth="1"/>
    <col min="5891" max="5891" width="8.28515625" style="28" bestFit="1" customWidth="1"/>
    <col min="5892" max="5892" width="7" style="28" bestFit="1" customWidth="1"/>
    <col min="5893" max="5893" width="7.28515625" style="28" bestFit="1" customWidth="1"/>
    <col min="5894" max="5894" width="7.5703125" style="28" bestFit="1" customWidth="1"/>
    <col min="5895" max="5895" width="8.28515625" style="28" bestFit="1" customWidth="1"/>
    <col min="5896" max="5896" width="5.140625" style="28" bestFit="1" customWidth="1"/>
    <col min="5897" max="5897" width="7.7109375" style="28" bestFit="1" customWidth="1"/>
    <col min="5898" max="5898" width="9" style="28" bestFit="1" customWidth="1"/>
    <col min="5899" max="5899" width="14" style="28" bestFit="1" customWidth="1"/>
    <col min="5900" max="6144" width="9.140625" style="28"/>
    <col min="6145" max="6145" width="6" style="28" bestFit="1" customWidth="1"/>
    <col min="6146" max="6146" width="30.140625" style="28" bestFit="1" customWidth="1"/>
    <col min="6147" max="6147" width="8.28515625" style="28" bestFit="1" customWidth="1"/>
    <col min="6148" max="6148" width="7" style="28" bestFit="1" customWidth="1"/>
    <col min="6149" max="6149" width="7.28515625" style="28" bestFit="1" customWidth="1"/>
    <col min="6150" max="6150" width="7.5703125" style="28" bestFit="1" customWidth="1"/>
    <col min="6151" max="6151" width="8.28515625" style="28" bestFit="1" customWidth="1"/>
    <col min="6152" max="6152" width="5.140625" style="28" bestFit="1" customWidth="1"/>
    <col min="6153" max="6153" width="7.7109375" style="28" bestFit="1" customWidth="1"/>
    <col min="6154" max="6154" width="9" style="28" bestFit="1" customWidth="1"/>
    <col min="6155" max="6155" width="14" style="28" bestFit="1" customWidth="1"/>
    <col min="6156" max="6400" width="9.140625" style="28"/>
    <col min="6401" max="6401" width="6" style="28" bestFit="1" customWidth="1"/>
    <col min="6402" max="6402" width="30.140625" style="28" bestFit="1" customWidth="1"/>
    <col min="6403" max="6403" width="8.28515625" style="28" bestFit="1" customWidth="1"/>
    <col min="6404" max="6404" width="7" style="28" bestFit="1" customWidth="1"/>
    <col min="6405" max="6405" width="7.28515625" style="28" bestFit="1" customWidth="1"/>
    <col min="6406" max="6406" width="7.5703125" style="28" bestFit="1" customWidth="1"/>
    <col min="6407" max="6407" width="8.28515625" style="28" bestFit="1" customWidth="1"/>
    <col min="6408" max="6408" width="5.140625" style="28" bestFit="1" customWidth="1"/>
    <col min="6409" max="6409" width="7.7109375" style="28" bestFit="1" customWidth="1"/>
    <col min="6410" max="6410" width="9" style="28" bestFit="1" customWidth="1"/>
    <col min="6411" max="6411" width="14" style="28" bestFit="1" customWidth="1"/>
    <col min="6412" max="6656" width="9.140625" style="28"/>
    <col min="6657" max="6657" width="6" style="28" bestFit="1" customWidth="1"/>
    <col min="6658" max="6658" width="30.140625" style="28" bestFit="1" customWidth="1"/>
    <col min="6659" max="6659" width="8.28515625" style="28" bestFit="1" customWidth="1"/>
    <col min="6660" max="6660" width="7" style="28" bestFit="1" customWidth="1"/>
    <col min="6661" max="6661" width="7.28515625" style="28" bestFit="1" customWidth="1"/>
    <col min="6662" max="6662" width="7.5703125" style="28" bestFit="1" customWidth="1"/>
    <col min="6663" max="6663" width="8.28515625" style="28" bestFit="1" customWidth="1"/>
    <col min="6664" max="6664" width="5.140625" style="28" bestFit="1" customWidth="1"/>
    <col min="6665" max="6665" width="7.7109375" style="28" bestFit="1" customWidth="1"/>
    <col min="6666" max="6666" width="9" style="28" bestFit="1" customWidth="1"/>
    <col min="6667" max="6667" width="14" style="28" bestFit="1" customWidth="1"/>
    <col min="6668" max="6912" width="9.140625" style="28"/>
    <col min="6913" max="6913" width="6" style="28" bestFit="1" customWidth="1"/>
    <col min="6914" max="6914" width="30.140625" style="28" bestFit="1" customWidth="1"/>
    <col min="6915" max="6915" width="8.28515625" style="28" bestFit="1" customWidth="1"/>
    <col min="6916" max="6916" width="7" style="28" bestFit="1" customWidth="1"/>
    <col min="6917" max="6917" width="7.28515625" style="28" bestFit="1" customWidth="1"/>
    <col min="6918" max="6918" width="7.5703125" style="28" bestFit="1" customWidth="1"/>
    <col min="6919" max="6919" width="8.28515625" style="28" bestFit="1" customWidth="1"/>
    <col min="6920" max="6920" width="5.140625" style="28" bestFit="1" customWidth="1"/>
    <col min="6921" max="6921" width="7.7109375" style="28" bestFit="1" customWidth="1"/>
    <col min="6922" max="6922" width="9" style="28" bestFit="1" customWidth="1"/>
    <col min="6923" max="6923" width="14" style="28" bestFit="1" customWidth="1"/>
    <col min="6924" max="7168" width="9.140625" style="28"/>
    <col min="7169" max="7169" width="6" style="28" bestFit="1" customWidth="1"/>
    <col min="7170" max="7170" width="30.140625" style="28" bestFit="1" customWidth="1"/>
    <col min="7171" max="7171" width="8.28515625" style="28" bestFit="1" customWidth="1"/>
    <col min="7172" max="7172" width="7" style="28" bestFit="1" customWidth="1"/>
    <col min="7173" max="7173" width="7.28515625" style="28" bestFit="1" customWidth="1"/>
    <col min="7174" max="7174" width="7.5703125" style="28" bestFit="1" customWidth="1"/>
    <col min="7175" max="7175" width="8.28515625" style="28" bestFit="1" customWidth="1"/>
    <col min="7176" max="7176" width="5.140625" style="28" bestFit="1" customWidth="1"/>
    <col min="7177" max="7177" width="7.7109375" style="28" bestFit="1" customWidth="1"/>
    <col min="7178" max="7178" width="9" style="28" bestFit="1" customWidth="1"/>
    <col min="7179" max="7179" width="14" style="28" bestFit="1" customWidth="1"/>
    <col min="7180" max="7424" width="9.140625" style="28"/>
    <col min="7425" max="7425" width="6" style="28" bestFit="1" customWidth="1"/>
    <col min="7426" max="7426" width="30.140625" style="28" bestFit="1" customWidth="1"/>
    <col min="7427" max="7427" width="8.28515625" style="28" bestFit="1" customWidth="1"/>
    <col min="7428" max="7428" width="7" style="28" bestFit="1" customWidth="1"/>
    <col min="7429" max="7429" width="7.28515625" style="28" bestFit="1" customWidth="1"/>
    <col min="7430" max="7430" width="7.5703125" style="28" bestFit="1" customWidth="1"/>
    <col min="7431" max="7431" width="8.28515625" style="28" bestFit="1" customWidth="1"/>
    <col min="7432" max="7432" width="5.140625" style="28" bestFit="1" customWidth="1"/>
    <col min="7433" max="7433" width="7.7109375" style="28" bestFit="1" customWidth="1"/>
    <col min="7434" max="7434" width="9" style="28" bestFit="1" customWidth="1"/>
    <col min="7435" max="7435" width="14" style="28" bestFit="1" customWidth="1"/>
    <col min="7436" max="7680" width="9.140625" style="28"/>
    <col min="7681" max="7681" width="6" style="28" bestFit="1" customWidth="1"/>
    <col min="7682" max="7682" width="30.140625" style="28" bestFit="1" customWidth="1"/>
    <col min="7683" max="7683" width="8.28515625" style="28" bestFit="1" customWidth="1"/>
    <col min="7684" max="7684" width="7" style="28" bestFit="1" customWidth="1"/>
    <col min="7685" max="7685" width="7.28515625" style="28" bestFit="1" customWidth="1"/>
    <col min="7686" max="7686" width="7.5703125" style="28" bestFit="1" customWidth="1"/>
    <col min="7687" max="7687" width="8.28515625" style="28" bestFit="1" customWidth="1"/>
    <col min="7688" max="7688" width="5.140625" style="28" bestFit="1" customWidth="1"/>
    <col min="7689" max="7689" width="7.7109375" style="28" bestFit="1" customWidth="1"/>
    <col min="7690" max="7690" width="9" style="28" bestFit="1" customWidth="1"/>
    <col min="7691" max="7691" width="14" style="28" bestFit="1" customWidth="1"/>
    <col min="7692" max="7936" width="9.140625" style="28"/>
    <col min="7937" max="7937" width="6" style="28" bestFit="1" customWidth="1"/>
    <col min="7938" max="7938" width="30.140625" style="28" bestFit="1" customWidth="1"/>
    <col min="7939" max="7939" width="8.28515625" style="28" bestFit="1" customWidth="1"/>
    <col min="7940" max="7940" width="7" style="28" bestFit="1" customWidth="1"/>
    <col min="7941" max="7941" width="7.28515625" style="28" bestFit="1" customWidth="1"/>
    <col min="7942" max="7942" width="7.5703125" style="28" bestFit="1" customWidth="1"/>
    <col min="7943" max="7943" width="8.28515625" style="28" bestFit="1" customWidth="1"/>
    <col min="7944" max="7944" width="5.140625" style="28" bestFit="1" customWidth="1"/>
    <col min="7945" max="7945" width="7.7109375" style="28" bestFit="1" customWidth="1"/>
    <col min="7946" max="7946" width="9" style="28" bestFit="1" customWidth="1"/>
    <col min="7947" max="7947" width="14" style="28" bestFit="1" customWidth="1"/>
    <col min="7948" max="8192" width="9.140625" style="28"/>
    <col min="8193" max="8193" width="6" style="28" bestFit="1" customWidth="1"/>
    <col min="8194" max="8194" width="30.140625" style="28" bestFit="1" customWidth="1"/>
    <col min="8195" max="8195" width="8.28515625" style="28" bestFit="1" customWidth="1"/>
    <col min="8196" max="8196" width="7" style="28" bestFit="1" customWidth="1"/>
    <col min="8197" max="8197" width="7.28515625" style="28" bestFit="1" customWidth="1"/>
    <col min="8198" max="8198" width="7.5703125" style="28" bestFit="1" customWidth="1"/>
    <col min="8199" max="8199" width="8.28515625" style="28" bestFit="1" customWidth="1"/>
    <col min="8200" max="8200" width="5.140625" style="28" bestFit="1" customWidth="1"/>
    <col min="8201" max="8201" width="7.7109375" style="28" bestFit="1" customWidth="1"/>
    <col min="8202" max="8202" width="9" style="28" bestFit="1" customWidth="1"/>
    <col min="8203" max="8203" width="14" style="28" bestFit="1" customWidth="1"/>
    <col min="8204" max="8448" width="9.140625" style="28"/>
    <col min="8449" max="8449" width="6" style="28" bestFit="1" customWidth="1"/>
    <col min="8450" max="8450" width="30.140625" style="28" bestFit="1" customWidth="1"/>
    <col min="8451" max="8451" width="8.28515625" style="28" bestFit="1" customWidth="1"/>
    <col min="8452" max="8452" width="7" style="28" bestFit="1" customWidth="1"/>
    <col min="8453" max="8453" width="7.28515625" style="28" bestFit="1" customWidth="1"/>
    <col min="8454" max="8454" width="7.5703125" style="28" bestFit="1" customWidth="1"/>
    <col min="8455" max="8455" width="8.28515625" style="28" bestFit="1" customWidth="1"/>
    <col min="8456" max="8456" width="5.140625" style="28" bestFit="1" customWidth="1"/>
    <col min="8457" max="8457" width="7.7109375" style="28" bestFit="1" customWidth="1"/>
    <col min="8458" max="8458" width="9" style="28" bestFit="1" customWidth="1"/>
    <col min="8459" max="8459" width="14" style="28" bestFit="1" customWidth="1"/>
    <col min="8460" max="8704" width="9.140625" style="28"/>
    <col min="8705" max="8705" width="6" style="28" bestFit="1" customWidth="1"/>
    <col min="8706" max="8706" width="30.140625" style="28" bestFit="1" customWidth="1"/>
    <col min="8707" max="8707" width="8.28515625" style="28" bestFit="1" customWidth="1"/>
    <col min="8708" max="8708" width="7" style="28" bestFit="1" customWidth="1"/>
    <col min="8709" max="8709" width="7.28515625" style="28" bestFit="1" customWidth="1"/>
    <col min="8710" max="8710" width="7.5703125" style="28" bestFit="1" customWidth="1"/>
    <col min="8711" max="8711" width="8.28515625" style="28" bestFit="1" customWidth="1"/>
    <col min="8712" max="8712" width="5.140625" style="28" bestFit="1" customWidth="1"/>
    <col min="8713" max="8713" width="7.7109375" style="28" bestFit="1" customWidth="1"/>
    <col min="8714" max="8714" width="9" style="28" bestFit="1" customWidth="1"/>
    <col min="8715" max="8715" width="14" style="28" bestFit="1" customWidth="1"/>
    <col min="8716" max="8960" width="9.140625" style="28"/>
    <col min="8961" max="8961" width="6" style="28" bestFit="1" customWidth="1"/>
    <col min="8962" max="8962" width="30.140625" style="28" bestFit="1" customWidth="1"/>
    <col min="8963" max="8963" width="8.28515625" style="28" bestFit="1" customWidth="1"/>
    <col min="8964" max="8964" width="7" style="28" bestFit="1" customWidth="1"/>
    <col min="8965" max="8965" width="7.28515625" style="28" bestFit="1" customWidth="1"/>
    <col min="8966" max="8966" width="7.5703125" style="28" bestFit="1" customWidth="1"/>
    <col min="8967" max="8967" width="8.28515625" style="28" bestFit="1" customWidth="1"/>
    <col min="8968" max="8968" width="5.140625" style="28" bestFit="1" customWidth="1"/>
    <col min="8969" max="8969" width="7.7109375" style="28" bestFit="1" customWidth="1"/>
    <col min="8970" max="8970" width="9" style="28" bestFit="1" customWidth="1"/>
    <col min="8971" max="8971" width="14" style="28" bestFit="1" customWidth="1"/>
    <col min="8972" max="9216" width="9.140625" style="28"/>
    <col min="9217" max="9217" width="6" style="28" bestFit="1" customWidth="1"/>
    <col min="9218" max="9218" width="30.140625" style="28" bestFit="1" customWidth="1"/>
    <col min="9219" max="9219" width="8.28515625" style="28" bestFit="1" customWidth="1"/>
    <col min="9220" max="9220" width="7" style="28" bestFit="1" customWidth="1"/>
    <col min="9221" max="9221" width="7.28515625" style="28" bestFit="1" customWidth="1"/>
    <col min="9222" max="9222" width="7.5703125" style="28" bestFit="1" customWidth="1"/>
    <col min="9223" max="9223" width="8.28515625" style="28" bestFit="1" customWidth="1"/>
    <col min="9224" max="9224" width="5.140625" style="28" bestFit="1" customWidth="1"/>
    <col min="9225" max="9225" width="7.7109375" style="28" bestFit="1" customWidth="1"/>
    <col min="9226" max="9226" width="9" style="28" bestFit="1" customWidth="1"/>
    <col min="9227" max="9227" width="14" style="28" bestFit="1" customWidth="1"/>
    <col min="9228" max="9472" width="9.140625" style="28"/>
    <col min="9473" max="9473" width="6" style="28" bestFit="1" customWidth="1"/>
    <col min="9474" max="9474" width="30.140625" style="28" bestFit="1" customWidth="1"/>
    <col min="9475" max="9475" width="8.28515625" style="28" bestFit="1" customWidth="1"/>
    <col min="9476" max="9476" width="7" style="28" bestFit="1" customWidth="1"/>
    <col min="9477" max="9477" width="7.28515625" style="28" bestFit="1" customWidth="1"/>
    <col min="9478" max="9478" width="7.5703125" style="28" bestFit="1" customWidth="1"/>
    <col min="9479" max="9479" width="8.28515625" style="28" bestFit="1" customWidth="1"/>
    <col min="9480" max="9480" width="5.140625" style="28" bestFit="1" customWidth="1"/>
    <col min="9481" max="9481" width="7.7109375" style="28" bestFit="1" customWidth="1"/>
    <col min="9482" max="9482" width="9" style="28" bestFit="1" customWidth="1"/>
    <col min="9483" max="9483" width="14" style="28" bestFit="1" customWidth="1"/>
    <col min="9484" max="9728" width="9.140625" style="28"/>
    <col min="9729" max="9729" width="6" style="28" bestFit="1" customWidth="1"/>
    <col min="9730" max="9730" width="30.140625" style="28" bestFit="1" customWidth="1"/>
    <col min="9731" max="9731" width="8.28515625" style="28" bestFit="1" customWidth="1"/>
    <col min="9732" max="9732" width="7" style="28" bestFit="1" customWidth="1"/>
    <col min="9733" max="9733" width="7.28515625" style="28" bestFit="1" customWidth="1"/>
    <col min="9734" max="9734" width="7.5703125" style="28" bestFit="1" customWidth="1"/>
    <col min="9735" max="9735" width="8.28515625" style="28" bestFit="1" customWidth="1"/>
    <col min="9736" max="9736" width="5.140625" style="28" bestFit="1" customWidth="1"/>
    <col min="9737" max="9737" width="7.7109375" style="28" bestFit="1" customWidth="1"/>
    <col min="9738" max="9738" width="9" style="28" bestFit="1" customWidth="1"/>
    <col min="9739" max="9739" width="14" style="28" bestFit="1" customWidth="1"/>
    <col min="9740" max="9984" width="9.140625" style="28"/>
    <col min="9985" max="9985" width="6" style="28" bestFit="1" customWidth="1"/>
    <col min="9986" max="9986" width="30.140625" style="28" bestFit="1" customWidth="1"/>
    <col min="9987" max="9987" width="8.28515625" style="28" bestFit="1" customWidth="1"/>
    <col min="9988" max="9988" width="7" style="28" bestFit="1" customWidth="1"/>
    <col min="9989" max="9989" width="7.28515625" style="28" bestFit="1" customWidth="1"/>
    <col min="9990" max="9990" width="7.5703125" style="28" bestFit="1" customWidth="1"/>
    <col min="9991" max="9991" width="8.28515625" style="28" bestFit="1" customWidth="1"/>
    <col min="9992" max="9992" width="5.140625" style="28" bestFit="1" customWidth="1"/>
    <col min="9993" max="9993" width="7.7109375" style="28" bestFit="1" customWidth="1"/>
    <col min="9994" max="9994" width="9" style="28" bestFit="1" customWidth="1"/>
    <col min="9995" max="9995" width="14" style="28" bestFit="1" customWidth="1"/>
    <col min="9996" max="10240" width="9.140625" style="28"/>
    <col min="10241" max="10241" width="6" style="28" bestFit="1" customWidth="1"/>
    <col min="10242" max="10242" width="30.140625" style="28" bestFit="1" customWidth="1"/>
    <col min="10243" max="10243" width="8.28515625" style="28" bestFit="1" customWidth="1"/>
    <col min="10244" max="10244" width="7" style="28" bestFit="1" customWidth="1"/>
    <col min="10245" max="10245" width="7.28515625" style="28" bestFit="1" customWidth="1"/>
    <col min="10246" max="10246" width="7.5703125" style="28" bestFit="1" customWidth="1"/>
    <col min="10247" max="10247" width="8.28515625" style="28" bestFit="1" customWidth="1"/>
    <col min="10248" max="10248" width="5.140625" style="28" bestFit="1" customWidth="1"/>
    <col min="10249" max="10249" width="7.7109375" style="28" bestFit="1" customWidth="1"/>
    <col min="10250" max="10250" width="9" style="28" bestFit="1" customWidth="1"/>
    <col min="10251" max="10251" width="14" style="28" bestFit="1" customWidth="1"/>
    <col min="10252" max="10496" width="9.140625" style="28"/>
    <col min="10497" max="10497" width="6" style="28" bestFit="1" customWidth="1"/>
    <col min="10498" max="10498" width="30.140625" style="28" bestFit="1" customWidth="1"/>
    <col min="10499" max="10499" width="8.28515625" style="28" bestFit="1" customWidth="1"/>
    <col min="10500" max="10500" width="7" style="28" bestFit="1" customWidth="1"/>
    <col min="10501" max="10501" width="7.28515625" style="28" bestFit="1" customWidth="1"/>
    <col min="10502" max="10502" width="7.5703125" style="28" bestFit="1" customWidth="1"/>
    <col min="10503" max="10503" width="8.28515625" style="28" bestFit="1" customWidth="1"/>
    <col min="10504" max="10504" width="5.140625" style="28" bestFit="1" customWidth="1"/>
    <col min="10505" max="10505" width="7.7109375" style="28" bestFit="1" customWidth="1"/>
    <col min="10506" max="10506" width="9" style="28" bestFit="1" customWidth="1"/>
    <col min="10507" max="10507" width="14" style="28" bestFit="1" customWidth="1"/>
    <col min="10508" max="10752" width="9.140625" style="28"/>
    <col min="10753" max="10753" width="6" style="28" bestFit="1" customWidth="1"/>
    <col min="10754" max="10754" width="30.140625" style="28" bestFit="1" customWidth="1"/>
    <col min="10755" max="10755" width="8.28515625" style="28" bestFit="1" customWidth="1"/>
    <col min="10756" max="10756" width="7" style="28" bestFit="1" customWidth="1"/>
    <col min="10757" max="10757" width="7.28515625" style="28" bestFit="1" customWidth="1"/>
    <col min="10758" max="10758" width="7.5703125" style="28" bestFit="1" customWidth="1"/>
    <col min="10759" max="10759" width="8.28515625" style="28" bestFit="1" customWidth="1"/>
    <col min="10760" max="10760" width="5.140625" style="28" bestFit="1" customWidth="1"/>
    <col min="10761" max="10761" width="7.7109375" style="28" bestFit="1" customWidth="1"/>
    <col min="10762" max="10762" width="9" style="28" bestFit="1" customWidth="1"/>
    <col min="10763" max="10763" width="14" style="28" bestFit="1" customWidth="1"/>
    <col min="10764" max="11008" width="9.140625" style="28"/>
    <col min="11009" max="11009" width="6" style="28" bestFit="1" customWidth="1"/>
    <col min="11010" max="11010" width="30.140625" style="28" bestFit="1" customWidth="1"/>
    <col min="11011" max="11011" width="8.28515625" style="28" bestFit="1" customWidth="1"/>
    <col min="11012" max="11012" width="7" style="28" bestFit="1" customWidth="1"/>
    <col min="11013" max="11013" width="7.28515625" style="28" bestFit="1" customWidth="1"/>
    <col min="11014" max="11014" width="7.5703125" style="28" bestFit="1" customWidth="1"/>
    <col min="11015" max="11015" width="8.28515625" style="28" bestFit="1" customWidth="1"/>
    <col min="11016" max="11016" width="5.140625" style="28" bestFit="1" customWidth="1"/>
    <col min="11017" max="11017" width="7.7109375" style="28" bestFit="1" customWidth="1"/>
    <col min="11018" max="11018" width="9" style="28" bestFit="1" customWidth="1"/>
    <col min="11019" max="11019" width="14" style="28" bestFit="1" customWidth="1"/>
    <col min="11020" max="11264" width="9.140625" style="28"/>
    <col min="11265" max="11265" width="6" style="28" bestFit="1" customWidth="1"/>
    <col min="11266" max="11266" width="30.140625" style="28" bestFit="1" customWidth="1"/>
    <col min="11267" max="11267" width="8.28515625" style="28" bestFit="1" customWidth="1"/>
    <col min="11268" max="11268" width="7" style="28" bestFit="1" customWidth="1"/>
    <col min="11269" max="11269" width="7.28515625" style="28" bestFit="1" customWidth="1"/>
    <col min="11270" max="11270" width="7.5703125" style="28" bestFit="1" customWidth="1"/>
    <col min="11271" max="11271" width="8.28515625" style="28" bestFit="1" customWidth="1"/>
    <col min="11272" max="11272" width="5.140625" style="28" bestFit="1" customWidth="1"/>
    <col min="11273" max="11273" width="7.7109375" style="28" bestFit="1" customWidth="1"/>
    <col min="11274" max="11274" width="9" style="28" bestFit="1" customWidth="1"/>
    <col min="11275" max="11275" width="14" style="28" bestFit="1" customWidth="1"/>
    <col min="11276" max="11520" width="9.140625" style="28"/>
    <col min="11521" max="11521" width="6" style="28" bestFit="1" customWidth="1"/>
    <col min="11522" max="11522" width="30.140625" style="28" bestFit="1" customWidth="1"/>
    <col min="11523" max="11523" width="8.28515625" style="28" bestFit="1" customWidth="1"/>
    <col min="11524" max="11524" width="7" style="28" bestFit="1" customWidth="1"/>
    <col min="11525" max="11525" width="7.28515625" style="28" bestFit="1" customWidth="1"/>
    <col min="11526" max="11526" width="7.5703125" style="28" bestFit="1" customWidth="1"/>
    <col min="11527" max="11527" width="8.28515625" style="28" bestFit="1" customWidth="1"/>
    <col min="11528" max="11528" width="5.140625" style="28" bestFit="1" customWidth="1"/>
    <col min="11529" max="11529" width="7.7109375" style="28" bestFit="1" customWidth="1"/>
    <col min="11530" max="11530" width="9" style="28" bestFit="1" customWidth="1"/>
    <col min="11531" max="11531" width="14" style="28" bestFit="1" customWidth="1"/>
    <col min="11532" max="11776" width="9.140625" style="28"/>
    <col min="11777" max="11777" width="6" style="28" bestFit="1" customWidth="1"/>
    <col min="11778" max="11778" width="30.140625" style="28" bestFit="1" customWidth="1"/>
    <col min="11779" max="11779" width="8.28515625" style="28" bestFit="1" customWidth="1"/>
    <col min="11780" max="11780" width="7" style="28" bestFit="1" customWidth="1"/>
    <col min="11781" max="11781" width="7.28515625" style="28" bestFit="1" customWidth="1"/>
    <col min="11782" max="11782" width="7.5703125" style="28" bestFit="1" customWidth="1"/>
    <col min="11783" max="11783" width="8.28515625" style="28" bestFit="1" customWidth="1"/>
    <col min="11784" max="11784" width="5.140625" style="28" bestFit="1" customWidth="1"/>
    <col min="11785" max="11785" width="7.7109375" style="28" bestFit="1" customWidth="1"/>
    <col min="11786" max="11786" width="9" style="28" bestFit="1" customWidth="1"/>
    <col min="11787" max="11787" width="14" style="28" bestFit="1" customWidth="1"/>
    <col min="11788" max="12032" width="9.140625" style="28"/>
    <col min="12033" max="12033" width="6" style="28" bestFit="1" customWidth="1"/>
    <col min="12034" max="12034" width="30.140625" style="28" bestFit="1" customWidth="1"/>
    <col min="12035" max="12035" width="8.28515625" style="28" bestFit="1" customWidth="1"/>
    <col min="12036" max="12036" width="7" style="28" bestFit="1" customWidth="1"/>
    <col min="12037" max="12037" width="7.28515625" style="28" bestFit="1" customWidth="1"/>
    <col min="12038" max="12038" width="7.5703125" style="28" bestFit="1" customWidth="1"/>
    <col min="12039" max="12039" width="8.28515625" style="28" bestFit="1" customWidth="1"/>
    <col min="12040" max="12040" width="5.140625" style="28" bestFit="1" customWidth="1"/>
    <col min="12041" max="12041" width="7.7109375" style="28" bestFit="1" customWidth="1"/>
    <col min="12042" max="12042" width="9" style="28" bestFit="1" customWidth="1"/>
    <col min="12043" max="12043" width="14" style="28" bestFit="1" customWidth="1"/>
    <col min="12044" max="12288" width="9.140625" style="28"/>
    <col min="12289" max="12289" width="6" style="28" bestFit="1" customWidth="1"/>
    <col min="12290" max="12290" width="30.140625" style="28" bestFit="1" customWidth="1"/>
    <col min="12291" max="12291" width="8.28515625" style="28" bestFit="1" customWidth="1"/>
    <col min="12292" max="12292" width="7" style="28" bestFit="1" customWidth="1"/>
    <col min="12293" max="12293" width="7.28515625" style="28" bestFit="1" customWidth="1"/>
    <col min="12294" max="12294" width="7.5703125" style="28" bestFit="1" customWidth="1"/>
    <col min="12295" max="12295" width="8.28515625" style="28" bestFit="1" customWidth="1"/>
    <col min="12296" max="12296" width="5.140625" style="28" bestFit="1" customWidth="1"/>
    <col min="12297" max="12297" width="7.7109375" style="28" bestFit="1" customWidth="1"/>
    <col min="12298" max="12298" width="9" style="28" bestFit="1" customWidth="1"/>
    <col min="12299" max="12299" width="14" style="28" bestFit="1" customWidth="1"/>
    <col min="12300" max="12544" width="9.140625" style="28"/>
    <col min="12545" max="12545" width="6" style="28" bestFit="1" customWidth="1"/>
    <col min="12546" max="12546" width="30.140625" style="28" bestFit="1" customWidth="1"/>
    <col min="12547" max="12547" width="8.28515625" style="28" bestFit="1" customWidth="1"/>
    <col min="12548" max="12548" width="7" style="28" bestFit="1" customWidth="1"/>
    <col min="12549" max="12549" width="7.28515625" style="28" bestFit="1" customWidth="1"/>
    <col min="12550" max="12550" width="7.5703125" style="28" bestFit="1" customWidth="1"/>
    <col min="12551" max="12551" width="8.28515625" style="28" bestFit="1" customWidth="1"/>
    <col min="12552" max="12552" width="5.140625" style="28" bestFit="1" customWidth="1"/>
    <col min="12553" max="12553" width="7.7109375" style="28" bestFit="1" customWidth="1"/>
    <col min="12554" max="12554" width="9" style="28" bestFit="1" customWidth="1"/>
    <col min="12555" max="12555" width="14" style="28" bestFit="1" customWidth="1"/>
    <col min="12556" max="12800" width="9.140625" style="28"/>
    <col min="12801" max="12801" width="6" style="28" bestFit="1" customWidth="1"/>
    <col min="12802" max="12802" width="30.140625" style="28" bestFit="1" customWidth="1"/>
    <col min="12803" max="12803" width="8.28515625" style="28" bestFit="1" customWidth="1"/>
    <col min="12804" max="12804" width="7" style="28" bestFit="1" customWidth="1"/>
    <col min="12805" max="12805" width="7.28515625" style="28" bestFit="1" customWidth="1"/>
    <col min="12806" max="12806" width="7.5703125" style="28" bestFit="1" customWidth="1"/>
    <col min="12807" max="12807" width="8.28515625" style="28" bestFit="1" customWidth="1"/>
    <col min="12808" max="12808" width="5.140625" style="28" bestFit="1" customWidth="1"/>
    <col min="12809" max="12809" width="7.7109375" style="28" bestFit="1" customWidth="1"/>
    <col min="12810" max="12810" width="9" style="28" bestFit="1" customWidth="1"/>
    <col min="12811" max="12811" width="14" style="28" bestFit="1" customWidth="1"/>
    <col min="12812" max="13056" width="9.140625" style="28"/>
    <col min="13057" max="13057" width="6" style="28" bestFit="1" customWidth="1"/>
    <col min="13058" max="13058" width="30.140625" style="28" bestFit="1" customWidth="1"/>
    <col min="13059" max="13059" width="8.28515625" style="28" bestFit="1" customWidth="1"/>
    <col min="13060" max="13060" width="7" style="28" bestFit="1" customWidth="1"/>
    <col min="13061" max="13061" width="7.28515625" style="28" bestFit="1" customWidth="1"/>
    <col min="13062" max="13062" width="7.5703125" style="28" bestFit="1" customWidth="1"/>
    <col min="13063" max="13063" width="8.28515625" style="28" bestFit="1" customWidth="1"/>
    <col min="13064" max="13064" width="5.140625" style="28" bestFit="1" customWidth="1"/>
    <col min="13065" max="13065" width="7.7109375" style="28" bestFit="1" customWidth="1"/>
    <col min="13066" max="13066" width="9" style="28" bestFit="1" customWidth="1"/>
    <col min="13067" max="13067" width="14" style="28" bestFit="1" customWidth="1"/>
    <col min="13068" max="13312" width="9.140625" style="28"/>
    <col min="13313" max="13313" width="6" style="28" bestFit="1" customWidth="1"/>
    <col min="13314" max="13314" width="30.140625" style="28" bestFit="1" customWidth="1"/>
    <col min="13315" max="13315" width="8.28515625" style="28" bestFit="1" customWidth="1"/>
    <col min="13316" max="13316" width="7" style="28" bestFit="1" customWidth="1"/>
    <col min="13317" max="13317" width="7.28515625" style="28" bestFit="1" customWidth="1"/>
    <col min="13318" max="13318" width="7.5703125" style="28" bestFit="1" customWidth="1"/>
    <col min="13319" max="13319" width="8.28515625" style="28" bestFit="1" customWidth="1"/>
    <col min="13320" max="13320" width="5.140625" style="28" bestFit="1" customWidth="1"/>
    <col min="13321" max="13321" width="7.7109375" style="28" bestFit="1" customWidth="1"/>
    <col min="13322" max="13322" width="9" style="28" bestFit="1" customWidth="1"/>
    <col min="13323" max="13323" width="14" style="28" bestFit="1" customWidth="1"/>
    <col min="13324" max="13568" width="9.140625" style="28"/>
    <col min="13569" max="13569" width="6" style="28" bestFit="1" customWidth="1"/>
    <col min="13570" max="13570" width="30.140625" style="28" bestFit="1" customWidth="1"/>
    <col min="13571" max="13571" width="8.28515625" style="28" bestFit="1" customWidth="1"/>
    <col min="13572" max="13572" width="7" style="28" bestFit="1" customWidth="1"/>
    <col min="13573" max="13573" width="7.28515625" style="28" bestFit="1" customWidth="1"/>
    <col min="13574" max="13574" width="7.5703125" style="28" bestFit="1" customWidth="1"/>
    <col min="13575" max="13575" width="8.28515625" style="28" bestFit="1" customWidth="1"/>
    <col min="13576" max="13576" width="5.140625" style="28" bestFit="1" customWidth="1"/>
    <col min="13577" max="13577" width="7.7109375" style="28" bestFit="1" customWidth="1"/>
    <col min="13578" max="13578" width="9" style="28" bestFit="1" customWidth="1"/>
    <col min="13579" max="13579" width="14" style="28" bestFit="1" customWidth="1"/>
    <col min="13580" max="13824" width="9.140625" style="28"/>
    <col min="13825" max="13825" width="6" style="28" bestFit="1" customWidth="1"/>
    <col min="13826" max="13826" width="30.140625" style="28" bestFit="1" customWidth="1"/>
    <col min="13827" max="13827" width="8.28515625" style="28" bestFit="1" customWidth="1"/>
    <col min="13828" max="13828" width="7" style="28" bestFit="1" customWidth="1"/>
    <col min="13829" max="13829" width="7.28515625" style="28" bestFit="1" customWidth="1"/>
    <col min="13830" max="13830" width="7.5703125" style="28" bestFit="1" customWidth="1"/>
    <col min="13831" max="13831" width="8.28515625" style="28" bestFit="1" customWidth="1"/>
    <col min="13832" max="13832" width="5.140625" style="28" bestFit="1" customWidth="1"/>
    <col min="13833" max="13833" width="7.7109375" style="28" bestFit="1" customWidth="1"/>
    <col min="13834" max="13834" width="9" style="28" bestFit="1" customWidth="1"/>
    <col min="13835" max="13835" width="14" style="28" bestFit="1" customWidth="1"/>
    <col min="13836" max="14080" width="9.140625" style="28"/>
    <col min="14081" max="14081" width="6" style="28" bestFit="1" customWidth="1"/>
    <col min="14082" max="14082" width="30.140625" style="28" bestFit="1" customWidth="1"/>
    <col min="14083" max="14083" width="8.28515625" style="28" bestFit="1" customWidth="1"/>
    <col min="14084" max="14084" width="7" style="28" bestFit="1" customWidth="1"/>
    <col min="14085" max="14085" width="7.28515625" style="28" bestFit="1" customWidth="1"/>
    <col min="14086" max="14086" width="7.5703125" style="28" bestFit="1" customWidth="1"/>
    <col min="14087" max="14087" width="8.28515625" style="28" bestFit="1" customWidth="1"/>
    <col min="14088" max="14088" width="5.140625" style="28" bestFit="1" customWidth="1"/>
    <col min="14089" max="14089" width="7.7109375" style="28" bestFit="1" customWidth="1"/>
    <col min="14090" max="14090" width="9" style="28" bestFit="1" customWidth="1"/>
    <col min="14091" max="14091" width="14" style="28" bestFit="1" customWidth="1"/>
    <col min="14092" max="14336" width="9.140625" style="28"/>
    <col min="14337" max="14337" width="6" style="28" bestFit="1" customWidth="1"/>
    <col min="14338" max="14338" width="30.140625" style="28" bestFit="1" customWidth="1"/>
    <col min="14339" max="14339" width="8.28515625" style="28" bestFit="1" customWidth="1"/>
    <col min="14340" max="14340" width="7" style="28" bestFit="1" customWidth="1"/>
    <col min="14341" max="14341" width="7.28515625" style="28" bestFit="1" customWidth="1"/>
    <col min="14342" max="14342" width="7.5703125" style="28" bestFit="1" customWidth="1"/>
    <col min="14343" max="14343" width="8.28515625" style="28" bestFit="1" customWidth="1"/>
    <col min="14344" max="14344" width="5.140625" style="28" bestFit="1" customWidth="1"/>
    <col min="14345" max="14345" width="7.7109375" style="28" bestFit="1" customWidth="1"/>
    <col min="14346" max="14346" width="9" style="28" bestFit="1" customWidth="1"/>
    <col min="14347" max="14347" width="14" style="28" bestFit="1" customWidth="1"/>
    <col min="14348" max="14592" width="9.140625" style="28"/>
    <col min="14593" max="14593" width="6" style="28" bestFit="1" customWidth="1"/>
    <col min="14594" max="14594" width="30.140625" style="28" bestFit="1" customWidth="1"/>
    <col min="14595" max="14595" width="8.28515625" style="28" bestFit="1" customWidth="1"/>
    <col min="14596" max="14596" width="7" style="28" bestFit="1" customWidth="1"/>
    <col min="14597" max="14597" width="7.28515625" style="28" bestFit="1" customWidth="1"/>
    <col min="14598" max="14598" width="7.5703125" style="28" bestFit="1" customWidth="1"/>
    <col min="14599" max="14599" width="8.28515625" style="28" bestFit="1" customWidth="1"/>
    <col min="14600" max="14600" width="5.140625" style="28" bestFit="1" customWidth="1"/>
    <col min="14601" max="14601" width="7.7109375" style="28" bestFit="1" customWidth="1"/>
    <col min="14602" max="14602" width="9" style="28" bestFit="1" customWidth="1"/>
    <col min="14603" max="14603" width="14" style="28" bestFit="1" customWidth="1"/>
    <col min="14604" max="14848" width="9.140625" style="28"/>
    <col min="14849" max="14849" width="6" style="28" bestFit="1" customWidth="1"/>
    <col min="14850" max="14850" width="30.140625" style="28" bestFit="1" customWidth="1"/>
    <col min="14851" max="14851" width="8.28515625" style="28" bestFit="1" customWidth="1"/>
    <col min="14852" max="14852" width="7" style="28" bestFit="1" customWidth="1"/>
    <col min="14853" max="14853" width="7.28515625" style="28" bestFit="1" customWidth="1"/>
    <col min="14854" max="14854" width="7.5703125" style="28" bestFit="1" customWidth="1"/>
    <col min="14855" max="14855" width="8.28515625" style="28" bestFit="1" customWidth="1"/>
    <col min="14856" max="14856" width="5.140625" style="28" bestFit="1" customWidth="1"/>
    <col min="14857" max="14857" width="7.7109375" style="28" bestFit="1" customWidth="1"/>
    <col min="14858" max="14858" width="9" style="28" bestFit="1" customWidth="1"/>
    <col min="14859" max="14859" width="14" style="28" bestFit="1" customWidth="1"/>
    <col min="14860" max="15104" width="9.140625" style="28"/>
    <col min="15105" max="15105" width="6" style="28" bestFit="1" customWidth="1"/>
    <col min="15106" max="15106" width="30.140625" style="28" bestFit="1" customWidth="1"/>
    <col min="15107" max="15107" width="8.28515625" style="28" bestFit="1" customWidth="1"/>
    <col min="15108" max="15108" width="7" style="28" bestFit="1" customWidth="1"/>
    <col min="15109" max="15109" width="7.28515625" style="28" bestFit="1" customWidth="1"/>
    <col min="15110" max="15110" width="7.5703125" style="28" bestFit="1" customWidth="1"/>
    <col min="15111" max="15111" width="8.28515625" style="28" bestFit="1" customWidth="1"/>
    <col min="15112" max="15112" width="5.140625" style="28" bestFit="1" customWidth="1"/>
    <col min="15113" max="15113" width="7.7109375" style="28" bestFit="1" customWidth="1"/>
    <col min="15114" max="15114" width="9" style="28" bestFit="1" customWidth="1"/>
    <col min="15115" max="15115" width="14" style="28" bestFit="1" customWidth="1"/>
    <col min="15116" max="15360" width="9.140625" style="28"/>
    <col min="15361" max="15361" width="6" style="28" bestFit="1" customWidth="1"/>
    <col min="15362" max="15362" width="30.140625" style="28" bestFit="1" customWidth="1"/>
    <col min="15363" max="15363" width="8.28515625" style="28" bestFit="1" customWidth="1"/>
    <col min="15364" max="15364" width="7" style="28" bestFit="1" customWidth="1"/>
    <col min="15365" max="15365" width="7.28515625" style="28" bestFit="1" customWidth="1"/>
    <col min="15366" max="15366" width="7.5703125" style="28" bestFit="1" customWidth="1"/>
    <col min="15367" max="15367" width="8.28515625" style="28" bestFit="1" customWidth="1"/>
    <col min="15368" max="15368" width="5.140625" style="28" bestFit="1" customWidth="1"/>
    <col min="15369" max="15369" width="7.7109375" style="28" bestFit="1" customWidth="1"/>
    <col min="15370" max="15370" width="9" style="28" bestFit="1" customWidth="1"/>
    <col min="15371" max="15371" width="14" style="28" bestFit="1" customWidth="1"/>
    <col min="15372" max="15616" width="9.140625" style="28"/>
    <col min="15617" max="15617" width="6" style="28" bestFit="1" customWidth="1"/>
    <col min="15618" max="15618" width="30.140625" style="28" bestFit="1" customWidth="1"/>
    <col min="15619" max="15619" width="8.28515625" style="28" bestFit="1" customWidth="1"/>
    <col min="15620" max="15620" width="7" style="28" bestFit="1" customWidth="1"/>
    <col min="15621" max="15621" width="7.28515625" style="28" bestFit="1" customWidth="1"/>
    <col min="15622" max="15622" width="7.5703125" style="28" bestFit="1" customWidth="1"/>
    <col min="15623" max="15623" width="8.28515625" style="28" bestFit="1" customWidth="1"/>
    <col min="15624" max="15624" width="5.140625" style="28" bestFit="1" customWidth="1"/>
    <col min="15625" max="15625" width="7.7109375" style="28" bestFit="1" customWidth="1"/>
    <col min="15626" max="15626" width="9" style="28" bestFit="1" customWidth="1"/>
    <col min="15627" max="15627" width="14" style="28" bestFit="1" customWidth="1"/>
    <col min="15628" max="15872" width="9.140625" style="28"/>
    <col min="15873" max="15873" width="6" style="28" bestFit="1" customWidth="1"/>
    <col min="15874" max="15874" width="30.140625" style="28" bestFit="1" customWidth="1"/>
    <col min="15875" max="15875" width="8.28515625" style="28" bestFit="1" customWidth="1"/>
    <col min="15876" max="15876" width="7" style="28" bestFit="1" customWidth="1"/>
    <col min="15877" max="15877" width="7.28515625" style="28" bestFit="1" customWidth="1"/>
    <col min="15878" max="15878" width="7.5703125" style="28" bestFit="1" customWidth="1"/>
    <col min="15879" max="15879" width="8.28515625" style="28" bestFit="1" customWidth="1"/>
    <col min="15880" max="15880" width="5.140625" style="28" bestFit="1" customWidth="1"/>
    <col min="15881" max="15881" width="7.7109375" style="28" bestFit="1" customWidth="1"/>
    <col min="15882" max="15882" width="9" style="28" bestFit="1" customWidth="1"/>
    <col min="15883" max="15883" width="14" style="28" bestFit="1" customWidth="1"/>
    <col min="15884" max="16128" width="9.140625" style="28"/>
    <col min="16129" max="16129" width="6" style="28" bestFit="1" customWidth="1"/>
    <col min="16130" max="16130" width="30.140625" style="28" bestFit="1" customWidth="1"/>
    <col min="16131" max="16131" width="8.28515625" style="28" bestFit="1" customWidth="1"/>
    <col min="16132" max="16132" width="7" style="28" bestFit="1" customWidth="1"/>
    <col min="16133" max="16133" width="7.28515625" style="28" bestFit="1" customWidth="1"/>
    <col min="16134" max="16134" width="7.5703125" style="28" bestFit="1" customWidth="1"/>
    <col min="16135" max="16135" width="8.28515625" style="28" bestFit="1" customWidth="1"/>
    <col min="16136" max="16136" width="5.140625" style="28" bestFit="1" customWidth="1"/>
    <col min="16137" max="16137" width="7.7109375" style="28" bestFit="1" customWidth="1"/>
    <col min="16138" max="16138" width="9" style="28" bestFit="1" customWidth="1"/>
    <col min="16139" max="16139" width="14" style="28" bestFit="1" customWidth="1"/>
    <col min="16140" max="16384" width="9.140625" style="28"/>
  </cols>
  <sheetData>
    <row r="1" spans="1:16" s="22" customFormat="1" ht="28.5" x14ac:dyDescent="0.45">
      <c r="A1" s="345" t="s">
        <v>375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6" s="22" customFormat="1" ht="15" x14ac:dyDescent="0.25">
      <c r="A2" s="23" t="s">
        <v>6</v>
      </c>
      <c r="B2" s="133" t="s">
        <v>0</v>
      </c>
      <c r="C2" s="133" t="s">
        <v>9</v>
      </c>
      <c r="D2" s="133" t="s">
        <v>113</v>
      </c>
      <c r="E2" s="133" t="s">
        <v>110</v>
      </c>
      <c r="F2" s="133" t="s">
        <v>111</v>
      </c>
      <c r="G2" s="133" t="s">
        <v>112</v>
      </c>
      <c r="H2" s="72" t="s">
        <v>1</v>
      </c>
      <c r="I2" s="132" t="s">
        <v>3</v>
      </c>
      <c r="J2" s="93" t="s">
        <v>10</v>
      </c>
      <c r="K2" s="133" t="s">
        <v>107</v>
      </c>
    </row>
    <row r="3" spans="1:16" s="22" customFormat="1" ht="15" x14ac:dyDescent="0.25">
      <c r="A3" s="23" t="s">
        <v>11</v>
      </c>
      <c r="B3" s="133" t="s">
        <v>92</v>
      </c>
      <c r="C3" s="133"/>
      <c r="D3" s="133"/>
      <c r="E3" s="133"/>
      <c r="F3" s="133"/>
      <c r="G3" s="133"/>
      <c r="H3" s="73"/>
      <c r="I3" s="132"/>
      <c r="J3" s="93"/>
      <c r="K3" s="133"/>
    </row>
    <row r="4" spans="1:16" ht="15" x14ac:dyDescent="0.25">
      <c r="A4" s="25">
        <v>1</v>
      </c>
      <c r="B4" s="26" t="s">
        <v>93</v>
      </c>
      <c r="C4" s="27"/>
      <c r="D4" s="27"/>
      <c r="E4" s="27"/>
      <c r="F4" s="27"/>
      <c r="G4" s="27"/>
      <c r="H4" s="73"/>
      <c r="I4" s="94"/>
      <c r="J4" s="95"/>
      <c r="K4" s="133"/>
    </row>
    <row r="5" spans="1:16" ht="15" x14ac:dyDescent="0.25">
      <c r="A5" s="23"/>
      <c r="B5" s="133" t="s">
        <v>27</v>
      </c>
      <c r="C5" s="27"/>
      <c r="D5" s="27"/>
      <c r="E5" s="27"/>
      <c r="F5" s="27"/>
      <c r="G5" s="27"/>
      <c r="H5" s="73"/>
      <c r="I5" s="94"/>
      <c r="J5" s="95"/>
      <c r="K5" s="133"/>
    </row>
    <row r="6" spans="1:16" ht="15" x14ac:dyDescent="0.25">
      <c r="A6" s="23"/>
      <c r="B6" s="29" t="s">
        <v>28</v>
      </c>
      <c r="C6" s="30"/>
      <c r="D6" s="21"/>
      <c r="E6" s="21"/>
      <c r="F6" s="27"/>
      <c r="G6" s="27"/>
      <c r="H6" s="73"/>
      <c r="I6" s="94"/>
      <c r="J6" s="95"/>
      <c r="K6" s="133"/>
      <c r="L6" s="27"/>
      <c r="M6" s="31" t="s">
        <v>109</v>
      </c>
      <c r="N6" s="32"/>
      <c r="O6" s="32"/>
      <c r="P6" s="33"/>
    </row>
    <row r="7" spans="1:16" ht="15" x14ac:dyDescent="0.25">
      <c r="A7" s="23"/>
      <c r="B7" s="34" t="s">
        <v>29</v>
      </c>
      <c r="C7" s="27">
        <v>0</v>
      </c>
      <c r="D7" s="27"/>
      <c r="E7" s="27"/>
      <c r="F7" s="27"/>
      <c r="G7" s="27">
        <f>C7</f>
        <v>0</v>
      </c>
      <c r="H7" s="74" t="s">
        <v>4</v>
      </c>
      <c r="I7" s="21">
        <v>152851.71</v>
      </c>
      <c r="J7" s="67">
        <f>G7*I7</f>
        <v>0</v>
      </c>
      <c r="K7" s="133"/>
      <c r="L7" s="27"/>
      <c r="M7" s="35" t="s">
        <v>68</v>
      </c>
      <c r="N7" s="27">
        <v>302</v>
      </c>
      <c r="O7" s="27">
        <v>301</v>
      </c>
      <c r="P7" s="27" t="s">
        <v>37</v>
      </c>
    </row>
    <row r="8" spans="1:16" ht="15" x14ac:dyDescent="0.25">
      <c r="A8" s="23"/>
      <c r="B8" s="34" t="s">
        <v>30</v>
      </c>
      <c r="C8" s="27">
        <f>P8</f>
        <v>136</v>
      </c>
      <c r="D8" s="27">
        <v>18</v>
      </c>
      <c r="E8" s="27"/>
      <c r="F8" s="27"/>
      <c r="G8" s="27">
        <f>C8*D8</f>
        <v>2448</v>
      </c>
      <c r="H8" s="74" t="s">
        <v>39</v>
      </c>
      <c r="I8" s="21">
        <v>1513.23</v>
      </c>
      <c r="J8" s="67">
        <f t="shared" ref="J8:J10" si="0">G8*I8</f>
        <v>3704387.04</v>
      </c>
      <c r="K8" s="133"/>
      <c r="L8" s="133" t="s">
        <v>46</v>
      </c>
      <c r="M8" s="36">
        <v>136</v>
      </c>
      <c r="N8" s="133">
        <v>20</v>
      </c>
      <c r="O8" s="133">
        <v>15</v>
      </c>
      <c r="P8" s="133">
        <f>M8</f>
        <v>136</v>
      </c>
    </row>
    <row r="9" spans="1:16" ht="15" x14ac:dyDescent="0.25">
      <c r="A9" s="23"/>
      <c r="B9" s="34" t="s">
        <v>31</v>
      </c>
      <c r="C9" s="27">
        <f>C8</f>
        <v>136</v>
      </c>
      <c r="D9" s="27"/>
      <c r="E9" s="27"/>
      <c r="F9" s="27"/>
      <c r="G9" s="27">
        <f>C9</f>
        <v>136</v>
      </c>
      <c r="H9" s="74" t="s">
        <v>94</v>
      </c>
      <c r="I9" s="21">
        <v>397.41</v>
      </c>
      <c r="J9" s="67">
        <f t="shared" si="0"/>
        <v>54047.76</v>
      </c>
      <c r="K9" s="133"/>
      <c r="L9" s="133"/>
      <c r="M9" s="36"/>
      <c r="N9" s="133"/>
      <c r="O9" s="133"/>
      <c r="P9" s="133"/>
    </row>
    <row r="10" spans="1:16" ht="15" x14ac:dyDescent="0.25">
      <c r="A10" s="23"/>
      <c r="B10" s="37" t="s">
        <v>32</v>
      </c>
      <c r="C10" s="27">
        <f>C9</f>
        <v>136</v>
      </c>
      <c r="D10" s="27"/>
      <c r="E10" s="27"/>
      <c r="F10" s="27"/>
      <c r="G10" s="27">
        <f>C10</f>
        <v>136</v>
      </c>
      <c r="H10" s="74" t="s">
        <v>94</v>
      </c>
      <c r="I10" s="21">
        <v>458.56</v>
      </c>
      <c r="J10" s="67">
        <f t="shared" si="0"/>
        <v>62364.160000000003</v>
      </c>
      <c r="K10" s="133"/>
      <c r="L10" s="133"/>
      <c r="M10" s="36" t="s">
        <v>7</v>
      </c>
      <c r="N10" s="133" t="s">
        <v>8</v>
      </c>
      <c r="O10" s="133" t="s">
        <v>15</v>
      </c>
      <c r="P10" s="133" t="s">
        <v>38</v>
      </c>
    </row>
    <row r="11" spans="1:16" x14ac:dyDescent="0.25">
      <c r="A11" s="38"/>
      <c r="B11" s="133" t="s">
        <v>108</v>
      </c>
      <c r="C11" s="27">
        <f>P11</f>
        <v>136</v>
      </c>
      <c r="D11" s="27">
        <f>M11+0.6</f>
        <v>1.4</v>
      </c>
      <c r="E11" s="27">
        <f>N11+0.6</f>
        <v>1.4</v>
      </c>
      <c r="F11" s="27">
        <f>O11+0.05+0.05+0.7+0.23</f>
        <v>1.23</v>
      </c>
      <c r="G11" s="27">
        <f t="shared" ref="G11:G18" si="1">F11*E11*D11*C11</f>
        <v>327.86879999999996</v>
      </c>
      <c r="H11" s="73"/>
      <c r="I11" s="94"/>
      <c r="J11" s="95"/>
      <c r="K11" s="133"/>
      <c r="L11" s="133" t="s">
        <v>33</v>
      </c>
      <c r="M11" s="36">
        <v>0.8</v>
      </c>
      <c r="N11" s="133">
        <v>0.8</v>
      </c>
      <c r="O11" s="133">
        <v>0.2</v>
      </c>
      <c r="P11" s="133">
        <v>136</v>
      </c>
    </row>
    <row r="12" spans="1:16" ht="15" x14ac:dyDescent="0.25">
      <c r="A12" s="38"/>
      <c r="B12" s="27"/>
      <c r="C12" s="27"/>
      <c r="D12" s="27"/>
      <c r="E12" s="27"/>
      <c r="F12" s="133" t="s">
        <v>37</v>
      </c>
      <c r="G12" s="133">
        <f>SUM(G11:G11)</f>
        <v>327.86879999999996</v>
      </c>
      <c r="H12" s="73" t="s">
        <v>51</v>
      </c>
      <c r="I12" s="94">
        <v>315.89</v>
      </c>
      <c r="J12" s="95">
        <f>G12*I12</f>
        <v>103570.47523199998</v>
      </c>
      <c r="K12" s="133"/>
      <c r="L12" s="133"/>
      <c r="M12" s="36"/>
      <c r="N12" s="133"/>
      <c r="O12" s="133"/>
      <c r="P12" s="133"/>
    </row>
    <row r="13" spans="1:16" x14ac:dyDescent="0.25">
      <c r="A13" s="38"/>
      <c r="B13" s="27" t="s">
        <v>13</v>
      </c>
      <c r="C13" s="27">
        <f>P11</f>
        <v>136</v>
      </c>
      <c r="D13" s="27">
        <f>M11+0.3</f>
        <v>1.1000000000000001</v>
      </c>
      <c r="E13" s="27">
        <f>N11+0.3</f>
        <v>1.1000000000000001</v>
      </c>
      <c r="F13" s="27">
        <v>0.23</v>
      </c>
      <c r="G13" s="27">
        <f t="shared" si="1"/>
        <v>37.848800000000011</v>
      </c>
      <c r="H13" s="73"/>
      <c r="I13" s="94"/>
      <c r="J13" s="95"/>
      <c r="K13" s="133"/>
      <c r="L13" s="133"/>
      <c r="M13" s="36"/>
      <c r="N13" s="133"/>
      <c r="O13" s="133"/>
      <c r="P13" s="133"/>
    </row>
    <row r="14" spans="1:16" ht="15" x14ac:dyDescent="0.25">
      <c r="A14" s="38"/>
      <c r="B14" s="27"/>
      <c r="C14" s="27"/>
      <c r="D14" s="27"/>
      <c r="E14" s="27"/>
      <c r="F14" s="133" t="s">
        <v>37</v>
      </c>
      <c r="G14" s="133">
        <f>SUM(G13:G13)</f>
        <v>37.848800000000011</v>
      </c>
      <c r="H14" s="73" t="s">
        <v>51</v>
      </c>
      <c r="I14" s="94">
        <v>950</v>
      </c>
      <c r="J14" s="95">
        <f t="shared" ref="J14:J17" si="2">G14*I14</f>
        <v>35956.360000000008</v>
      </c>
      <c r="K14" s="133"/>
      <c r="L14" s="133"/>
      <c r="M14" s="36"/>
      <c r="N14" s="133"/>
      <c r="O14" s="133"/>
      <c r="P14" s="133"/>
    </row>
    <row r="15" spans="1:16" ht="15" x14ac:dyDescent="0.25">
      <c r="A15" s="38"/>
      <c r="B15" s="27" t="s">
        <v>14</v>
      </c>
      <c r="C15" s="27">
        <f>P11</f>
        <v>136</v>
      </c>
      <c r="D15" s="27">
        <f>M11+0.2</f>
        <v>1</v>
      </c>
      <c r="E15" s="27">
        <f>N11+0.2</f>
        <v>1</v>
      </c>
      <c r="F15" s="27">
        <v>0.05</v>
      </c>
      <c r="G15" s="27">
        <f t="shared" si="1"/>
        <v>6.8000000000000007</v>
      </c>
      <c r="H15" s="73"/>
      <c r="I15" s="94"/>
      <c r="J15" s="95"/>
      <c r="K15" s="133"/>
      <c r="L15" s="133"/>
      <c r="M15" s="36"/>
      <c r="N15" s="133"/>
      <c r="O15" s="133"/>
      <c r="P15" s="133"/>
    </row>
    <row r="16" spans="1:16" x14ac:dyDescent="0.25">
      <c r="A16" s="38"/>
      <c r="B16" s="27"/>
      <c r="C16" s="27"/>
      <c r="D16" s="27"/>
      <c r="E16" s="27"/>
      <c r="F16" s="133" t="s">
        <v>37</v>
      </c>
      <c r="G16" s="133">
        <f>SUM(G15:G15)</f>
        <v>6.8000000000000007</v>
      </c>
      <c r="H16" s="73" t="s">
        <v>51</v>
      </c>
      <c r="I16" s="94">
        <v>3535.97</v>
      </c>
      <c r="J16" s="95">
        <f t="shared" si="2"/>
        <v>24044.596000000001</v>
      </c>
      <c r="K16" s="133"/>
      <c r="L16" s="133"/>
      <c r="M16" s="36"/>
      <c r="N16" s="133"/>
      <c r="O16" s="133"/>
      <c r="P16" s="133"/>
    </row>
    <row r="17" spans="1:16" x14ac:dyDescent="0.25">
      <c r="A17" s="38"/>
      <c r="B17" s="27" t="s">
        <v>34</v>
      </c>
      <c r="C17" s="27">
        <f>P11</f>
        <v>136</v>
      </c>
      <c r="D17" s="27">
        <f>M11+0.2</f>
        <v>1</v>
      </c>
      <c r="E17" s="27">
        <f>N11+0.2</f>
        <v>1</v>
      </c>
      <c r="F17" s="27">
        <v>0.05</v>
      </c>
      <c r="G17" s="133">
        <f t="shared" si="1"/>
        <v>6.8000000000000007</v>
      </c>
      <c r="H17" s="73" t="s">
        <v>51</v>
      </c>
      <c r="I17" s="94">
        <v>927.3</v>
      </c>
      <c r="J17" s="95">
        <f t="shared" si="2"/>
        <v>6305.64</v>
      </c>
      <c r="K17" s="133"/>
      <c r="L17" s="133"/>
      <c r="M17" s="36"/>
      <c r="N17" s="133"/>
      <c r="O17" s="133"/>
      <c r="P17" s="133"/>
    </row>
    <row r="18" spans="1:16" ht="15.75" customHeight="1" x14ac:dyDescent="0.25">
      <c r="A18" s="38"/>
      <c r="B18" s="27" t="s">
        <v>35</v>
      </c>
      <c r="C18" s="27">
        <f>P11</f>
        <v>136</v>
      </c>
      <c r="D18" s="27">
        <f>M11</f>
        <v>0.8</v>
      </c>
      <c r="E18" s="27">
        <f>N11</f>
        <v>0.8</v>
      </c>
      <c r="F18" s="27">
        <f>O11</f>
        <v>0.2</v>
      </c>
      <c r="G18" s="27">
        <f t="shared" si="1"/>
        <v>17.408000000000005</v>
      </c>
      <c r="H18" s="73"/>
      <c r="I18" s="94"/>
      <c r="J18" s="95"/>
      <c r="K18" s="133"/>
      <c r="L18" s="133"/>
      <c r="M18" s="36"/>
      <c r="N18" s="133"/>
      <c r="O18" s="133"/>
      <c r="P18" s="133"/>
    </row>
    <row r="19" spans="1:16" x14ac:dyDescent="0.25">
      <c r="A19" s="38"/>
      <c r="B19" s="27" t="s">
        <v>16</v>
      </c>
      <c r="C19" s="27"/>
      <c r="D19" s="27"/>
      <c r="E19" s="27"/>
      <c r="F19" s="133" t="s">
        <v>37</v>
      </c>
      <c r="G19" s="133">
        <f>SUM(G18:G18)</f>
        <v>17.408000000000005</v>
      </c>
      <c r="H19" s="73" t="s">
        <v>51</v>
      </c>
      <c r="I19" s="94">
        <v>5329.43</v>
      </c>
      <c r="J19" s="95">
        <f>G19*I19</f>
        <v>92774.717440000037</v>
      </c>
      <c r="K19" s="133"/>
      <c r="L19" s="36"/>
      <c r="M19" s="133"/>
      <c r="N19" s="133"/>
      <c r="O19" s="133"/>
    </row>
    <row r="20" spans="1:16" x14ac:dyDescent="0.25">
      <c r="A20" s="38"/>
      <c r="B20" s="27" t="s">
        <v>17</v>
      </c>
      <c r="C20" s="27">
        <f>C18</f>
        <v>136</v>
      </c>
      <c r="D20" s="27">
        <f>D18+D18+E18+E18</f>
        <v>3.2</v>
      </c>
      <c r="E20" s="27"/>
      <c r="F20" s="27">
        <f>F18</f>
        <v>0.2</v>
      </c>
      <c r="G20" s="27">
        <f>C20*D20*F20</f>
        <v>87.04000000000002</v>
      </c>
      <c r="H20" s="73"/>
      <c r="I20" s="94"/>
      <c r="J20" s="95"/>
      <c r="K20" s="133"/>
      <c r="L20" s="36"/>
      <c r="M20" s="133"/>
      <c r="N20" s="133"/>
      <c r="O20" s="133"/>
    </row>
    <row r="21" spans="1:16" x14ac:dyDescent="0.25">
      <c r="A21" s="38"/>
      <c r="B21" s="27"/>
      <c r="C21" s="27"/>
      <c r="D21" s="27"/>
      <c r="E21" s="27"/>
      <c r="F21" s="133" t="s">
        <v>37</v>
      </c>
      <c r="G21" s="133">
        <f>SUM(G20:G20)</f>
        <v>87.04000000000002</v>
      </c>
      <c r="H21" s="73" t="s">
        <v>36</v>
      </c>
      <c r="I21" s="94">
        <v>718.4</v>
      </c>
      <c r="J21" s="95">
        <f>G21*I21</f>
        <v>62529.536000000015</v>
      </c>
      <c r="K21" s="133"/>
      <c r="L21" s="36"/>
      <c r="M21" s="133"/>
      <c r="N21" s="133"/>
      <c r="O21" s="133"/>
    </row>
    <row r="22" spans="1:16" x14ac:dyDescent="0.25">
      <c r="A22" s="38"/>
      <c r="B22" s="27" t="s">
        <v>18</v>
      </c>
      <c r="C22" s="27">
        <v>1</v>
      </c>
      <c r="D22" s="6">
        <f>G19</f>
        <v>17.408000000000005</v>
      </c>
      <c r="E22" s="27">
        <v>100</v>
      </c>
      <c r="F22" s="27"/>
      <c r="G22" s="27">
        <f>D22*E22</f>
        <v>1740.8000000000004</v>
      </c>
      <c r="H22" s="73" t="s">
        <v>56</v>
      </c>
      <c r="I22" s="94">
        <v>66.239999999999995</v>
      </c>
      <c r="J22" s="95">
        <f t="shared" ref="J22:J29" si="3">G22*I22</f>
        <v>115310.59200000002</v>
      </c>
      <c r="K22" s="133"/>
      <c r="L22" s="36"/>
      <c r="M22" s="133"/>
      <c r="N22" s="133"/>
      <c r="O22" s="133"/>
    </row>
    <row r="23" spans="1:16" x14ac:dyDescent="0.25">
      <c r="A23" s="25">
        <v>2</v>
      </c>
      <c r="B23" s="26" t="s">
        <v>196</v>
      </c>
      <c r="C23" s="27">
        <v>1</v>
      </c>
      <c r="D23" s="6">
        <v>21.9</v>
      </c>
      <c r="E23" s="27">
        <v>35.4</v>
      </c>
      <c r="F23" s="27"/>
      <c r="G23" s="27">
        <f>C23*D23*E23</f>
        <v>775.25999999999988</v>
      </c>
      <c r="H23" s="73" t="s">
        <v>36</v>
      </c>
      <c r="I23" s="94">
        <v>15000</v>
      </c>
      <c r="J23" s="95">
        <f t="shared" si="3"/>
        <v>11628899.999999998</v>
      </c>
      <c r="K23" s="133"/>
      <c r="L23" s="59"/>
      <c r="M23" s="59"/>
      <c r="N23" s="59"/>
      <c r="O23" s="59"/>
    </row>
    <row r="24" spans="1:16" x14ac:dyDescent="0.25">
      <c r="A24" s="38">
        <v>3</v>
      </c>
      <c r="B24" s="27" t="s">
        <v>332</v>
      </c>
      <c r="C24" s="27">
        <v>1</v>
      </c>
      <c r="D24" s="6">
        <v>15.3</v>
      </c>
      <c r="E24" s="27">
        <v>27.5</v>
      </c>
      <c r="F24" s="27"/>
      <c r="G24" s="27">
        <f t="shared" ref="G24:G28" si="4">C24*D24*E24</f>
        <v>420.75</v>
      </c>
      <c r="H24" s="73" t="s">
        <v>36</v>
      </c>
      <c r="I24" s="94">
        <v>15000</v>
      </c>
      <c r="J24" s="95">
        <f t="shared" si="3"/>
        <v>6311250</v>
      </c>
      <c r="K24" s="133"/>
      <c r="L24" s="59"/>
      <c r="M24" s="59"/>
      <c r="N24" s="59"/>
      <c r="O24" s="59"/>
    </row>
    <row r="25" spans="1:16" x14ac:dyDescent="0.25">
      <c r="A25" s="38">
        <v>4</v>
      </c>
      <c r="B25" s="27" t="s">
        <v>333</v>
      </c>
      <c r="C25" s="27">
        <v>1</v>
      </c>
      <c r="D25" s="6">
        <v>15.3</v>
      </c>
      <c r="E25" s="27">
        <v>27.5</v>
      </c>
      <c r="F25" s="27"/>
      <c r="G25" s="27">
        <f t="shared" si="4"/>
        <v>420.75</v>
      </c>
      <c r="H25" s="73" t="s">
        <v>36</v>
      </c>
      <c r="I25" s="94">
        <v>15000</v>
      </c>
      <c r="J25" s="95">
        <f t="shared" si="3"/>
        <v>6311250</v>
      </c>
      <c r="K25" s="133"/>
      <c r="L25" s="59"/>
      <c r="M25" s="59"/>
      <c r="N25" s="59"/>
      <c r="O25" s="59"/>
    </row>
    <row r="26" spans="1:16" x14ac:dyDescent="0.25">
      <c r="A26" s="38">
        <v>5</v>
      </c>
      <c r="B26" s="27" t="s">
        <v>197</v>
      </c>
      <c r="C26" s="27">
        <v>1</v>
      </c>
      <c r="D26" s="6">
        <v>11</v>
      </c>
      <c r="E26" s="27">
        <v>4</v>
      </c>
      <c r="F26" s="27"/>
      <c r="G26" s="27">
        <f t="shared" si="4"/>
        <v>44</v>
      </c>
      <c r="H26" s="73" t="s">
        <v>36</v>
      </c>
      <c r="I26" s="94">
        <v>15000</v>
      </c>
      <c r="J26" s="95">
        <f t="shared" si="3"/>
        <v>660000</v>
      </c>
      <c r="K26" s="133"/>
      <c r="L26" s="59"/>
      <c r="M26" s="59"/>
      <c r="N26" s="59"/>
      <c r="O26" s="59"/>
    </row>
    <row r="27" spans="1:16" x14ac:dyDescent="0.25">
      <c r="A27" s="38">
        <v>6</v>
      </c>
      <c r="B27" s="27" t="s">
        <v>198</v>
      </c>
      <c r="C27" s="27">
        <v>2</v>
      </c>
      <c r="D27" s="6">
        <v>11</v>
      </c>
      <c r="E27" s="27">
        <v>4</v>
      </c>
      <c r="F27" s="27"/>
      <c r="G27" s="27">
        <f t="shared" si="4"/>
        <v>88</v>
      </c>
      <c r="H27" s="73" t="s">
        <v>36</v>
      </c>
      <c r="I27" s="94">
        <v>15000</v>
      </c>
      <c r="J27" s="95">
        <f t="shared" si="3"/>
        <v>1320000</v>
      </c>
      <c r="K27" s="133"/>
      <c r="L27" s="59"/>
      <c r="M27" s="59"/>
      <c r="N27" s="59"/>
      <c r="O27" s="59"/>
    </row>
    <row r="28" spans="1:16" x14ac:dyDescent="0.25">
      <c r="A28" s="38">
        <v>7</v>
      </c>
      <c r="B28" s="27" t="s">
        <v>199</v>
      </c>
      <c r="C28" s="27">
        <v>1</v>
      </c>
      <c r="D28" s="6">
        <v>14</v>
      </c>
      <c r="E28" s="27">
        <v>3.9</v>
      </c>
      <c r="F28" s="27"/>
      <c r="G28" s="27">
        <f t="shared" si="4"/>
        <v>54.6</v>
      </c>
      <c r="H28" s="73" t="s">
        <v>36</v>
      </c>
      <c r="I28" s="94">
        <v>15000</v>
      </c>
      <c r="J28" s="95">
        <f t="shared" si="3"/>
        <v>819000</v>
      </c>
      <c r="K28" s="133"/>
      <c r="L28" s="59"/>
      <c r="M28" s="59"/>
      <c r="N28" s="59"/>
      <c r="O28" s="59"/>
    </row>
    <row r="29" spans="1:16" x14ac:dyDescent="0.25">
      <c r="A29" s="38"/>
      <c r="B29" s="27" t="s">
        <v>198</v>
      </c>
      <c r="C29" s="27">
        <v>1</v>
      </c>
      <c r="D29" s="6">
        <v>14</v>
      </c>
      <c r="E29" s="27">
        <v>3.9</v>
      </c>
      <c r="F29" s="27"/>
      <c r="G29" s="27">
        <f t="shared" ref="G29" si="5">C29*D29*E29</f>
        <v>54.6</v>
      </c>
      <c r="H29" s="73" t="s">
        <v>36</v>
      </c>
      <c r="I29" s="94">
        <v>15000</v>
      </c>
      <c r="J29" s="95">
        <f t="shared" si="3"/>
        <v>819000</v>
      </c>
      <c r="K29" s="133"/>
      <c r="L29" s="59"/>
      <c r="M29" s="59"/>
      <c r="N29" s="59"/>
      <c r="O29" s="59"/>
    </row>
    <row r="30" spans="1:16" x14ac:dyDescent="0.25">
      <c r="A30" s="38"/>
      <c r="B30" s="27"/>
      <c r="C30" s="27"/>
      <c r="D30" s="6"/>
      <c r="E30" s="27"/>
      <c r="F30" s="27"/>
      <c r="G30" s="27"/>
      <c r="H30" s="73"/>
      <c r="I30" s="295" t="s">
        <v>37</v>
      </c>
      <c r="J30" s="296">
        <f>SUM(J7:J29)</f>
        <v>32130690.876672</v>
      </c>
      <c r="K30" s="297">
        <f>J30</f>
        <v>32130690.876672</v>
      </c>
      <c r="L30" s="59"/>
      <c r="M30" s="59"/>
      <c r="N30" s="59"/>
      <c r="O30" s="59"/>
    </row>
    <row r="31" spans="1:16" x14ac:dyDescent="0.25">
      <c r="A31" s="57"/>
      <c r="B31" s="58"/>
      <c r="C31" s="58"/>
      <c r="D31" s="58"/>
      <c r="E31" s="58"/>
      <c r="F31" s="59"/>
      <c r="G31" s="59"/>
      <c r="H31" s="81"/>
      <c r="I31" s="105"/>
      <c r="J31" s="106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9"/>
  <sheetViews>
    <sheetView topLeftCell="A58" workbookViewId="0">
      <selection activeCell="N13" sqref="N13"/>
    </sheetView>
  </sheetViews>
  <sheetFormatPr defaultRowHeight="15.75" x14ac:dyDescent="0.25"/>
  <cols>
    <col min="1" max="1" width="2" bestFit="1" customWidth="1"/>
    <col min="2" max="2" width="56.5703125" bestFit="1" customWidth="1"/>
    <col min="4" max="4" width="5.5703125" bestFit="1" customWidth="1"/>
    <col min="5" max="5" width="4.42578125" bestFit="1" customWidth="1"/>
    <col min="6" max="6" width="6.7109375" bestFit="1" customWidth="1"/>
    <col min="7" max="7" width="9" bestFit="1" customWidth="1"/>
    <col min="8" max="8" width="5.7109375" customWidth="1"/>
    <col min="9" max="9" width="8.42578125" bestFit="1" customWidth="1"/>
    <col min="10" max="10" width="11.85546875" bestFit="1" customWidth="1"/>
    <col min="11" max="11" width="15" style="151" bestFit="1" customWidth="1"/>
  </cols>
  <sheetData>
    <row r="2" spans="1:11" ht="28.5" x14ac:dyDescent="0.45">
      <c r="A2" s="346" t="s">
        <v>376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</row>
    <row r="3" spans="1:11" ht="18.75" x14ac:dyDescent="0.3">
      <c r="A3" s="38"/>
      <c r="B3" s="49" t="s">
        <v>202</v>
      </c>
      <c r="C3" s="40"/>
      <c r="D3" s="13"/>
      <c r="E3" s="40"/>
      <c r="F3" s="40"/>
      <c r="G3" s="40"/>
      <c r="H3" s="78"/>
      <c r="I3" s="96"/>
      <c r="J3" s="68"/>
      <c r="K3" s="40"/>
    </row>
    <row r="4" spans="1:11" x14ac:dyDescent="0.25">
      <c r="A4" s="50">
        <v>1</v>
      </c>
      <c r="B4" s="51" t="s">
        <v>60</v>
      </c>
      <c r="C4" s="48"/>
      <c r="D4" s="333">
        <f>(15*10)-30</f>
        <v>120</v>
      </c>
      <c r="E4" s="333"/>
      <c r="F4" s="48">
        <v>0.5</v>
      </c>
      <c r="G4" s="48">
        <f>D4*F4</f>
        <v>60</v>
      </c>
      <c r="H4" s="75" t="s">
        <v>51</v>
      </c>
      <c r="I4" s="97">
        <v>315.19</v>
      </c>
      <c r="J4" s="69">
        <f t="shared" ref="J4:J9" si="0">G4*I4</f>
        <v>18911.400000000001</v>
      </c>
      <c r="K4" s="44"/>
    </row>
    <row r="5" spans="1:11" x14ac:dyDescent="0.25">
      <c r="A5" s="50">
        <v>2</v>
      </c>
      <c r="B5" s="51" t="s">
        <v>75</v>
      </c>
      <c r="C5" s="48"/>
      <c r="D5" s="48"/>
      <c r="E5" s="48"/>
      <c r="F5" s="48"/>
      <c r="G5" s="48">
        <f>G4</f>
        <v>60</v>
      </c>
      <c r="H5" s="75" t="s">
        <v>51</v>
      </c>
      <c r="I5" s="97">
        <v>100</v>
      </c>
      <c r="J5" s="69">
        <f t="shared" si="0"/>
        <v>6000</v>
      </c>
      <c r="K5" s="44"/>
    </row>
    <row r="6" spans="1:11" x14ac:dyDescent="0.25">
      <c r="A6" s="50">
        <v>3</v>
      </c>
      <c r="B6" s="51" t="s">
        <v>76</v>
      </c>
      <c r="C6" s="48"/>
      <c r="D6" s="333">
        <f>D4</f>
        <v>120</v>
      </c>
      <c r="E6" s="333"/>
      <c r="F6" s="48">
        <v>0.23</v>
      </c>
      <c r="G6" s="48">
        <f>D6*F6</f>
        <v>27.6</v>
      </c>
      <c r="H6" s="75" t="s">
        <v>51</v>
      </c>
      <c r="I6" s="97">
        <v>950</v>
      </c>
      <c r="J6" s="69">
        <f t="shared" si="0"/>
        <v>26220</v>
      </c>
      <c r="K6" s="44"/>
    </row>
    <row r="7" spans="1:11" x14ac:dyDescent="0.25">
      <c r="A7" s="50">
        <v>4</v>
      </c>
      <c r="B7" s="51" t="s">
        <v>77</v>
      </c>
      <c r="C7" s="48"/>
      <c r="D7" s="333">
        <f>D4</f>
        <v>120</v>
      </c>
      <c r="E7" s="333"/>
      <c r="F7" s="48">
        <v>7.4999999999999997E-2</v>
      </c>
      <c r="G7" s="48">
        <f>D7*F7</f>
        <v>9</v>
      </c>
      <c r="H7" s="75" t="s">
        <v>36</v>
      </c>
      <c r="I7" s="97">
        <v>3529</v>
      </c>
      <c r="J7" s="69">
        <f t="shared" si="0"/>
        <v>31761</v>
      </c>
      <c r="K7" s="44"/>
    </row>
    <row r="8" spans="1:11" x14ac:dyDescent="0.25">
      <c r="A8" s="50">
        <v>5</v>
      </c>
      <c r="B8" s="51" t="s">
        <v>78</v>
      </c>
      <c r="C8" s="48"/>
      <c r="D8" s="333">
        <f>D4</f>
        <v>120</v>
      </c>
      <c r="E8" s="333"/>
      <c r="F8" s="48">
        <v>0.6</v>
      </c>
      <c r="G8" s="48">
        <f>D8*F8</f>
        <v>72</v>
      </c>
      <c r="H8" s="75" t="s">
        <v>36</v>
      </c>
      <c r="I8" s="97">
        <v>5330</v>
      </c>
      <c r="J8" s="69">
        <f t="shared" si="0"/>
        <v>383760</v>
      </c>
      <c r="K8" s="44"/>
    </row>
    <row r="9" spans="1:11" x14ac:dyDescent="0.25">
      <c r="A9" s="50">
        <v>6</v>
      </c>
      <c r="B9" s="51" t="s">
        <v>63</v>
      </c>
      <c r="C9" s="48"/>
      <c r="D9" s="48">
        <f>G8</f>
        <v>72</v>
      </c>
      <c r="E9" s="48">
        <v>100</v>
      </c>
      <c r="F9" s="48"/>
      <c r="G9" s="48">
        <f>D9*E9</f>
        <v>7200</v>
      </c>
      <c r="H9" s="75" t="s">
        <v>56</v>
      </c>
      <c r="I9" s="97">
        <v>66.239999999999995</v>
      </c>
      <c r="J9" s="69">
        <f t="shared" si="0"/>
        <v>476927.99999999994</v>
      </c>
      <c r="K9" s="44"/>
    </row>
    <row r="10" spans="1:11" x14ac:dyDescent="0.25">
      <c r="A10" s="50">
        <v>7</v>
      </c>
      <c r="B10" s="51" t="s">
        <v>200</v>
      </c>
      <c r="C10" s="48"/>
      <c r="D10" s="347">
        <v>30</v>
      </c>
      <c r="E10" s="348"/>
      <c r="F10" s="48"/>
      <c r="G10" s="48" t="s">
        <v>201</v>
      </c>
      <c r="H10" s="75" t="s">
        <v>36</v>
      </c>
      <c r="I10" s="97">
        <v>2000</v>
      </c>
      <c r="J10" s="69">
        <f>D10*I10</f>
        <v>60000</v>
      </c>
      <c r="K10" s="44"/>
    </row>
    <row r="11" spans="1:11" x14ac:dyDescent="0.25">
      <c r="A11" s="50"/>
      <c r="B11" s="51"/>
      <c r="C11" s="48"/>
      <c r="D11" s="48"/>
      <c r="E11" s="48"/>
      <c r="F11" s="48"/>
      <c r="G11" s="349" t="s">
        <v>66</v>
      </c>
      <c r="H11" s="349"/>
      <c r="I11" s="349"/>
      <c r="J11" s="103">
        <f>SUM(J4:J10)</f>
        <v>1003580.3999999999</v>
      </c>
      <c r="K11" s="117">
        <f>J11</f>
        <v>1003580.3999999999</v>
      </c>
    </row>
    <row r="12" spans="1:11" ht="18.75" x14ac:dyDescent="0.3">
      <c r="A12" s="38"/>
      <c r="B12" s="55" t="s">
        <v>203</v>
      </c>
      <c r="C12" s="65"/>
      <c r="D12" s="65"/>
      <c r="E12" s="65"/>
      <c r="F12" s="65"/>
      <c r="G12" s="65"/>
      <c r="H12" s="80"/>
      <c r="I12" s="104"/>
      <c r="J12" s="101"/>
      <c r="K12" s="149"/>
    </row>
    <row r="13" spans="1:11" x14ac:dyDescent="0.25">
      <c r="A13" s="52">
        <v>1</v>
      </c>
      <c r="B13" s="54" t="s">
        <v>60</v>
      </c>
      <c r="C13" s="63"/>
      <c r="D13" s="63">
        <v>25</v>
      </c>
      <c r="E13" s="63">
        <f>0.1+0.15+0.6+0.15+0.1+0.3+0.3</f>
        <v>1.7000000000000002</v>
      </c>
      <c r="F13" s="63">
        <f>1+0.23+0.075</f>
        <v>1.3049999999999999</v>
      </c>
      <c r="G13" s="63">
        <f>D13*E13*F13</f>
        <v>55.462500000000006</v>
      </c>
      <c r="H13" s="76" t="s">
        <v>51</v>
      </c>
      <c r="I13" s="100">
        <v>315.89</v>
      </c>
      <c r="J13" s="101">
        <f>G13*I13</f>
        <v>17520.049125000001</v>
      </c>
      <c r="K13" s="149"/>
    </row>
    <row r="14" spans="1:11" x14ac:dyDescent="0.25">
      <c r="A14" s="52">
        <v>2</v>
      </c>
      <c r="B14" s="54" t="s">
        <v>61</v>
      </c>
      <c r="C14" s="63"/>
      <c r="D14" s="63"/>
      <c r="E14" s="63"/>
      <c r="F14" s="63"/>
      <c r="G14" s="63">
        <f>G13</f>
        <v>55.462500000000006</v>
      </c>
      <c r="H14" s="76" t="s">
        <v>51</v>
      </c>
      <c r="I14" s="100">
        <v>100</v>
      </c>
      <c r="J14" s="101">
        <f t="shared" ref="J14:J21" si="1">G14*I14</f>
        <v>5546.2500000000009</v>
      </c>
      <c r="K14" s="149"/>
    </row>
    <row r="15" spans="1:11" x14ac:dyDescent="0.25">
      <c r="A15" s="52">
        <v>3</v>
      </c>
      <c r="B15" s="54" t="s">
        <v>79</v>
      </c>
      <c r="C15" s="63"/>
      <c r="D15" s="63">
        <f>D13</f>
        <v>25</v>
      </c>
      <c r="E15" s="63">
        <v>1</v>
      </c>
      <c r="F15" s="63">
        <v>0.23</v>
      </c>
      <c r="G15" s="63">
        <f>D15*E15*F15</f>
        <v>5.75</v>
      </c>
      <c r="H15" s="76" t="s">
        <v>51</v>
      </c>
      <c r="I15" s="100">
        <v>950</v>
      </c>
      <c r="J15" s="101">
        <f t="shared" si="1"/>
        <v>5462.5</v>
      </c>
      <c r="K15" s="149"/>
    </row>
    <row r="16" spans="1:11" x14ac:dyDescent="0.25">
      <c r="A16" s="52">
        <v>4</v>
      </c>
      <c r="B16" s="54" t="s">
        <v>88</v>
      </c>
      <c r="C16" s="63"/>
      <c r="D16" s="63">
        <f>D13</f>
        <v>25</v>
      </c>
      <c r="E16" s="63">
        <v>1</v>
      </c>
      <c r="F16" s="63">
        <v>7.4999999999999997E-2</v>
      </c>
      <c r="G16" s="63">
        <f>D16*E16*F16</f>
        <v>1.875</v>
      </c>
      <c r="H16" s="76" t="s">
        <v>51</v>
      </c>
      <c r="I16" s="100">
        <v>3529</v>
      </c>
      <c r="J16" s="101">
        <f t="shared" si="1"/>
        <v>6616.875</v>
      </c>
      <c r="K16" s="149"/>
    </row>
    <row r="17" spans="1:11" x14ac:dyDescent="0.25">
      <c r="A17" s="52">
        <v>5</v>
      </c>
      <c r="B17" s="54" t="s">
        <v>81</v>
      </c>
      <c r="C17" s="63"/>
      <c r="D17" s="63">
        <f>D13</f>
        <v>25</v>
      </c>
      <c r="E17" s="63">
        <v>1</v>
      </c>
      <c r="F17" s="63">
        <v>0.2</v>
      </c>
      <c r="G17" s="63">
        <f>D17*E17*F17</f>
        <v>5</v>
      </c>
      <c r="H17" s="76" t="s">
        <v>51</v>
      </c>
      <c r="I17" s="100">
        <v>5330</v>
      </c>
      <c r="J17" s="101">
        <f t="shared" si="1"/>
        <v>26650</v>
      </c>
      <c r="K17" s="149"/>
    </row>
    <row r="18" spans="1:11" x14ac:dyDescent="0.25">
      <c r="A18" s="52">
        <v>6</v>
      </c>
      <c r="B18" s="54" t="s">
        <v>89</v>
      </c>
      <c r="C18" s="63"/>
      <c r="D18" s="63">
        <f>D13*2</f>
        <v>50</v>
      </c>
      <c r="E18" s="63">
        <v>1</v>
      </c>
      <c r="F18" s="63">
        <v>0.15</v>
      </c>
      <c r="G18" s="63">
        <f>D18*E18*F18</f>
        <v>7.5</v>
      </c>
      <c r="H18" s="76" t="s">
        <v>51</v>
      </c>
      <c r="I18" s="100">
        <v>5330</v>
      </c>
      <c r="J18" s="101">
        <f t="shared" si="1"/>
        <v>39975</v>
      </c>
      <c r="K18" s="149"/>
    </row>
    <row r="19" spans="1:11" x14ac:dyDescent="0.25">
      <c r="A19" s="52">
        <v>7</v>
      </c>
      <c r="B19" s="54" t="s">
        <v>90</v>
      </c>
      <c r="C19" s="63"/>
      <c r="D19" s="63">
        <f>D13*2</f>
        <v>50</v>
      </c>
      <c r="E19" s="63">
        <v>1</v>
      </c>
      <c r="F19" s="63">
        <v>0.3</v>
      </c>
      <c r="G19" s="63">
        <v>1.3</v>
      </c>
      <c r="H19" s="76" t="s">
        <v>51</v>
      </c>
      <c r="I19" s="100">
        <v>183.42</v>
      </c>
      <c r="J19" s="101">
        <f t="shared" si="1"/>
        <v>238.446</v>
      </c>
      <c r="K19" s="149"/>
    </row>
    <row r="20" spans="1:11" x14ac:dyDescent="0.25">
      <c r="A20" s="52">
        <v>8</v>
      </c>
      <c r="B20" s="54" t="s">
        <v>63</v>
      </c>
      <c r="C20" s="63"/>
      <c r="D20" s="63"/>
      <c r="E20" s="63">
        <f>G17+G18</f>
        <v>12.5</v>
      </c>
      <c r="F20" s="63">
        <v>100</v>
      </c>
      <c r="G20" s="63">
        <f>E20*F20</f>
        <v>1250</v>
      </c>
      <c r="H20" s="76" t="s">
        <v>56</v>
      </c>
      <c r="I20" s="100">
        <v>66.239999999999995</v>
      </c>
      <c r="J20" s="101">
        <f t="shared" si="1"/>
        <v>82800</v>
      </c>
      <c r="K20" s="149"/>
    </row>
    <row r="21" spans="1:11" x14ac:dyDescent="0.25">
      <c r="A21" s="52">
        <v>9</v>
      </c>
      <c r="B21" s="54" t="s">
        <v>91</v>
      </c>
      <c r="C21" s="63"/>
      <c r="D21" s="63">
        <f>D13*4</f>
        <v>100</v>
      </c>
      <c r="E21" s="63">
        <v>1</v>
      </c>
      <c r="F21" s="63">
        <v>1</v>
      </c>
      <c r="G21" s="63">
        <f>D21*E21*F21</f>
        <v>100</v>
      </c>
      <c r="H21" s="76" t="s">
        <v>36</v>
      </c>
      <c r="I21" s="100">
        <v>718.4</v>
      </c>
      <c r="J21" s="101">
        <f t="shared" si="1"/>
        <v>71840</v>
      </c>
      <c r="K21" s="149"/>
    </row>
    <row r="22" spans="1:11" x14ac:dyDescent="0.25">
      <c r="A22" s="50"/>
      <c r="B22" s="51"/>
      <c r="C22" s="48"/>
      <c r="D22" s="48"/>
      <c r="E22" s="48"/>
      <c r="F22" s="28"/>
      <c r="G22" s="349" t="s">
        <v>66</v>
      </c>
      <c r="H22" s="349"/>
      <c r="I22" s="349"/>
      <c r="J22" s="103">
        <f>SUM(J13:J21)</f>
        <v>256649.12012500002</v>
      </c>
      <c r="K22" s="117">
        <f>J22</f>
        <v>256649.12012500002</v>
      </c>
    </row>
    <row r="23" spans="1:11" ht="18.75" x14ac:dyDescent="0.3">
      <c r="A23" s="38"/>
      <c r="B23" s="49" t="s">
        <v>204</v>
      </c>
      <c r="C23" s="40"/>
      <c r="D23" s="13"/>
      <c r="E23" s="40"/>
      <c r="F23" s="40"/>
      <c r="G23" s="40"/>
      <c r="H23" s="78"/>
      <c r="I23" s="96"/>
      <c r="J23" s="68"/>
      <c r="K23" s="40"/>
    </row>
    <row r="24" spans="1:11" x14ac:dyDescent="0.25">
      <c r="A24" s="50">
        <v>1</v>
      </c>
      <c r="B24" s="51" t="s">
        <v>60</v>
      </c>
      <c r="C24" s="48"/>
      <c r="D24" s="333">
        <f>(12*8)</f>
        <v>96</v>
      </c>
      <c r="E24" s="333"/>
      <c r="F24" s="48">
        <v>0.5</v>
      </c>
      <c r="G24" s="48">
        <f>D24*F24</f>
        <v>48</v>
      </c>
      <c r="H24" s="75" t="s">
        <v>51</v>
      </c>
      <c r="I24" s="97">
        <v>315.19</v>
      </c>
      <c r="J24" s="69">
        <f t="shared" ref="J24:J29" si="2">G24*I24</f>
        <v>15129.119999999999</v>
      </c>
      <c r="K24" s="44"/>
    </row>
    <row r="25" spans="1:11" x14ac:dyDescent="0.25">
      <c r="A25" s="50">
        <v>2</v>
      </c>
      <c r="B25" s="51" t="s">
        <v>75</v>
      </c>
      <c r="C25" s="48"/>
      <c r="D25" s="48"/>
      <c r="E25" s="48"/>
      <c r="F25" s="48"/>
      <c r="G25" s="48">
        <f>G24</f>
        <v>48</v>
      </c>
      <c r="H25" s="75" t="s">
        <v>51</v>
      </c>
      <c r="I25" s="97">
        <v>100</v>
      </c>
      <c r="J25" s="69">
        <f t="shared" si="2"/>
        <v>4800</v>
      </c>
      <c r="K25" s="44"/>
    </row>
    <row r="26" spans="1:11" x14ac:dyDescent="0.25">
      <c r="A26" s="50">
        <v>3</v>
      </c>
      <c r="B26" s="51" t="s">
        <v>76</v>
      </c>
      <c r="C26" s="48"/>
      <c r="D26" s="333">
        <f>D24</f>
        <v>96</v>
      </c>
      <c r="E26" s="333"/>
      <c r="F26" s="48">
        <v>0.23</v>
      </c>
      <c r="G26" s="48">
        <f>D26*F26</f>
        <v>22.080000000000002</v>
      </c>
      <c r="H26" s="75" t="s">
        <v>51</v>
      </c>
      <c r="I26" s="97">
        <v>950</v>
      </c>
      <c r="J26" s="69">
        <f t="shared" si="2"/>
        <v>20976</v>
      </c>
      <c r="K26" s="44"/>
    </row>
    <row r="27" spans="1:11" x14ac:dyDescent="0.25">
      <c r="A27" s="50">
        <v>4</v>
      </c>
      <c r="B27" s="51" t="s">
        <v>77</v>
      </c>
      <c r="C27" s="48"/>
      <c r="D27" s="333">
        <f>D24</f>
        <v>96</v>
      </c>
      <c r="E27" s="333"/>
      <c r="F27" s="48">
        <v>7.4999999999999997E-2</v>
      </c>
      <c r="G27" s="48">
        <f>D27*F27</f>
        <v>7.1999999999999993</v>
      </c>
      <c r="H27" s="75" t="s">
        <v>36</v>
      </c>
      <c r="I27" s="97">
        <v>3529</v>
      </c>
      <c r="J27" s="69">
        <f t="shared" si="2"/>
        <v>25408.799999999999</v>
      </c>
      <c r="K27" s="44"/>
    </row>
    <row r="28" spans="1:11" x14ac:dyDescent="0.25">
      <c r="A28" s="50">
        <v>5</v>
      </c>
      <c r="B28" s="51" t="s">
        <v>78</v>
      </c>
      <c r="C28" s="48"/>
      <c r="D28" s="333">
        <f>D24</f>
        <v>96</v>
      </c>
      <c r="E28" s="333"/>
      <c r="F28" s="48">
        <v>0.25</v>
      </c>
      <c r="G28" s="48">
        <f>D28*F28</f>
        <v>24</v>
      </c>
      <c r="H28" s="75" t="s">
        <v>36</v>
      </c>
      <c r="I28" s="97">
        <v>5330</v>
      </c>
      <c r="J28" s="69">
        <f t="shared" si="2"/>
        <v>127920</v>
      </c>
      <c r="K28" s="44"/>
    </row>
    <row r="29" spans="1:11" x14ac:dyDescent="0.25">
      <c r="A29" s="50">
        <v>6</v>
      </c>
      <c r="B29" s="51" t="s">
        <v>63</v>
      </c>
      <c r="C29" s="48"/>
      <c r="D29" s="48">
        <f>G28</f>
        <v>24</v>
      </c>
      <c r="E29" s="48">
        <v>100</v>
      </c>
      <c r="F29" s="48"/>
      <c r="G29" s="48">
        <f>D29*E29</f>
        <v>2400</v>
      </c>
      <c r="H29" s="75" t="s">
        <v>56</v>
      </c>
      <c r="I29" s="97">
        <v>66.239999999999995</v>
      </c>
      <c r="J29" s="69">
        <f t="shared" si="2"/>
        <v>158976</v>
      </c>
      <c r="K29" s="44"/>
    </row>
    <row r="30" spans="1:11" x14ac:dyDescent="0.25">
      <c r="A30" s="50">
        <v>7</v>
      </c>
      <c r="B30" s="51" t="s">
        <v>200</v>
      </c>
      <c r="C30" s="48"/>
      <c r="D30" s="347">
        <v>10</v>
      </c>
      <c r="E30" s="348"/>
      <c r="F30" s="48"/>
      <c r="G30" s="48" t="s">
        <v>201</v>
      </c>
      <c r="H30" s="75" t="s">
        <v>36</v>
      </c>
      <c r="I30" s="97">
        <v>2000</v>
      </c>
      <c r="J30" s="69">
        <f>D30*I30</f>
        <v>20000</v>
      </c>
      <c r="K30" s="44"/>
    </row>
    <row r="31" spans="1:11" x14ac:dyDescent="0.25">
      <c r="A31" s="50"/>
      <c r="B31" s="51"/>
      <c r="C31" s="48"/>
      <c r="D31" s="48"/>
      <c r="E31" s="48"/>
      <c r="F31" s="48"/>
      <c r="G31" s="349" t="s">
        <v>66</v>
      </c>
      <c r="H31" s="349"/>
      <c r="I31" s="349"/>
      <c r="J31" s="103">
        <f>SUM(J24:J30)</f>
        <v>373209.92</v>
      </c>
      <c r="K31" s="117">
        <f>J31</f>
        <v>373209.92</v>
      </c>
    </row>
    <row r="32" spans="1:11" ht="18.75" x14ac:dyDescent="0.3">
      <c r="A32" s="38"/>
      <c r="B32" s="55" t="s">
        <v>203</v>
      </c>
      <c r="C32" s="65"/>
      <c r="D32" s="65"/>
      <c r="E32" s="65"/>
      <c r="F32" s="65"/>
      <c r="G32" s="65"/>
      <c r="H32" s="80"/>
      <c r="I32" s="104"/>
      <c r="J32" s="101"/>
      <c r="K32" s="149"/>
    </row>
    <row r="33" spans="1:11" x14ac:dyDescent="0.25">
      <c r="A33" s="52">
        <v>1</v>
      </c>
      <c r="B33" s="54" t="s">
        <v>60</v>
      </c>
      <c r="C33" s="63"/>
      <c r="D33" s="63">
        <v>18</v>
      </c>
      <c r="E33" s="63">
        <f>0.1+0.15+0.6+0.15+0.1+0.3+0.3</f>
        <v>1.7000000000000002</v>
      </c>
      <c r="F33" s="63">
        <f>1+0.23+0.075</f>
        <v>1.3049999999999999</v>
      </c>
      <c r="G33" s="63">
        <f>D33*E33*F33</f>
        <v>39.933</v>
      </c>
      <c r="H33" s="76" t="s">
        <v>51</v>
      </c>
      <c r="I33" s="100">
        <v>315.89</v>
      </c>
      <c r="J33" s="101">
        <f>G33*I33</f>
        <v>12614.435369999999</v>
      </c>
      <c r="K33" s="149"/>
    </row>
    <row r="34" spans="1:11" x14ac:dyDescent="0.25">
      <c r="A34" s="52">
        <v>2</v>
      </c>
      <c r="B34" s="54" t="s">
        <v>61</v>
      </c>
      <c r="C34" s="63"/>
      <c r="D34" s="63"/>
      <c r="E34" s="63"/>
      <c r="F34" s="63"/>
      <c r="G34" s="63">
        <f>G33</f>
        <v>39.933</v>
      </c>
      <c r="H34" s="76" t="s">
        <v>51</v>
      </c>
      <c r="I34" s="100">
        <v>100</v>
      </c>
      <c r="J34" s="101">
        <f t="shared" ref="J34:J41" si="3">G34*I34</f>
        <v>3993.3</v>
      </c>
      <c r="K34" s="149"/>
    </row>
    <row r="35" spans="1:11" x14ac:dyDescent="0.25">
      <c r="A35" s="52">
        <v>3</v>
      </c>
      <c r="B35" s="54" t="s">
        <v>79</v>
      </c>
      <c r="C35" s="63"/>
      <c r="D35" s="63">
        <f>D33</f>
        <v>18</v>
      </c>
      <c r="E35" s="63">
        <v>1</v>
      </c>
      <c r="F35" s="63">
        <v>0.23</v>
      </c>
      <c r="G35" s="63">
        <f>D35*E35*F35</f>
        <v>4.1400000000000006</v>
      </c>
      <c r="H35" s="76" t="s">
        <v>51</v>
      </c>
      <c r="I35" s="100">
        <v>950</v>
      </c>
      <c r="J35" s="101">
        <f t="shared" si="3"/>
        <v>3933.0000000000005</v>
      </c>
      <c r="K35" s="149"/>
    </row>
    <row r="36" spans="1:11" x14ac:dyDescent="0.25">
      <c r="A36" s="52">
        <v>4</v>
      </c>
      <c r="B36" s="54" t="s">
        <v>88</v>
      </c>
      <c r="C36" s="63"/>
      <c r="D36" s="63">
        <f>D33</f>
        <v>18</v>
      </c>
      <c r="E36" s="63">
        <v>1</v>
      </c>
      <c r="F36" s="63">
        <v>7.4999999999999997E-2</v>
      </c>
      <c r="G36" s="63">
        <f>D36*E36*F36</f>
        <v>1.3499999999999999</v>
      </c>
      <c r="H36" s="76" t="s">
        <v>51</v>
      </c>
      <c r="I36" s="100">
        <v>3529</v>
      </c>
      <c r="J36" s="101">
        <f t="shared" si="3"/>
        <v>4764.1499999999996</v>
      </c>
      <c r="K36" s="149"/>
    </row>
    <row r="37" spans="1:11" x14ac:dyDescent="0.25">
      <c r="A37" s="52">
        <v>5</v>
      </c>
      <c r="B37" s="54" t="s">
        <v>81</v>
      </c>
      <c r="C37" s="63"/>
      <c r="D37" s="63">
        <f>D33</f>
        <v>18</v>
      </c>
      <c r="E37" s="63">
        <v>1</v>
      </c>
      <c r="F37" s="63">
        <v>0.2</v>
      </c>
      <c r="G37" s="63">
        <f>D37*E37*F37</f>
        <v>3.6</v>
      </c>
      <c r="H37" s="76" t="s">
        <v>51</v>
      </c>
      <c r="I37" s="100">
        <v>5330</v>
      </c>
      <c r="J37" s="101">
        <f t="shared" si="3"/>
        <v>19188</v>
      </c>
      <c r="K37" s="149"/>
    </row>
    <row r="38" spans="1:11" x14ac:dyDescent="0.25">
      <c r="A38" s="52">
        <v>6</v>
      </c>
      <c r="B38" s="54" t="s">
        <v>89</v>
      </c>
      <c r="C38" s="63"/>
      <c r="D38" s="63">
        <f>D33*2</f>
        <v>36</v>
      </c>
      <c r="E38" s="63">
        <v>1</v>
      </c>
      <c r="F38" s="63">
        <v>0.15</v>
      </c>
      <c r="G38" s="63">
        <f>D38*E38*F38</f>
        <v>5.3999999999999995</v>
      </c>
      <c r="H38" s="76" t="s">
        <v>51</v>
      </c>
      <c r="I38" s="100">
        <v>5330</v>
      </c>
      <c r="J38" s="101">
        <f t="shared" si="3"/>
        <v>28781.999999999996</v>
      </c>
      <c r="K38" s="149"/>
    </row>
    <row r="39" spans="1:11" x14ac:dyDescent="0.25">
      <c r="A39" s="52">
        <v>7</v>
      </c>
      <c r="B39" s="54" t="s">
        <v>90</v>
      </c>
      <c r="C39" s="63"/>
      <c r="D39" s="63">
        <f>D33*2</f>
        <v>36</v>
      </c>
      <c r="E39" s="63">
        <v>1</v>
      </c>
      <c r="F39" s="63">
        <v>0.3</v>
      </c>
      <c r="G39" s="63">
        <v>1.3</v>
      </c>
      <c r="H39" s="76" t="s">
        <v>51</v>
      </c>
      <c r="I39" s="100">
        <v>183.42</v>
      </c>
      <c r="J39" s="101">
        <f t="shared" si="3"/>
        <v>238.446</v>
      </c>
      <c r="K39" s="149"/>
    </row>
    <row r="40" spans="1:11" x14ac:dyDescent="0.25">
      <c r="A40" s="52">
        <v>8</v>
      </c>
      <c r="B40" s="54" t="s">
        <v>63</v>
      </c>
      <c r="C40" s="63"/>
      <c r="D40" s="63"/>
      <c r="E40" s="63">
        <f>G37+G38</f>
        <v>9</v>
      </c>
      <c r="F40" s="63">
        <v>100</v>
      </c>
      <c r="G40" s="63">
        <f>E40*F40</f>
        <v>900</v>
      </c>
      <c r="H40" s="76" t="s">
        <v>56</v>
      </c>
      <c r="I40" s="100">
        <v>66.239999999999995</v>
      </c>
      <c r="J40" s="101">
        <f t="shared" si="3"/>
        <v>59615.999999999993</v>
      </c>
      <c r="K40" s="149"/>
    </row>
    <row r="41" spans="1:11" x14ac:dyDescent="0.25">
      <c r="A41" s="52">
        <v>9</v>
      </c>
      <c r="B41" s="54" t="s">
        <v>91</v>
      </c>
      <c r="C41" s="63"/>
      <c r="D41" s="63">
        <f>D33*4</f>
        <v>72</v>
      </c>
      <c r="E41" s="63">
        <v>1</v>
      </c>
      <c r="F41" s="63">
        <v>1</v>
      </c>
      <c r="G41" s="63">
        <f>D41*E41*F41</f>
        <v>72</v>
      </c>
      <c r="H41" s="76" t="s">
        <v>36</v>
      </c>
      <c r="I41" s="100">
        <v>718.4</v>
      </c>
      <c r="J41" s="101">
        <f t="shared" si="3"/>
        <v>51724.799999999996</v>
      </c>
      <c r="K41" s="149"/>
    </row>
    <row r="42" spans="1:11" x14ac:dyDescent="0.25">
      <c r="A42" s="50"/>
      <c r="B42" s="51"/>
      <c r="C42" s="48"/>
      <c r="D42" s="48"/>
      <c r="E42" s="48"/>
      <c r="F42" s="27"/>
      <c r="G42" s="349" t="s">
        <v>66</v>
      </c>
      <c r="H42" s="349"/>
      <c r="I42" s="349"/>
      <c r="J42" s="103">
        <f>SUM(J33:J41)</f>
        <v>184854.13136999996</v>
      </c>
      <c r="K42" s="117">
        <f>J42</f>
        <v>184854.13136999996</v>
      </c>
    </row>
    <row r="43" spans="1:11" ht="18.75" x14ac:dyDescent="0.3">
      <c r="A43" s="2"/>
      <c r="B43" s="49" t="s">
        <v>205</v>
      </c>
      <c r="C43" s="152">
        <v>1</v>
      </c>
      <c r="D43" s="152">
        <v>11</v>
      </c>
      <c r="E43" s="152">
        <v>6</v>
      </c>
      <c r="F43" s="152"/>
      <c r="G43" s="152">
        <f>C43*D43*E43</f>
        <v>66</v>
      </c>
      <c r="H43" s="153" t="s">
        <v>36</v>
      </c>
      <c r="I43" s="153">
        <v>20000</v>
      </c>
      <c r="J43" s="231">
        <f>G43*I43</f>
        <v>1320000</v>
      </c>
      <c r="K43" s="166">
        <f>J43</f>
        <v>1320000</v>
      </c>
    </row>
    <row r="44" spans="1:11" x14ac:dyDescent="0.25">
      <c r="A44" s="39"/>
      <c r="B44" s="40" t="s">
        <v>49</v>
      </c>
      <c r="C44" s="40"/>
      <c r="D44" s="40"/>
      <c r="E44" s="40"/>
      <c r="F44" s="40"/>
      <c r="G44" s="40"/>
      <c r="H44" s="78"/>
      <c r="I44" s="96"/>
      <c r="J44" s="68"/>
      <c r="K44" s="133"/>
    </row>
    <row r="45" spans="1:11" x14ac:dyDescent="0.25">
      <c r="A45" s="41"/>
      <c r="B45" s="42" t="s">
        <v>50</v>
      </c>
      <c r="C45" s="43">
        <v>4</v>
      </c>
      <c r="D45" s="43">
        <v>3.2</v>
      </c>
      <c r="E45" s="43">
        <v>1.5</v>
      </c>
      <c r="F45" s="43">
        <v>1</v>
      </c>
      <c r="G45" s="43">
        <f>F45*E45*D45*C45</f>
        <v>19.200000000000003</v>
      </c>
      <c r="H45" s="73" t="s">
        <v>51</v>
      </c>
      <c r="I45" s="94">
        <v>315.19</v>
      </c>
      <c r="J45" s="95">
        <f>I45*G45</f>
        <v>6051.648000000001</v>
      </c>
      <c r="K45" s="133"/>
    </row>
    <row r="46" spans="1:11" x14ac:dyDescent="0.25">
      <c r="A46" s="41"/>
      <c r="B46" s="42" t="s">
        <v>52</v>
      </c>
      <c r="C46" s="43"/>
      <c r="D46" s="43"/>
      <c r="E46" s="43"/>
      <c r="F46" s="43"/>
      <c r="G46" s="43">
        <f>G45</f>
        <v>19.200000000000003</v>
      </c>
      <c r="H46" s="73" t="s">
        <v>51</v>
      </c>
      <c r="I46" s="94">
        <v>75</v>
      </c>
      <c r="J46" s="95">
        <f>I46*G46</f>
        <v>1440.0000000000002</v>
      </c>
      <c r="K46" s="133"/>
    </row>
    <row r="47" spans="1:11" x14ac:dyDescent="0.25">
      <c r="A47" s="41"/>
      <c r="B47" s="42" t="s">
        <v>13</v>
      </c>
      <c r="C47" s="43">
        <v>3.2</v>
      </c>
      <c r="D47" s="43">
        <v>2.5</v>
      </c>
      <c r="E47" s="43">
        <v>0.23</v>
      </c>
      <c r="F47" s="43">
        <f>F45</f>
        <v>1</v>
      </c>
      <c r="G47" s="43">
        <f>F47*E47*D47*C47</f>
        <v>1.8400000000000003</v>
      </c>
      <c r="H47" s="73" t="s">
        <v>51</v>
      </c>
      <c r="I47" s="94">
        <v>950</v>
      </c>
      <c r="J47" s="95">
        <f>I47*G47</f>
        <v>1748.0000000000002</v>
      </c>
      <c r="K47" s="133"/>
    </row>
    <row r="48" spans="1:11" x14ac:dyDescent="0.25">
      <c r="A48" s="41"/>
      <c r="B48" s="42" t="s">
        <v>53</v>
      </c>
      <c r="C48" s="43">
        <v>3.2</v>
      </c>
      <c r="D48" s="66">
        <v>2.5</v>
      </c>
      <c r="E48" s="43">
        <v>0.1</v>
      </c>
      <c r="F48" s="43">
        <f>F45</f>
        <v>1</v>
      </c>
      <c r="G48" s="43">
        <f>F48*E48*D48*C48</f>
        <v>0.8</v>
      </c>
      <c r="H48" s="73" t="s">
        <v>51</v>
      </c>
      <c r="I48" s="94">
        <v>3535.97</v>
      </c>
      <c r="J48" s="95">
        <f>I48*G48</f>
        <v>2828.7759999999998</v>
      </c>
      <c r="K48" s="133"/>
    </row>
    <row r="49" spans="1:11" x14ac:dyDescent="0.25">
      <c r="A49" s="41"/>
      <c r="B49" s="42" t="s">
        <v>54</v>
      </c>
      <c r="C49" s="43">
        <v>3</v>
      </c>
      <c r="D49" s="66">
        <v>2.2000000000000002</v>
      </c>
      <c r="E49" s="43">
        <v>0.95</v>
      </c>
      <c r="F49" s="43">
        <f>F45</f>
        <v>1</v>
      </c>
      <c r="G49" s="43">
        <f>F49*E49*D49*C49</f>
        <v>6.27</v>
      </c>
      <c r="H49" s="73" t="s">
        <v>51</v>
      </c>
      <c r="I49" s="94"/>
      <c r="J49" s="95"/>
      <c r="K49" s="133"/>
    </row>
    <row r="50" spans="1:11" x14ac:dyDescent="0.25">
      <c r="A50" s="41"/>
      <c r="B50" s="42"/>
      <c r="C50" s="43"/>
      <c r="D50" s="66"/>
      <c r="E50" s="43"/>
      <c r="F50" s="133" t="s">
        <v>37</v>
      </c>
      <c r="G50" s="43">
        <f>G49</f>
        <v>6.27</v>
      </c>
      <c r="H50" s="73" t="s">
        <v>51</v>
      </c>
      <c r="I50" s="94">
        <v>5329.43</v>
      </c>
      <c r="J50" s="95">
        <f>I50*G50</f>
        <v>33415.526100000003</v>
      </c>
      <c r="K50" s="133"/>
    </row>
    <row r="51" spans="1:11" x14ac:dyDescent="0.25">
      <c r="A51" s="41"/>
      <c r="B51" s="42" t="s">
        <v>55</v>
      </c>
      <c r="C51" s="43">
        <f>G50</f>
        <v>6.27</v>
      </c>
      <c r="D51" s="66"/>
      <c r="E51" s="43"/>
      <c r="F51" s="43">
        <v>8</v>
      </c>
      <c r="G51" s="43">
        <f>F51*C51</f>
        <v>50.16</v>
      </c>
      <c r="H51" s="73" t="s">
        <v>36</v>
      </c>
      <c r="I51" s="94">
        <v>529.89</v>
      </c>
      <c r="J51" s="95">
        <f t="shared" ref="J51:J55" si="4">I51*G51</f>
        <v>26579.282399999996</v>
      </c>
      <c r="K51" s="133"/>
    </row>
    <row r="52" spans="1:11" x14ac:dyDescent="0.25">
      <c r="A52" s="41"/>
      <c r="B52" s="42" t="s">
        <v>5</v>
      </c>
      <c r="C52" s="43">
        <f>G50</f>
        <v>6.27</v>
      </c>
      <c r="D52" s="66"/>
      <c r="E52" s="43"/>
      <c r="F52" s="43">
        <v>125</v>
      </c>
      <c r="G52" s="43">
        <f>F52*C52</f>
        <v>783.75</v>
      </c>
      <c r="H52" s="73" t="s">
        <v>56</v>
      </c>
      <c r="I52" s="94">
        <v>66.239999999999995</v>
      </c>
      <c r="J52" s="95">
        <f t="shared" si="4"/>
        <v>51915.6</v>
      </c>
      <c r="K52" s="133"/>
    </row>
    <row r="53" spans="1:11" x14ac:dyDescent="0.25">
      <c r="A53" s="41"/>
      <c r="B53" s="42" t="s">
        <v>44</v>
      </c>
      <c r="C53" s="43">
        <f>G45-G47-G48-G49</f>
        <v>10.290000000000003</v>
      </c>
      <c r="D53" s="66"/>
      <c r="E53" s="43"/>
      <c r="F53" s="43">
        <v>1</v>
      </c>
      <c r="G53" s="43">
        <f>F53*C53</f>
        <v>10.290000000000003</v>
      </c>
      <c r="H53" s="73" t="s">
        <v>51</v>
      </c>
      <c r="I53" s="94">
        <v>183.42</v>
      </c>
      <c r="J53" s="95">
        <f t="shared" si="4"/>
        <v>1887.3918000000003</v>
      </c>
      <c r="K53" s="133"/>
    </row>
    <row r="54" spans="1:11" x14ac:dyDescent="0.25">
      <c r="A54" s="41"/>
      <c r="B54" s="42" t="s">
        <v>57</v>
      </c>
      <c r="C54" s="43">
        <v>8</v>
      </c>
      <c r="D54" s="66"/>
      <c r="E54" s="43"/>
      <c r="F54" s="43">
        <v>1</v>
      </c>
      <c r="G54" s="43">
        <f>F54*C54</f>
        <v>8</v>
      </c>
      <c r="H54" s="73" t="s">
        <v>9</v>
      </c>
      <c r="I54" s="94">
        <v>400</v>
      </c>
      <c r="J54" s="95">
        <f t="shared" si="4"/>
        <v>3200</v>
      </c>
      <c r="K54" s="133"/>
    </row>
    <row r="55" spans="1:11" x14ac:dyDescent="0.25">
      <c r="A55" s="41"/>
      <c r="B55" s="42" t="s">
        <v>58</v>
      </c>
      <c r="C55" s="43">
        <v>0.15</v>
      </c>
      <c r="D55" s="66">
        <v>0.15</v>
      </c>
      <c r="E55" s="43">
        <v>0.4</v>
      </c>
      <c r="F55" s="43">
        <f>G54</f>
        <v>8</v>
      </c>
      <c r="G55" s="66">
        <f>C55*D55*E55*F55</f>
        <v>7.1999999999999995E-2</v>
      </c>
      <c r="H55" s="73" t="s">
        <v>51</v>
      </c>
      <c r="I55" s="94">
        <v>110053</v>
      </c>
      <c r="J55" s="95">
        <f t="shared" si="4"/>
        <v>7923.8159999999998</v>
      </c>
      <c r="K55" s="133"/>
    </row>
    <row r="56" spans="1:11" x14ac:dyDescent="0.25">
      <c r="A56" s="41"/>
      <c r="B56" s="42"/>
      <c r="C56" s="43"/>
      <c r="D56" s="66"/>
      <c r="E56" s="43"/>
      <c r="F56" s="43"/>
      <c r="G56" s="349" t="s">
        <v>66</v>
      </c>
      <c r="H56" s="349"/>
      <c r="I56" s="349"/>
      <c r="J56" s="232">
        <f>SUM(J45:J55)</f>
        <v>136990.04029999999</v>
      </c>
      <c r="K56" s="233">
        <f>J56</f>
        <v>136990.04029999999</v>
      </c>
    </row>
    <row r="57" spans="1:11" x14ac:dyDescent="0.25">
      <c r="A57" s="154"/>
      <c r="B57" s="40" t="s">
        <v>59</v>
      </c>
      <c r="C57" s="40"/>
      <c r="D57" s="13"/>
      <c r="E57" s="40"/>
      <c r="F57" s="40"/>
      <c r="G57" s="13"/>
      <c r="H57" s="78"/>
      <c r="I57" s="96"/>
      <c r="J57" s="68"/>
      <c r="K57" s="133"/>
    </row>
    <row r="58" spans="1:11" x14ac:dyDescent="0.25">
      <c r="A58" s="155"/>
      <c r="B58" s="42" t="s">
        <v>50</v>
      </c>
      <c r="C58" s="43">
        <v>1.6</v>
      </c>
      <c r="D58" s="66">
        <v>1.1000000000000001</v>
      </c>
      <c r="E58" s="43">
        <v>1.2</v>
      </c>
      <c r="F58" s="43">
        <v>4</v>
      </c>
      <c r="G58" s="66">
        <f>F58*E58*D58*C58</f>
        <v>8.4480000000000004</v>
      </c>
      <c r="H58" s="73" t="s">
        <v>51</v>
      </c>
      <c r="I58" s="94">
        <f>I45</f>
        <v>315.19</v>
      </c>
      <c r="J58" s="95">
        <f>I58*G58</f>
        <v>2662.7251200000001</v>
      </c>
      <c r="K58" s="133"/>
    </row>
    <row r="59" spans="1:11" x14ac:dyDescent="0.25">
      <c r="A59" s="155"/>
      <c r="B59" s="42" t="s">
        <v>13</v>
      </c>
      <c r="C59" s="43">
        <v>1.3</v>
      </c>
      <c r="D59" s="66">
        <f>D58</f>
        <v>1.1000000000000001</v>
      </c>
      <c r="E59" s="43">
        <v>0.23</v>
      </c>
      <c r="F59" s="43">
        <f>F58</f>
        <v>4</v>
      </c>
      <c r="G59" s="66">
        <f>F59*E59*D59*C59</f>
        <v>1.3156000000000003</v>
      </c>
      <c r="H59" s="73" t="s">
        <v>51</v>
      </c>
      <c r="I59" s="94">
        <v>950</v>
      </c>
      <c r="J59" s="95">
        <f>I59*G59</f>
        <v>1249.8200000000004</v>
      </c>
      <c r="K59" s="133"/>
    </row>
    <row r="60" spans="1:11" x14ac:dyDescent="0.25">
      <c r="A60" s="155"/>
      <c r="B60" s="42" t="s">
        <v>53</v>
      </c>
      <c r="C60" s="43">
        <f>C59</f>
        <v>1.3</v>
      </c>
      <c r="D60" s="66">
        <f>D58</f>
        <v>1.1000000000000001</v>
      </c>
      <c r="E60" s="43">
        <v>0.1</v>
      </c>
      <c r="F60" s="43">
        <f>F58</f>
        <v>4</v>
      </c>
      <c r="G60" s="66">
        <f>F60*E60*D60*C60</f>
        <v>0.57200000000000006</v>
      </c>
      <c r="H60" s="73" t="s">
        <v>51</v>
      </c>
      <c r="I60" s="94">
        <f>I48</f>
        <v>3535.97</v>
      </c>
      <c r="J60" s="95">
        <f>I60*G60</f>
        <v>2022.5748400000002</v>
      </c>
      <c r="K60" s="133"/>
    </row>
    <row r="61" spans="1:11" x14ac:dyDescent="0.25">
      <c r="A61" s="155"/>
      <c r="B61" s="42" t="s">
        <v>54</v>
      </c>
      <c r="C61" s="43">
        <v>1</v>
      </c>
      <c r="D61" s="66">
        <v>0.75</v>
      </c>
      <c r="E61" s="43">
        <v>0.75</v>
      </c>
      <c r="F61" s="43">
        <f>F58</f>
        <v>4</v>
      </c>
      <c r="G61" s="66">
        <f>F61*E61*D61*C61</f>
        <v>2.25</v>
      </c>
      <c r="H61" s="73" t="s">
        <v>51</v>
      </c>
      <c r="I61" s="94"/>
      <c r="J61" s="95"/>
      <c r="K61" s="133"/>
    </row>
    <row r="62" spans="1:11" x14ac:dyDescent="0.25">
      <c r="A62" s="155"/>
      <c r="B62" s="42"/>
      <c r="C62" s="43"/>
      <c r="D62" s="66"/>
      <c r="E62" s="43"/>
      <c r="F62" s="43"/>
      <c r="G62" s="66">
        <f>G61</f>
        <v>2.25</v>
      </c>
      <c r="H62" s="73" t="s">
        <v>51</v>
      </c>
      <c r="I62" s="94">
        <f>I50</f>
        <v>5329.43</v>
      </c>
      <c r="J62" s="95">
        <f>I62*G62</f>
        <v>11991.217500000001</v>
      </c>
      <c r="K62" s="133"/>
    </row>
    <row r="63" spans="1:11" x14ac:dyDescent="0.25">
      <c r="A63" s="155"/>
      <c r="B63" s="42" t="s">
        <v>55</v>
      </c>
      <c r="C63" s="43">
        <f>G62</f>
        <v>2.25</v>
      </c>
      <c r="D63" s="66"/>
      <c r="E63" s="43"/>
      <c r="F63" s="43">
        <v>8</v>
      </c>
      <c r="G63" s="66">
        <f>F63*C63</f>
        <v>18</v>
      </c>
      <c r="H63" s="73" t="s">
        <v>36</v>
      </c>
      <c r="I63" s="94">
        <v>718.4</v>
      </c>
      <c r="J63" s="95">
        <f t="shared" ref="J63:J67" si="5">I63*G63</f>
        <v>12931.199999999999</v>
      </c>
      <c r="K63" s="133"/>
    </row>
    <row r="64" spans="1:11" x14ac:dyDescent="0.25">
      <c r="A64" s="155"/>
      <c r="B64" s="42" t="s">
        <v>5</v>
      </c>
      <c r="C64" s="43">
        <f>G62</f>
        <v>2.25</v>
      </c>
      <c r="D64" s="66"/>
      <c r="E64" s="43"/>
      <c r="F64" s="43">
        <v>125</v>
      </c>
      <c r="G64" s="66">
        <f>F64*C64</f>
        <v>281.25</v>
      </c>
      <c r="H64" s="73" t="s">
        <v>56</v>
      </c>
      <c r="I64" s="94">
        <f>I52</f>
        <v>66.239999999999995</v>
      </c>
      <c r="J64" s="95">
        <f t="shared" si="5"/>
        <v>18630</v>
      </c>
      <c r="K64" s="133"/>
    </row>
    <row r="65" spans="1:11" x14ac:dyDescent="0.25">
      <c r="A65" s="155"/>
      <c r="B65" s="42" t="s">
        <v>44</v>
      </c>
      <c r="C65" s="43">
        <f>G58-G59-G60-G61</f>
        <v>4.3104000000000005</v>
      </c>
      <c r="D65" s="66"/>
      <c r="E65" s="43"/>
      <c r="F65" s="43">
        <v>1</v>
      </c>
      <c r="G65" s="66">
        <f>F65*C65</f>
        <v>4.3104000000000005</v>
      </c>
      <c r="H65" s="73" t="s">
        <v>51</v>
      </c>
      <c r="I65" s="94">
        <f>I53</f>
        <v>183.42</v>
      </c>
      <c r="J65" s="95">
        <f t="shared" si="5"/>
        <v>790.61356799999999</v>
      </c>
      <c r="K65" s="133"/>
    </row>
    <row r="66" spans="1:11" x14ac:dyDescent="0.25">
      <c r="A66" s="155"/>
      <c r="B66" s="42" t="s">
        <v>57</v>
      </c>
      <c r="C66" s="43">
        <v>4</v>
      </c>
      <c r="D66" s="66"/>
      <c r="E66" s="43"/>
      <c r="F66" s="43">
        <v>1</v>
      </c>
      <c r="G66" s="66">
        <f>F66*C66</f>
        <v>4</v>
      </c>
      <c r="H66" s="73" t="s">
        <v>9</v>
      </c>
      <c r="I66" s="94">
        <v>400</v>
      </c>
      <c r="J66" s="95">
        <f t="shared" si="5"/>
        <v>1600</v>
      </c>
      <c r="K66" s="133"/>
    </row>
    <row r="67" spans="1:11" x14ac:dyDescent="0.25">
      <c r="A67" s="155"/>
      <c r="B67" s="42" t="s">
        <v>58</v>
      </c>
      <c r="C67" s="43">
        <v>0.1</v>
      </c>
      <c r="D67" s="66">
        <v>0.1</v>
      </c>
      <c r="E67" s="43">
        <v>0.3</v>
      </c>
      <c r="F67" s="43">
        <f>G66</f>
        <v>4</v>
      </c>
      <c r="G67" s="66">
        <f>C67*D67*E67*F67</f>
        <v>1.2000000000000002E-2</v>
      </c>
      <c r="H67" s="73" t="s">
        <v>51</v>
      </c>
      <c r="I67" s="94">
        <v>110053</v>
      </c>
      <c r="J67" s="95">
        <f t="shared" si="5"/>
        <v>1320.6360000000002</v>
      </c>
      <c r="K67" s="133"/>
    </row>
    <row r="68" spans="1:11" x14ac:dyDescent="0.25">
      <c r="B68" s="2"/>
      <c r="C68" s="2"/>
      <c r="D68" s="2"/>
      <c r="E68" s="2"/>
      <c r="F68" s="2"/>
      <c r="G68" s="349" t="s">
        <v>66</v>
      </c>
      <c r="H68" s="349"/>
      <c r="I68" s="349"/>
      <c r="J68" s="5">
        <f>SUM(J58:J67)</f>
        <v>53198.787027999999</v>
      </c>
      <c r="K68" s="117">
        <f>J68</f>
        <v>53198.787027999999</v>
      </c>
    </row>
    <row r="69" spans="1:11" x14ac:dyDescent="0.25">
      <c r="G69" s="350" t="s">
        <v>26</v>
      </c>
      <c r="H69" s="351"/>
      <c r="I69" s="351"/>
      <c r="J69" s="352"/>
      <c r="K69" s="298">
        <f>SUM(K9:K68)</f>
        <v>3328482.398823</v>
      </c>
    </row>
  </sheetData>
  <mergeCells count="18">
    <mergeCell ref="G69:J69"/>
    <mergeCell ref="G68:I68"/>
    <mergeCell ref="G31:I31"/>
    <mergeCell ref="D30:E30"/>
    <mergeCell ref="G22:I22"/>
    <mergeCell ref="G42:I42"/>
    <mergeCell ref="G56:I56"/>
    <mergeCell ref="G11:I11"/>
    <mergeCell ref="D24:E24"/>
    <mergeCell ref="D26:E26"/>
    <mergeCell ref="D27:E27"/>
    <mergeCell ref="D28:E28"/>
    <mergeCell ref="A2:K2"/>
    <mergeCell ref="D10:E10"/>
    <mergeCell ref="D4:E4"/>
    <mergeCell ref="D6:E6"/>
    <mergeCell ref="D7:E7"/>
    <mergeCell ref="D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103" workbookViewId="0">
      <selection activeCell="B120" sqref="B120"/>
    </sheetView>
  </sheetViews>
  <sheetFormatPr defaultRowHeight="15" x14ac:dyDescent="0.25"/>
  <cols>
    <col min="1" max="1" width="4.42578125" customWidth="1"/>
    <col min="2" max="2" width="62.85546875" bestFit="1" customWidth="1"/>
    <col min="9" max="9" width="15.7109375" bestFit="1" customWidth="1"/>
    <col min="10" max="10" width="11.85546875" bestFit="1" customWidth="1"/>
    <col min="11" max="11" width="13.7109375" bestFit="1" customWidth="1"/>
  </cols>
  <sheetData>
    <row r="1" spans="1:11" ht="28.5" x14ac:dyDescent="0.45">
      <c r="A1" s="299" t="s">
        <v>378</v>
      </c>
      <c r="B1" s="300"/>
      <c r="C1" s="119"/>
      <c r="D1" s="119"/>
      <c r="E1" s="119"/>
      <c r="F1" s="119"/>
      <c r="G1" s="119"/>
      <c r="H1" s="119"/>
      <c r="I1" s="119"/>
      <c r="J1" s="119"/>
      <c r="K1" s="120"/>
    </row>
    <row r="2" spans="1:11" ht="28.5" x14ac:dyDescent="0.45">
      <c r="A2" s="2"/>
      <c r="B2" s="161" t="s">
        <v>209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15.75" x14ac:dyDescent="0.25">
      <c r="A3" s="163" t="s">
        <v>162</v>
      </c>
      <c r="B3" s="164"/>
      <c r="C3" s="165"/>
      <c r="D3" s="63"/>
      <c r="E3" s="63"/>
      <c r="F3" s="63"/>
      <c r="G3" s="63"/>
      <c r="H3" s="63"/>
      <c r="I3" s="63"/>
      <c r="J3" s="63"/>
      <c r="K3" s="63"/>
    </row>
    <row r="4" spans="1:11" ht="15.75" x14ac:dyDescent="0.25">
      <c r="A4" s="63"/>
      <c r="B4" s="63" t="s">
        <v>145</v>
      </c>
      <c r="C4" s="64">
        <v>10</v>
      </c>
      <c r="D4" s="64"/>
      <c r="E4" s="64"/>
      <c r="F4" s="64"/>
      <c r="G4" s="63"/>
      <c r="H4" s="63"/>
      <c r="I4" s="63"/>
      <c r="J4" s="63"/>
      <c r="K4" s="63"/>
    </row>
    <row r="5" spans="1:11" ht="15.75" x14ac:dyDescent="0.25">
      <c r="A5" s="63"/>
      <c r="B5" s="63" t="s">
        <v>146</v>
      </c>
      <c r="C5" s="64">
        <f>5-0.6</f>
        <v>4.4000000000000004</v>
      </c>
      <c r="D5" s="64"/>
      <c r="E5" s="64"/>
      <c r="F5" s="64"/>
      <c r="G5" s="63"/>
      <c r="H5" s="63"/>
      <c r="I5" s="63"/>
      <c r="J5" s="63"/>
      <c r="K5" s="63"/>
    </row>
    <row r="6" spans="1:11" ht="15.75" x14ac:dyDescent="0.25">
      <c r="A6" s="63"/>
      <c r="B6" s="63" t="s">
        <v>147</v>
      </c>
      <c r="C6" s="64">
        <f>C5+1.2</f>
        <v>5.6000000000000005</v>
      </c>
      <c r="D6" s="64"/>
      <c r="E6" s="64"/>
      <c r="F6" s="64"/>
      <c r="G6" s="63"/>
      <c r="H6" s="63"/>
      <c r="I6" s="63"/>
      <c r="J6" s="63"/>
      <c r="K6" s="63"/>
    </row>
    <row r="7" spans="1:11" ht="15.75" x14ac:dyDescent="0.25">
      <c r="A7" s="63"/>
      <c r="B7" s="63" t="s">
        <v>320</v>
      </c>
      <c r="C7" s="64">
        <f>(C6-C5)/2</f>
        <v>0.60000000000000009</v>
      </c>
      <c r="D7" s="64"/>
      <c r="E7" s="64"/>
      <c r="F7" s="64"/>
      <c r="G7" s="63"/>
      <c r="H7" s="63"/>
      <c r="I7" s="63"/>
      <c r="J7" s="63"/>
      <c r="K7" s="63"/>
    </row>
    <row r="8" spans="1:11" ht="15.75" x14ac:dyDescent="0.25">
      <c r="A8" s="63"/>
      <c r="B8" s="63" t="s">
        <v>149</v>
      </c>
      <c r="C8" s="64">
        <f>1.05</f>
        <v>1.05</v>
      </c>
      <c r="D8" s="64"/>
      <c r="E8" s="64"/>
      <c r="F8" s="64"/>
      <c r="G8" s="63"/>
      <c r="H8" s="63"/>
      <c r="I8" s="63"/>
      <c r="J8" s="63"/>
      <c r="K8" s="63"/>
    </row>
    <row r="9" spans="1:11" ht="15.75" x14ac:dyDescent="0.25">
      <c r="A9" s="63"/>
      <c r="B9" s="63" t="s">
        <v>148</v>
      </c>
      <c r="C9" s="64">
        <v>0.6</v>
      </c>
      <c r="D9" s="64"/>
      <c r="E9" s="64"/>
      <c r="F9" s="64"/>
      <c r="G9" s="63"/>
      <c r="H9" s="63"/>
      <c r="I9" s="63"/>
      <c r="J9" s="63"/>
      <c r="K9" s="63"/>
    </row>
    <row r="10" spans="1:11" ht="15.75" x14ac:dyDescent="0.25">
      <c r="A10" s="63"/>
      <c r="B10" s="63" t="s">
        <v>321</v>
      </c>
      <c r="C10" s="64">
        <f>0.05+0.05+0.1+0.5</f>
        <v>0.7</v>
      </c>
      <c r="D10" s="64"/>
      <c r="E10" s="64"/>
      <c r="F10" s="64"/>
      <c r="G10" s="63"/>
      <c r="H10" s="63"/>
      <c r="I10" s="63"/>
      <c r="J10" s="63"/>
      <c r="K10" s="63"/>
    </row>
    <row r="11" spans="1:11" ht="15.75" x14ac:dyDescent="0.25">
      <c r="A11" s="63"/>
      <c r="B11" s="63" t="s">
        <v>150</v>
      </c>
      <c r="C11" s="64">
        <f>C8-C15</f>
        <v>1</v>
      </c>
      <c r="D11" s="64"/>
      <c r="E11" s="64"/>
      <c r="F11" s="64"/>
      <c r="G11" s="63"/>
      <c r="H11" s="63"/>
      <c r="I11" s="63"/>
      <c r="J11" s="63"/>
      <c r="K11" s="63"/>
    </row>
    <row r="12" spans="1:11" ht="15.75" x14ac:dyDescent="0.25">
      <c r="A12" s="63"/>
      <c r="B12" s="63" t="s">
        <v>154</v>
      </c>
      <c r="C12" s="64">
        <v>15</v>
      </c>
      <c r="D12" s="64" t="s">
        <v>164</v>
      </c>
      <c r="E12" s="64" t="s">
        <v>113</v>
      </c>
      <c r="F12" s="64" t="s">
        <v>165</v>
      </c>
      <c r="G12" s="63"/>
      <c r="H12" s="63"/>
      <c r="I12" s="63"/>
      <c r="J12" s="63"/>
      <c r="K12" s="63"/>
    </row>
    <row r="13" spans="1:11" ht="15.75" x14ac:dyDescent="0.25">
      <c r="A13" s="63"/>
      <c r="B13" s="63" t="s">
        <v>322</v>
      </c>
      <c r="C13" s="166">
        <f>((D13*D13/162)*E13)+F13</f>
        <v>14.894814814814815</v>
      </c>
      <c r="D13" s="64">
        <v>32</v>
      </c>
      <c r="E13" s="64">
        <v>2.04</v>
      </c>
      <c r="F13" s="64">
        <v>2</v>
      </c>
      <c r="G13" s="63"/>
      <c r="H13" s="63"/>
      <c r="I13" s="63"/>
      <c r="J13" s="63"/>
      <c r="K13" s="63"/>
    </row>
    <row r="14" spans="1:11" ht="15.75" x14ac:dyDescent="0.25">
      <c r="A14" s="63"/>
      <c r="B14" s="63" t="s">
        <v>323</v>
      </c>
      <c r="C14" s="64">
        <v>0.05</v>
      </c>
      <c r="D14" s="64"/>
      <c r="E14" s="64"/>
      <c r="F14" s="64"/>
      <c r="G14" s="63"/>
      <c r="H14" s="63"/>
      <c r="I14" s="63"/>
      <c r="J14" s="63"/>
      <c r="K14" s="63"/>
    </row>
    <row r="15" spans="1:11" ht="15.75" x14ac:dyDescent="0.25">
      <c r="A15" s="63"/>
      <c r="B15" s="63" t="s">
        <v>159</v>
      </c>
      <c r="C15" s="64">
        <v>0.05</v>
      </c>
      <c r="D15" s="64"/>
      <c r="E15" s="64"/>
      <c r="F15" s="64"/>
      <c r="G15" s="63"/>
      <c r="H15" s="63"/>
      <c r="I15" s="63"/>
      <c r="J15" s="63"/>
      <c r="K15" s="63"/>
    </row>
    <row r="16" spans="1:11" ht="15.75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</row>
    <row r="17" spans="1:11" ht="15.75" x14ac:dyDescent="0.25">
      <c r="A17" s="38"/>
      <c r="B17" s="114" t="s">
        <v>141</v>
      </c>
      <c r="C17" s="40"/>
      <c r="D17" s="13"/>
      <c r="E17" s="40"/>
      <c r="F17" s="40"/>
      <c r="G17" s="40"/>
      <c r="H17" s="78"/>
      <c r="I17" s="96"/>
      <c r="J17" s="68"/>
      <c r="K17" s="158"/>
    </row>
    <row r="18" spans="1:11" ht="15.75" x14ac:dyDescent="0.25">
      <c r="A18" s="113" t="s">
        <v>95</v>
      </c>
      <c r="B18" s="167" t="s">
        <v>69</v>
      </c>
      <c r="C18" s="30"/>
      <c r="D18" s="67"/>
      <c r="E18" s="46"/>
      <c r="F18" s="46"/>
      <c r="G18" s="46"/>
      <c r="H18" s="78"/>
      <c r="I18" s="96"/>
      <c r="J18" s="68"/>
      <c r="K18" s="158"/>
    </row>
    <row r="19" spans="1:11" ht="15.75" x14ac:dyDescent="0.25">
      <c r="A19" s="30"/>
      <c r="B19" s="34" t="s">
        <v>324</v>
      </c>
      <c r="C19" s="27">
        <v>0</v>
      </c>
      <c r="D19" s="6"/>
      <c r="E19" s="46"/>
      <c r="F19" s="46"/>
      <c r="G19" s="71">
        <f>C19</f>
        <v>0</v>
      </c>
      <c r="H19" s="74" t="s">
        <v>4</v>
      </c>
      <c r="I19" s="21">
        <v>305703.42</v>
      </c>
      <c r="J19" s="70">
        <f>G19*I19</f>
        <v>0</v>
      </c>
      <c r="K19" s="158"/>
    </row>
    <row r="20" spans="1:11" ht="15.75" x14ac:dyDescent="0.25">
      <c r="A20" s="30"/>
      <c r="B20" s="34" t="s">
        <v>70</v>
      </c>
      <c r="C20" s="27">
        <v>0</v>
      </c>
      <c r="D20" s="6"/>
      <c r="E20" s="46"/>
      <c r="F20" s="46"/>
      <c r="G20" s="71">
        <f>C20</f>
        <v>0</v>
      </c>
      <c r="H20" s="74" t="s">
        <v>4</v>
      </c>
      <c r="I20" s="21">
        <v>229277.57</v>
      </c>
      <c r="J20" s="70">
        <f t="shared" ref="J20:J23" si="0">G20*I20</f>
        <v>0</v>
      </c>
      <c r="K20" s="158"/>
    </row>
    <row r="21" spans="1:11" ht="15.75" x14ac:dyDescent="0.25">
      <c r="A21" s="30"/>
      <c r="B21" s="34" t="s">
        <v>71</v>
      </c>
      <c r="C21" s="27">
        <f>C4</f>
        <v>10</v>
      </c>
      <c r="D21" s="6">
        <v>18</v>
      </c>
      <c r="E21" s="46"/>
      <c r="F21" s="46"/>
      <c r="G21" s="71">
        <f>C21*D21</f>
        <v>180</v>
      </c>
      <c r="H21" s="74" t="s">
        <v>39</v>
      </c>
      <c r="I21" s="21">
        <v>2394.6799999999998</v>
      </c>
      <c r="J21" s="70">
        <f t="shared" si="0"/>
        <v>431042.39999999997</v>
      </c>
      <c r="K21" s="158"/>
    </row>
    <row r="22" spans="1:11" ht="15.75" x14ac:dyDescent="0.25">
      <c r="A22" s="30"/>
      <c r="B22" s="34" t="s">
        <v>31</v>
      </c>
      <c r="C22" s="27">
        <f>C4</f>
        <v>10</v>
      </c>
      <c r="D22" s="6"/>
      <c r="E22" s="46"/>
      <c r="F22" s="46"/>
      <c r="G22" s="71">
        <f>C22</f>
        <v>10</v>
      </c>
      <c r="H22" s="74" t="s">
        <v>67</v>
      </c>
      <c r="I22" s="21">
        <v>509.51</v>
      </c>
      <c r="J22" s="70">
        <f t="shared" si="0"/>
        <v>5095.1000000000004</v>
      </c>
      <c r="K22" s="158"/>
    </row>
    <row r="23" spans="1:11" ht="15.75" x14ac:dyDescent="0.25">
      <c r="A23" s="30"/>
      <c r="B23" s="37" t="s">
        <v>32</v>
      </c>
      <c r="C23" s="27">
        <f>C4</f>
        <v>10</v>
      </c>
      <c r="D23" s="6"/>
      <c r="E23" s="46"/>
      <c r="F23" s="46"/>
      <c r="G23" s="71">
        <f>C23</f>
        <v>10</v>
      </c>
      <c r="H23" s="74" t="s">
        <v>67</v>
      </c>
      <c r="I23" s="21">
        <v>1273.76</v>
      </c>
      <c r="J23" s="70">
        <f t="shared" si="0"/>
        <v>12737.6</v>
      </c>
      <c r="K23" s="158"/>
    </row>
    <row r="24" spans="1:11" ht="15.75" x14ac:dyDescent="0.25">
      <c r="A24" s="38" t="s">
        <v>96</v>
      </c>
      <c r="B24" s="46" t="s">
        <v>207</v>
      </c>
      <c r="C24" s="46"/>
      <c r="D24" s="14"/>
      <c r="E24" s="46"/>
      <c r="F24" s="46"/>
      <c r="G24" s="46"/>
      <c r="H24" s="78"/>
      <c r="I24" s="96"/>
      <c r="J24" s="68"/>
      <c r="K24" s="158"/>
    </row>
    <row r="25" spans="1:11" ht="15.75" x14ac:dyDescent="0.25">
      <c r="A25" s="47">
        <v>1</v>
      </c>
      <c r="B25" s="48" t="s">
        <v>60</v>
      </c>
      <c r="C25" s="48">
        <v>1</v>
      </c>
      <c r="D25" s="8">
        <f>C6+0.5</f>
        <v>6.1000000000000005</v>
      </c>
      <c r="E25" s="8">
        <f>D25</f>
        <v>6.1000000000000005</v>
      </c>
      <c r="F25" s="48">
        <f>C10</f>
        <v>0.7</v>
      </c>
      <c r="G25" s="8">
        <f>D25*E25*F25</f>
        <v>26.047000000000004</v>
      </c>
      <c r="H25" s="75" t="s">
        <v>51</v>
      </c>
      <c r="I25" s="97">
        <v>315.89</v>
      </c>
      <c r="J25" s="69">
        <f>G25*I25</f>
        <v>8227.9868300000016</v>
      </c>
      <c r="K25" s="158"/>
    </row>
    <row r="26" spans="1:11" ht="15.75" x14ac:dyDescent="0.25">
      <c r="A26" s="47">
        <v>2</v>
      </c>
      <c r="B26" s="48" t="s">
        <v>61</v>
      </c>
      <c r="C26" s="48"/>
      <c r="D26" s="8"/>
      <c r="E26" s="48"/>
      <c r="F26" s="48"/>
      <c r="G26" s="8">
        <f>G25</f>
        <v>26.047000000000004</v>
      </c>
      <c r="H26" s="75" t="s">
        <v>51</v>
      </c>
      <c r="I26" s="97">
        <v>100</v>
      </c>
      <c r="J26" s="69">
        <f t="shared" ref="J26" si="1">G26*I26</f>
        <v>2604.7000000000003</v>
      </c>
      <c r="K26" s="158"/>
    </row>
    <row r="27" spans="1:11" ht="15.75" x14ac:dyDescent="0.25">
      <c r="A27" s="47">
        <v>3</v>
      </c>
      <c r="B27" s="48" t="s">
        <v>163</v>
      </c>
      <c r="C27" s="48">
        <v>3.14</v>
      </c>
      <c r="D27" s="8">
        <f>C6/2</f>
        <v>2.8000000000000003</v>
      </c>
      <c r="E27" s="8">
        <f>D27</f>
        <v>2.8000000000000003</v>
      </c>
      <c r="F27" s="48">
        <f>C9</f>
        <v>0.6</v>
      </c>
      <c r="G27" s="8">
        <f>C27*D27*E27*F27</f>
        <v>14.770560000000003</v>
      </c>
      <c r="H27" s="75"/>
      <c r="I27" s="97"/>
      <c r="J27" s="69"/>
      <c r="K27" s="158"/>
    </row>
    <row r="28" spans="1:11" ht="15.75" x14ac:dyDescent="0.25">
      <c r="A28" s="47"/>
      <c r="B28" s="48" t="s">
        <v>151</v>
      </c>
      <c r="C28" s="48">
        <v>3.14</v>
      </c>
      <c r="D28" s="8">
        <f>C6-C7</f>
        <v>5</v>
      </c>
      <c r="E28" s="8">
        <f>C7</f>
        <v>0.60000000000000009</v>
      </c>
      <c r="F28" s="48">
        <f>C8</f>
        <v>1.05</v>
      </c>
      <c r="G28" s="8">
        <f>C28*D28*E28*F28</f>
        <v>9.8910000000000018</v>
      </c>
      <c r="H28" s="75"/>
      <c r="I28" s="97"/>
      <c r="J28" s="69"/>
      <c r="K28" s="158"/>
    </row>
    <row r="29" spans="1:11" ht="15.75" x14ac:dyDescent="0.25">
      <c r="A29" s="47"/>
      <c r="B29" s="48" t="s">
        <v>158</v>
      </c>
      <c r="C29" s="48">
        <v>1</v>
      </c>
      <c r="D29" s="8">
        <v>1.3</v>
      </c>
      <c r="E29" s="8">
        <v>1.3</v>
      </c>
      <c r="F29" s="48">
        <f>F28</f>
        <v>1.05</v>
      </c>
      <c r="G29" s="8">
        <f>C29*D29*E29*F29</f>
        <v>1.7745000000000002</v>
      </c>
      <c r="H29" s="75"/>
      <c r="I29" s="97"/>
      <c r="J29" s="69"/>
      <c r="K29" s="158"/>
    </row>
    <row r="30" spans="1:11" ht="15.75" x14ac:dyDescent="0.25">
      <c r="A30" s="47"/>
      <c r="B30" s="48" t="s">
        <v>160</v>
      </c>
      <c r="C30" s="48">
        <v>3.14</v>
      </c>
      <c r="D30" s="8">
        <f>(C6+3)/2</f>
        <v>4.3000000000000007</v>
      </c>
      <c r="E30" s="8">
        <f>D30</f>
        <v>4.3000000000000007</v>
      </c>
      <c r="F30" s="48">
        <v>0.15</v>
      </c>
      <c r="G30" s="8">
        <f t="shared" ref="G30:G31" si="2">C30*D30*E30*F30</f>
        <v>8.7087900000000023</v>
      </c>
      <c r="H30" s="75"/>
      <c r="I30" s="97"/>
      <c r="J30" s="69"/>
      <c r="K30" s="158"/>
    </row>
    <row r="31" spans="1:11" ht="15.75" x14ac:dyDescent="0.25">
      <c r="A31" s="47"/>
      <c r="B31" s="48" t="s">
        <v>161</v>
      </c>
      <c r="C31" s="48">
        <v>3.14</v>
      </c>
      <c r="D31" s="8">
        <f>D30-(D30-0.2)</f>
        <v>0.20000000000000018</v>
      </c>
      <c r="E31" s="8">
        <f>D30</f>
        <v>4.3000000000000007</v>
      </c>
      <c r="F31" s="48">
        <f>0.75-0.15</f>
        <v>0.6</v>
      </c>
      <c r="G31" s="8">
        <f t="shared" si="2"/>
        <v>1.6202400000000017</v>
      </c>
      <c r="H31" s="75"/>
      <c r="I31" s="97"/>
      <c r="J31" s="69"/>
      <c r="K31" s="158"/>
    </row>
    <row r="32" spans="1:11" ht="15.75" x14ac:dyDescent="0.25">
      <c r="A32" s="47"/>
      <c r="B32" s="48"/>
      <c r="C32" s="48"/>
      <c r="D32" s="8"/>
      <c r="E32" s="8"/>
      <c r="F32" s="48" t="s">
        <v>37</v>
      </c>
      <c r="G32" s="8">
        <f>SUM(G27:G31)</f>
        <v>36.765090000000008</v>
      </c>
      <c r="H32" s="75" t="s">
        <v>51</v>
      </c>
      <c r="I32" s="97">
        <v>5329.43</v>
      </c>
      <c r="J32" s="69">
        <f t="shared" ref="J32" si="3">G32*I32</f>
        <v>195936.97359870005</v>
      </c>
      <c r="K32" s="158"/>
    </row>
    <row r="33" spans="1:11" ht="15.75" x14ac:dyDescent="0.25">
      <c r="A33" s="47">
        <v>4</v>
      </c>
      <c r="B33" s="48" t="s">
        <v>155</v>
      </c>
      <c r="C33" s="48">
        <v>3.14</v>
      </c>
      <c r="D33" s="8">
        <f>C5/2</f>
        <v>2.2000000000000002</v>
      </c>
      <c r="E33" s="8">
        <f>D33</f>
        <v>2.2000000000000002</v>
      </c>
      <c r="F33" s="48">
        <f>C11</f>
        <v>1</v>
      </c>
      <c r="G33" s="8">
        <f>D33*E33*F33</f>
        <v>4.8400000000000007</v>
      </c>
      <c r="H33" s="75"/>
      <c r="I33" s="97"/>
      <c r="J33" s="69"/>
      <c r="K33" s="158"/>
    </row>
    <row r="34" spans="1:11" ht="15.75" x14ac:dyDescent="0.25">
      <c r="A34" s="47"/>
      <c r="B34" s="48" t="s">
        <v>156</v>
      </c>
      <c r="C34" s="48">
        <v>3.14</v>
      </c>
      <c r="D34" s="8">
        <f>(C6+0.2)/2</f>
        <v>2.9000000000000004</v>
      </c>
      <c r="E34" s="8">
        <f>D34</f>
        <v>2.9000000000000004</v>
      </c>
      <c r="F34" s="48">
        <v>0.05</v>
      </c>
      <c r="G34" s="8">
        <f t="shared" ref="G34:G35" si="4">D34*E34*F34</f>
        <v>0.4205000000000001</v>
      </c>
      <c r="H34" s="75"/>
      <c r="I34" s="97"/>
      <c r="J34" s="69"/>
      <c r="K34" s="158"/>
    </row>
    <row r="35" spans="1:11" ht="15.75" x14ac:dyDescent="0.25">
      <c r="A35" s="47"/>
      <c r="B35" s="48" t="s">
        <v>160</v>
      </c>
      <c r="C35" s="48">
        <v>3.14</v>
      </c>
      <c r="D35" s="8">
        <f>D30</f>
        <v>4.3000000000000007</v>
      </c>
      <c r="E35" s="8">
        <f>D35</f>
        <v>4.3000000000000007</v>
      </c>
      <c r="F35" s="48">
        <v>0.05</v>
      </c>
      <c r="G35" s="8">
        <f t="shared" si="4"/>
        <v>0.92450000000000032</v>
      </c>
      <c r="H35" s="75"/>
      <c r="I35" s="97"/>
      <c r="J35" s="69"/>
      <c r="K35" s="158"/>
    </row>
    <row r="36" spans="1:11" ht="15.75" x14ac:dyDescent="0.25">
      <c r="A36" s="47"/>
      <c r="B36" s="48"/>
      <c r="C36" s="48"/>
      <c r="D36" s="8"/>
      <c r="E36" s="8"/>
      <c r="F36" s="48" t="s">
        <v>37</v>
      </c>
      <c r="G36" s="8">
        <f>SUM(G33:G35)</f>
        <v>6.1850000000000005</v>
      </c>
      <c r="H36" s="75" t="s">
        <v>51</v>
      </c>
      <c r="I36" s="97">
        <v>927.3</v>
      </c>
      <c r="J36" s="69">
        <f t="shared" ref="J36" si="5">G36*I36</f>
        <v>5735.3505000000005</v>
      </c>
      <c r="K36" s="158"/>
    </row>
    <row r="37" spans="1:11" ht="15.75" x14ac:dyDescent="0.25">
      <c r="A37" s="47">
        <v>5</v>
      </c>
      <c r="B37" s="48" t="s">
        <v>152</v>
      </c>
      <c r="C37" s="48">
        <v>3.14</v>
      </c>
      <c r="D37" s="8">
        <f>C6</f>
        <v>5.6000000000000005</v>
      </c>
      <c r="E37" s="48"/>
      <c r="F37" s="48">
        <f>C8</f>
        <v>1.05</v>
      </c>
      <c r="G37" s="8">
        <f>C37*D37*F37</f>
        <v>18.463200000000004</v>
      </c>
      <c r="H37" s="75"/>
      <c r="I37" s="97"/>
      <c r="J37" s="69"/>
      <c r="K37" s="158"/>
    </row>
    <row r="38" spans="1:11" ht="15.75" x14ac:dyDescent="0.25">
      <c r="A38" s="47"/>
      <c r="B38" s="48" t="s">
        <v>153</v>
      </c>
      <c r="C38" s="48">
        <v>3.14</v>
      </c>
      <c r="D38" s="8">
        <f>C5</f>
        <v>4.4000000000000004</v>
      </c>
      <c r="E38" s="48"/>
      <c r="F38" s="48">
        <f>C8</f>
        <v>1.05</v>
      </c>
      <c r="G38" s="8">
        <f t="shared" ref="G38:G39" si="6">C38*D38*F38</f>
        <v>14.506800000000004</v>
      </c>
      <c r="H38" s="75"/>
      <c r="I38" s="97"/>
      <c r="J38" s="69"/>
      <c r="K38" s="158"/>
    </row>
    <row r="39" spans="1:11" ht="15.75" x14ac:dyDescent="0.25">
      <c r="A39" s="47"/>
      <c r="B39" s="48" t="s">
        <v>33</v>
      </c>
      <c r="C39" s="48">
        <v>3.14</v>
      </c>
      <c r="D39" s="8">
        <f>C6</f>
        <v>5.6000000000000005</v>
      </c>
      <c r="E39" s="48"/>
      <c r="F39" s="48">
        <f>C9</f>
        <v>0.6</v>
      </c>
      <c r="G39" s="8">
        <f t="shared" si="6"/>
        <v>10.550400000000002</v>
      </c>
      <c r="H39" s="75"/>
      <c r="I39" s="97"/>
      <c r="J39" s="69"/>
      <c r="K39" s="158"/>
    </row>
    <row r="40" spans="1:11" ht="15.75" x14ac:dyDescent="0.25">
      <c r="A40" s="47"/>
      <c r="B40" s="48" t="s">
        <v>161</v>
      </c>
      <c r="C40" s="48">
        <v>3.14</v>
      </c>
      <c r="D40" s="8">
        <v>2</v>
      </c>
      <c r="E40" s="8">
        <f>E31</f>
        <v>4.3000000000000007</v>
      </c>
      <c r="F40" s="48">
        <f>0.75-0.15</f>
        <v>0.6</v>
      </c>
      <c r="G40" s="8">
        <f t="shared" ref="G40" si="7">C40*D40*E40*F40</f>
        <v>16.202400000000001</v>
      </c>
      <c r="H40" s="75"/>
      <c r="I40" s="97"/>
      <c r="J40" s="69"/>
      <c r="K40" s="158"/>
    </row>
    <row r="41" spans="1:11" ht="15.75" x14ac:dyDescent="0.25">
      <c r="A41" s="47"/>
      <c r="B41" s="48"/>
      <c r="C41" s="48"/>
      <c r="D41" s="8"/>
      <c r="E41" s="48"/>
      <c r="F41" s="48" t="s">
        <v>37</v>
      </c>
      <c r="G41" s="8">
        <f>SUM(G37:G40)</f>
        <v>59.722800000000007</v>
      </c>
      <c r="H41" s="75" t="s">
        <v>36</v>
      </c>
      <c r="I41" s="97">
        <v>718.4</v>
      </c>
      <c r="J41" s="69">
        <f t="shared" ref="J41:J42" si="8">G41*I41</f>
        <v>42904.859520000005</v>
      </c>
      <c r="K41" s="158"/>
    </row>
    <row r="42" spans="1:11" ht="15.75" x14ac:dyDescent="0.25">
      <c r="A42" s="47">
        <v>6</v>
      </c>
      <c r="B42" s="48" t="s">
        <v>65</v>
      </c>
      <c r="C42" s="48">
        <f>C12</f>
        <v>15</v>
      </c>
      <c r="D42" s="8"/>
      <c r="E42" s="48">
        <f>C13</f>
        <v>14.894814814814815</v>
      </c>
      <c r="F42" s="48"/>
      <c r="G42" s="8">
        <f>C42*E42</f>
        <v>223.42222222222222</v>
      </c>
      <c r="H42" s="75" t="s">
        <v>56</v>
      </c>
      <c r="I42" s="97">
        <v>125</v>
      </c>
      <c r="J42" s="69">
        <f t="shared" si="8"/>
        <v>27927.777777777777</v>
      </c>
      <c r="K42" s="158"/>
    </row>
    <row r="43" spans="1:11" ht="15.75" x14ac:dyDescent="0.25">
      <c r="A43" s="47">
        <v>7</v>
      </c>
      <c r="B43" s="48" t="s">
        <v>73</v>
      </c>
      <c r="C43" s="48">
        <v>3.14</v>
      </c>
      <c r="D43" s="8">
        <f>(C6+0.2)/2</f>
        <v>2.9000000000000004</v>
      </c>
      <c r="E43" s="8">
        <f>D43</f>
        <v>2.9000000000000004</v>
      </c>
      <c r="F43" s="48">
        <v>0.05</v>
      </c>
      <c r="G43" s="8">
        <f>C43*D43*E43*F43</f>
        <v>1.3203700000000005</v>
      </c>
      <c r="H43" s="75"/>
      <c r="I43" s="97"/>
      <c r="J43" s="69"/>
      <c r="K43" s="158"/>
    </row>
    <row r="44" spans="1:11" ht="15.75" x14ac:dyDescent="0.25">
      <c r="A44" s="47"/>
      <c r="B44" s="48" t="s">
        <v>160</v>
      </c>
      <c r="C44" s="48">
        <v>3.14</v>
      </c>
      <c r="D44" s="8">
        <f>D35</f>
        <v>4.3000000000000007</v>
      </c>
      <c r="E44" s="8">
        <f>D44</f>
        <v>4.3000000000000007</v>
      </c>
      <c r="F44" s="48">
        <v>0.05</v>
      </c>
      <c r="G44" s="8">
        <f>C44*D44*E44*F44</f>
        <v>2.9029300000000013</v>
      </c>
      <c r="H44" s="75"/>
      <c r="I44" s="97"/>
      <c r="J44" s="69"/>
      <c r="K44" s="158"/>
    </row>
    <row r="45" spans="1:11" ht="15.75" x14ac:dyDescent="0.25">
      <c r="A45" s="47"/>
      <c r="B45" s="48"/>
      <c r="C45" s="48"/>
      <c r="D45" s="8"/>
      <c r="E45" s="8"/>
      <c r="F45" s="48" t="s">
        <v>37</v>
      </c>
      <c r="G45" s="8">
        <f>SUM(G43:G44)</f>
        <v>4.2233000000000018</v>
      </c>
      <c r="H45" s="75" t="s">
        <v>51</v>
      </c>
      <c r="I45" s="97">
        <v>3535.97</v>
      </c>
      <c r="J45" s="69">
        <f t="shared" ref="J45:J47" si="9">G45*I45</f>
        <v>14933.462101000006</v>
      </c>
      <c r="K45" s="158"/>
    </row>
    <row r="46" spans="1:11" ht="15.75" x14ac:dyDescent="0.25">
      <c r="A46" s="47">
        <v>8</v>
      </c>
      <c r="B46" s="48" t="s">
        <v>157</v>
      </c>
      <c r="C46" s="48">
        <v>3.14</v>
      </c>
      <c r="D46" s="8">
        <f>C5/2</f>
        <v>2.2000000000000002</v>
      </c>
      <c r="E46" s="8">
        <f>D46</f>
        <v>2.2000000000000002</v>
      </c>
      <c r="F46" s="48">
        <v>0.05</v>
      </c>
      <c r="G46" s="8">
        <f>C46*D46*E46</f>
        <v>15.197600000000003</v>
      </c>
      <c r="H46" s="75" t="s">
        <v>36</v>
      </c>
      <c r="I46" s="97">
        <v>750</v>
      </c>
      <c r="J46" s="69">
        <f t="shared" si="9"/>
        <v>11398.200000000003</v>
      </c>
      <c r="K46" s="158"/>
    </row>
    <row r="47" spans="1:11" ht="15.75" x14ac:dyDescent="0.25">
      <c r="A47" s="47">
        <v>9</v>
      </c>
      <c r="B47" s="48" t="s">
        <v>63</v>
      </c>
      <c r="C47" s="48">
        <v>1</v>
      </c>
      <c r="D47" s="8"/>
      <c r="E47" s="8">
        <f>G32</f>
        <v>36.765090000000008</v>
      </c>
      <c r="F47" s="48">
        <v>100</v>
      </c>
      <c r="G47" s="8">
        <f>E47*F47</f>
        <v>3676.5090000000009</v>
      </c>
      <c r="H47" s="75" t="s">
        <v>56</v>
      </c>
      <c r="I47" s="97">
        <v>66.239999999999995</v>
      </c>
      <c r="J47" s="69">
        <f t="shared" si="9"/>
        <v>243531.95616000003</v>
      </c>
      <c r="K47" s="158"/>
    </row>
    <row r="48" spans="1:11" ht="15.75" x14ac:dyDescent="0.25">
      <c r="A48" s="63"/>
      <c r="B48" s="63"/>
      <c r="C48" s="63"/>
      <c r="D48" s="63"/>
      <c r="F48" s="168"/>
      <c r="G48" s="168"/>
      <c r="H48" s="168" t="s">
        <v>26</v>
      </c>
      <c r="I48" s="36"/>
      <c r="J48" s="150">
        <f>SUM(J19:J47)</f>
        <v>1002076.3664874779</v>
      </c>
      <c r="K48" s="63"/>
    </row>
    <row r="49" spans="1:11" ht="15.75" x14ac:dyDescent="0.25">
      <c r="A49" s="2"/>
      <c r="B49" s="2"/>
      <c r="C49" s="2"/>
      <c r="D49" s="169" t="s">
        <v>379</v>
      </c>
      <c r="E49" s="169"/>
      <c r="F49" s="169"/>
      <c r="G49" s="169">
        <v>1</v>
      </c>
      <c r="H49" s="170" t="s">
        <v>67</v>
      </c>
      <c r="I49" s="5">
        <f>J48</f>
        <v>1002076.3664874779</v>
      </c>
      <c r="J49" s="118">
        <f>G49*I49</f>
        <v>1002076.3664874779</v>
      </c>
      <c r="K49" s="5">
        <f>J49</f>
        <v>1002076.3664874779</v>
      </c>
    </row>
    <row r="50" spans="1:11" ht="28.5" x14ac:dyDescent="0.45">
      <c r="A50" s="2"/>
      <c r="B50" s="161" t="s">
        <v>210</v>
      </c>
      <c r="C50" s="162"/>
      <c r="D50" s="162"/>
      <c r="E50" s="162"/>
      <c r="F50" s="162"/>
      <c r="G50" s="162"/>
      <c r="H50" s="162"/>
      <c r="I50" s="162"/>
      <c r="J50" s="162"/>
      <c r="K50" s="162"/>
    </row>
    <row r="51" spans="1:11" ht="15.75" x14ac:dyDescent="0.25">
      <c r="A51" s="163" t="s">
        <v>162</v>
      </c>
      <c r="B51" s="164"/>
      <c r="C51" s="165"/>
      <c r="D51" s="63"/>
      <c r="E51" s="63"/>
      <c r="F51" s="63"/>
      <c r="G51" s="63"/>
      <c r="H51" s="63"/>
      <c r="I51" s="63"/>
      <c r="J51" s="63"/>
      <c r="K51" s="63"/>
    </row>
    <row r="52" spans="1:11" ht="15.75" x14ac:dyDescent="0.25">
      <c r="A52" s="63"/>
      <c r="B52" s="63" t="s">
        <v>145</v>
      </c>
      <c r="C52" s="64">
        <v>7</v>
      </c>
      <c r="D52" s="64"/>
      <c r="E52" s="64"/>
      <c r="F52" s="64"/>
      <c r="G52" s="63"/>
      <c r="H52" s="63"/>
      <c r="I52" s="63"/>
      <c r="J52" s="63"/>
      <c r="K52" s="63"/>
    </row>
    <row r="53" spans="1:11" ht="15.75" x14ac:dyDescent="0.25">
      <c r="A53" s="63"/>
      <c r="B53" s="63" t="s">
        <v>146</v>
      </c>
      <c r="C53" s="64">
        <f>3-0.5</f>
        <v>2.5</v>
      </c>
      <c r="D53" s="64"/>
      <c r="E53" s="64"/>
      <c r="F53" s="64"/>
      <c r="G53" s="63"/>
      <c r="H53" s="63"/>
      <c r="I53" s="63"/>
      <c r="J53" s="63"/>
      <c r="K53" s="63"/>
    </row>
    <row r="54" spans="1:11" ht="15.75" x14ac:dyDescent="0.25">
      <c r="A54" s="63"/>
      <c r="B54" s="63" t="s">
        <v>147</v>
      </c>
      <c r="C54" s="64">
        <f>C53+1</f>
        <v>3.5</v>
      </c>
      <c r="D54" s="64"/>
      <c r="E54" s="64"/>
      <c r="F54" s="64"/>
      <c r="G54" s="63"/>
      <c r="H54" s="63"/>
      <c r="I54" s="63"/>
      <c r="J54" s="63"/>
      <c r="K54" s="63"/>
    </row>
    <row r="55" spans="1:11" ht="15.75" x14ac:dyDescent="0.25">
      <c r="A55" s="63"/>
      <c r="B55" s="63" t="s">
        <v>320</v>
      </c>
      <c r="C55" s="64">
        <f>(C54-C53)/2</f>
        <v>0.5</v>
      </c>
      <c r="D55" s="64"/>
      <c r="E55" s="64"/>
      <c r="F55" s="64"/>
      <c r="G55" s="63"/>
      <c r="H55" s="63"/>
      <c r="I55" s="63"/>
      <c r="J55" s="63"/>
      <c r="K55" s="63"/>
    </row>
    <row r="56" spans="1:11" ht="15.75" x14ac:dyDescent="0.25">
      <c r="A56" s="63"/>
      <c r="B56" s="63" t="s">
        <v>149</v>
      </c>
      <c r="C56" s="64">
        <f>1.05</f>
        <v>1.05</v>
      </c>
      <c r="D56" s="64"/>
      <c r="E56" s="64"/>
      <c r="F56" s="64"/>
      <c r="G56" s="63"/>
      <c r="H56" s="63"/>
      <c r="I56" s="63"/>
      <c r="J56" s="63"/>
      <c r="K56" s="63"/>
    </row>
    <row r="57" spans="1:11" ht="15.75" x14ac:dyDescent="0.25">
      <c r="A57" s="63"/>
      <c r="B57" s="63" t="s">
        <v>148</v>
      </c>
      <c r="C57" s="64">
        <v>0.6</v>
      </c>
      <c r="D57" s="64"/>
      <c r="E57" s="64"/>
      <c r="F57" s="64"/>
      <c r="G57" s="63"/>
      <c r="H57" s="63"/>
      <c r="I57" s="63"/>
      <c r="J57" s="63"/>
      <c r="K57" s="63"/>
    </row>
    <row r="58" spans="1:11" ht="15.75" x14ac:dyDescent="0.25">
      <c r="A58" s="63"/>
      <c r="B58" s="63" t="s">
        <v>321</v>
      </c>
      <c r="C58" s="64">
        <f>0.05+0.05+0.1+0.5</f>
        <v>0.7</v>
      </c>
      <c r="D58" s="64"/>
      <c r="E58" s="64"/>
      <c r="F58" s="64"/>
      <c r="G58" s="63"/>
      <c r="H58" s="63"/>
      <c r="I58" s="63"/>
      <c r="J58" s="63"/>
      <c r="K58" s="63"/>
    </row>
    <row r="59" spans="1:11" ht="15.75" x14ac:dyDescent="0.25">
      <c r="A59" s="63"/>
      <c r="B59" s="63" t="s">
        <v>150</v>
      </c>
      <c r="C59" s="64">
        <f>C56-C63</f>
        <v>1</v>
      </c>
      <c r="D59" s="64"/>
      <c r="E59" s="64"/>
      <c r="F59" s="64"/>
      <c r="G59" s="63"/>
      <c r="H59" s="63"/>
      <c r="I59" s="63"/>
      <c r="J59" s="63"/>
      <c r="K59" s="63"/>
    </row>
    <row r="60" spans="1:11" ht="15.75" x14ac:dyDescent="0.25">
      <c r="A60" s="63"/>
      <c r="B60" s="63" t="s">
        <v>154</v>
      </c>
      <c r="C60" s="64">
        <v>10</v>
      </c>
      <c r="D60" s="64" t="s">
        <v>164</v>
      </c>
      <c r="E60" s="64" t="s">
        <v>113</v>
      </c>
      <c r="F60" s="64" t="s">
        <v>165</v>
      </c>
      <c r="G60" s="63"/>
      <c r="H60" s="63"/>
      <c r="I60" s="63"/>
      <c r="J60" s="63"/>
      <c r="K60" s="63"/>
    </row>
    <row r="61" spans="1:11" ht="15.75" x14ac:dyDescent="0.25">
      <c r="A61" s="63"/>
      <c r="B61" s="63" t="s">
        <v>322</v>
      </c>
      <c r="C61" s="166">
        <f>((D61*D61/162)*E61)+F61</f>
        <v>14.894814814814815</v>
      </c>
      <c r="D61" s="64">
        <v>32</v>
      </c>
      <c r="E61" s="64">
        <v>2.04</v>
      </c>
      <c r="F61" s="64">
        <v>2</v>
      </c>
      <c r="G61" s="63"/>
      <c r="H61" s="63"/>
      <c r="I61" s="63"/>
      <c r="J61" s="63"/>
      <c r="K61" s="63"/>
    </row>
    <row r="62" spans="1:11" ht="15.75" x14ac:dyDescent="0.25">
      <c r="A62" s="63"/>
      <c r="B62" s="63" t="s">
        <v>323</v>
      </c>
      <c r="C62" s="64">
        <v>0.05</v>
      </c>
      <c r="D62" s="64"/>
      <c r="E62" s="64"/>
      <c r="F62" s="64"/>
      <c r="G62" s="63"/>
      <c r="H62" s="63"/>
      <c r="I62" s="63"/>
      <c r="J62" s="63"/>
      <c r="K62" s="63"/>
    </row>
    <row r="63" spans="1:11" ht="15.75" x14ac:dyDescent="0.25">
      <c r="A63" s="63"/>
      <c r="B63" s="63" t="s">
        <v>159</v>
      </c>
      <c r="C63" s="64">
        <v>0.05</v>
      </c>
      <c r="D63" s="64"/>
      <c r="E63" s="64"/>
      <c r="F63" s="64"/>
      <c r="G63" s="63"/>
      <c r="H63" s="63"/>
      <c r="I63" s="63"/>
      <c r="J63" s="63"/>
      <c r="K63" s="63"/>
    </row>
    <row r="64" spans="1:11" ht="15.75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</row>
    <row r="65" spans="1:11" ht="15.75" x14ac:dyDescent="0.25">
      <c r="A65" s="38"/>
      <c r="B65" s="114" t="s">
        <v>141</v>
      </c>
      <c r="C65" s="40"/>
      <c r="D65" s="13"/>
      <c r="E65" s="40"/>
      <c r="F65" s="40"/>
      <c r="G65" s="40"/>
      <c r="H65" s="78"/>
      <c r="I65" s="96"/>
      <c r="J65" s="68"/>
      <c r="K65" s="158"/>
    </row>
    <row r="66" spans="1:11" ht="15.75" x14ac:dyDescent="0.25">
      <c r="A66" s="113" t="s">
        <v>95</v>
      </c>
      <c r="B66" s="167" t="s">
        <v>69</v>
      </c>
      <c r="C66" s="30"/>
      <c r="D66" s="67"/>
      <c r="E66" s="46"/>
      <c r="F66" s="46"/>
      <c r="G66" s="46"/>
      <c r="H66" s="78"/>
      <c r="I66" s="96"/>
      <c r="J66" s="68"/>
      <c r="K66" s="158"/>
    </row>
    <row r="67" spans="1:11" ht="15.75" x14ac:dyDescent="0.25">
      <c r="A67" s="30"/>
      <c r="B67" s="34" t="s">
        <v>324</v>
      </c>
      <c r="C67" s="27">
        <v>0</v>
      </c>
      <c r="D67" s="6"/>
      <c r="E67" s="46"/>
      <c r="F67" s="46"/>
      <c r="G67" s="71">
        <f>C67</f>
        <v>0</v>
      </c>
      <c r="H67" s="74" t="s">
        <v>4</v>
      </c>
      <c r="I67" s="21">
        <v>305703.42</v>
      </c>
      <c r="J67" s="70">
        <f>G67*I67</f>
        <v>0</v>
      </c>
      <c r="K67" s="158"/>
    </row>
    <row r="68" spans="1:11" ht="15.75" x14ac:dyDescent="0.25">
      <c r="A68" s="30"/>
      <c r="B68" s="34" t="s">
        <v>70</v>
      </c>
      <c r="C68" s="27">
        <v>0</v>
      </c>
      <c r="D68" s="6"/>
      <c r="E68" s="46"/>
      <c r="F68" s="46"/>
      <c r="G68" s="71">
        <f>C68</f>
        <v>0</v>
      </c>
      <c r="H68" s="74" t="s">
        <v>4</v>
      </c>
      <c r="I68" s="21">
        <v>229277.57</v>
      </c>
      <c r="J68" s="70">
        <f t="shared" ref="J68:J71" si="10">G68*I68</f>
        <v>0</v>
      </c>
      <c r="K68" s="158"/>
    </row>
    <row r="69" spans="1:11" ht="15.75" x14ac:dyDescent="0.25">
      <c r="A69" s="30"/>
      <c r="B69" s="34" t="s">
        <v>71</v>
      </c>
      <c r="C69" s="27">
        <f>C52</f>
        <v>7</v>
      </c>
      <c r="D69" s="6">
        <v>18</v>
      </c>
      <c r="E69" s="46"/>
      <c r="F69" s="46"/>
      <c r="G69" s="71">
        <f>C69*D69</f>
        <v>126</v>
      </c>
      <c r="H69" s="74" t="s">
        <v>39</v>
      </c>
      <c r="I69" s="21">
        <v>2394.6799999999998</v>
      </c>
      <c r="J69" s="70">
        <f t="shared" si="10"/>
        <v>301729.68</v>
      </c>
      <c r="K69" s="158"/>
    </row>
    <row r="70" spans="1:11" ht="15.75" x14ac:dyDescent="0.25">
      <c r="A70" s="30"/>
      <c r="B70" s="34" t="s">
        <v>31</v>
      </c>
      <c r="C70" s="27">
        <f>C52</f>
        <v>7</v>
      </c>
      <c r="D70" s="6"/>
      <c r="E70" s="46"/>
      <c r="F70" s="46"/>
      <c r="G70" s="71">
        <f>C70</f>
        <v>7</v>
      </c>
      <c r="H70" s="74" t="s">
        <v>67</v>
      </c>
      <c r="I70" s="21">
        <v>509.51</v>
      </c>
      <c r="J70" s="70">
        <f t="shared" si="10"/>
        <v>3566.5699999999997</v>
      </c>
      <c r="K70" s="158"/>
    </row>
    <row r="71" spans="1:11" ht="15.75" x14ac:dyDescent="0.25">
      <c r="A71" s="30"/>
      <c r="B71" s="37" t="s">
        <v>32</v>
      </c>
      <c r="C71" s="27">
        <f>C52</f>
        <v>7</v>
      </c>
      <c r="D71" s="6"/>
      <c r="E71" s="46"/>
      <c r="F71" s="46"/>
      <c r="G71" s="71">
        <f>C71</f>
        <v>7</v>
      </c>
      <c r="H71" s="74" t="s">
        <v>67</v>
      </c>
      <c r="I71" s="21">
        <v>1273.76</v>
      </c>
      <c r="J71" s="70">
        <f t="shared" si="10"/>
        <v>8916.32</v>
      </c>
      <c r="K71" s="158"/>
    </row>
    <row r="72" spans="1:11" ht="15.75" x14ac:dyDescent="0.25">
      <c r="A72" s="38" t="s">
        <v>96</v>
      </c>
      <c r="B72" s="46" t="s">
        <v>208</v>
      </c>
      <c r="C72" s="46"/>
      <c r="D72" s="14"/>
      <c r="E72" s="46"/>
      <c r="F72" s="46"/>
      <c r="G72" s="46"/>
      <c r="H72" s="78"/>
      <c r="I72" s="96"/>
      <c r="J72" s="68"/>
      <c r="K72" s="158"/>
    </row>
    <row r="73" spans="1:11" ht="15.75" x14ac:dyDescent="0.25">
      <c r="A73" s="47">
        <v>1</v>
      </c>
      <c r="B73" s="48" t="s">
        <v>60</v>
      </c>
      <c r="C73" s="48">
        <v>1</v>
      </c>
      <c r="D73" s="8">
        <f>C54+0.5</f>
        <v>4</v>
      </c>
      <c r="E73" s="8">
        <f>D73</f>
        <v>4</v>
      </c>
      <c r="F73" s="48">
        <f>C58</f>
        <v>0.7</v>
      </c>
      <c r="G73" s="8">
        <f>D73*E73*F73</f>
        <v>11.2</v>
      </c>
      <c r="H73" s="75" t="s">
        <v>51</v>
      </c>
      <c r="I73" s="97">
        <v>315.89</v>
      </c>
      <c r="J73" s="69">
        <f>G73*I73</f>
        <v>3537.9679999999998</v>
      </c>
      <c r="K73" s="158"/>
    </row>
    <row r="74" spans="1:11" ht="15.75" x14ac:dyDescent="0.25">
      <c r="A74" s="47">
        <v>2</v>
      </c>
      <c r="B74" s="48" t="s">
        <v>61</v>
      </c>
      <c r="C74" s="48"/>
      <c r="D74" s="8"/>
      <c r="E74" s="48"/>
      <c r="F74" s="48"/>
      <c r="G74" s="8">
        <f>G73</f>
        <v>11.2</v>
      </c>
      <c r="H74" s="75" t="s">
        <v>51</v>
      </c>
      <c r="I74" s="97">
        <v>100</v>
      </c>
      <c r="J74" s="69">
        <f t="shared" ref="J74" si="11">G74*I74</f>
        <v>1120</v>
      </c>
      <c r="K74" s="158"/>
    </row>
    <row r="75" spans="1:11" ht="15.75" x14ac:dyDescent="0.25">
      <c r="A75" s="47">
        <v>3</v>
      </c>
      <c r="B75" s="48" t="s">
        <v>163</v>
      </c>
      <c r="C75" s="48">
        <v>3.14</v>
      </c>
      <c r="D75" s="8">
        <f>C54/2</f>
        <v>1.75</v>
      </c>
      <c r="E75" s="8">
        <f>D75</f>
        <v>1.75</v>
      </c>
      <c r="F75" s="48">
        <f>C57</f>
        <v>0.6</v>
      </c>
      <c r="G75" s="8">
        <f>C75*D75*E75*F75</f>
        <v>5.7697500000000002</v>
      </c>
      <c r="H75" s="75"/>
      <c r="I75" s="97"/>
      <c r="J75" s="69"/>
      <c r="K75" s="158"/>
    </row>
    <row r="76" spans="1:11" ht="15.75" x14ac:dyDescent="0.25">
      <c r="A76" s="47"/>
      <c r="B76" s="48" t="s">
        <v>151</v>
      </c>
      <c r="C76" s="48">
        <v>3.14</v>
      </c>
      <c r="D76" s="8">
        <f>C54-C55</f>
        <v>3</v>
      </c>
      <c r="E76" s="8">
        <f>C55</f>
        <v>0.5</v>
      </c>
      <c r="F76" s="48">
        <f>C56</f>
        <v>1.05</v>
      </c>
      <c r="G76" s="8">
        <f>C76*D76*E76*F76</f>
        <v>4.9455</v>
      </c>
      <c r="H76" s="75"/>
      <c r="I76" s="97"/>
      <c r="J76" s="69"/>
      <c r="K76" s="158"/>
    </row>
    <row r="77" spans="1:11" ht="15.75" x14ac:dyDescent="0.25">
      <c r="A77" s="47"/>
      <c r="B77" s="48" t="s">
        <v>158</v>
      </c>
      <c r="C77" s="48">
        <v>1</v>
      </c>
      <c r="D77" s="8">
        <v>1.3</v>
      </c>
      <c r="E77" s="8">
        <v>1.3</v>
      </c>
      <c r="F77" s="48">
        <f>F76</f>
        <v>1.05</v>
      </c>
      <c r="G77" s="8">
        <f>C77*D77*E77*F77</f>
        <v>1.7745000000000002</v>
      </c>
      <c r="H77" s="75"/>
      <c r="I77" s="97"/>
      <c r="J77" s="69"/>
      <c r="K77" s="158"/>
    </row>
    <row r="78" spans="1:11" ht="15.75" x14ac:dyDescent="0.25">
      <c r="A78" s="47"/>
      <c r="B78" s="48" t="s">
        <v>160</v>
      </c>
      <c r="C78" s="48">
        <v>3.14</v>
      </c>
      <c r="D78" s="8">
        <f>(C54+3)/2</f>
        <v>3.25</v>
      </c>
      <c r="E78" s="8">
        <f>D78</f>
        <v>3.25</v>
      </c>
      <c r="F78" s="48">
        <v>0.15</v>
      </c>
      <c r="G78" s="8">
        <f t="shared" ref="G78:G79" si="12">C78*D78*E78*F78</f>
        <v>4.9749374999999993</v>
      </c>
      <c r="H78" s="75"/>
      <c r="I78" s="97"/>
      <c r="J78" s="69"/>
      <c r="K78" s="158"/>
    </row>
    <row r="79" spans="1:11" ht="15.75" x14ac:dyDescent="0.25">
      <c r="A79" s="47"/>
      <c r="B79" s="48" t="s">
        <v>161</v>
      </c>
      <c r="C79" s="48">
        <v>3.14</v>
      </c>
      <c r="D79" s="8">
        <f>D78-(D78-0.2)</f>
        <v>0.20000000000000018</v>
      </c>
      <c r="E79" s="8">
        <f>D78</f>
        <v>3.25</v>
      </c>
      <c r="F79" s="48">
        <f>0.75-0.15</f>
        <v>0.6</v>
      </c>
      <c r="G79" s="8">
        <f t="shared" si="12"/>
        <v>1.224600000000001</v>
      </c>
      <c r="H79" s="75"/>
      <c r="I79" s="97"/>
      <c r="J79" s="69"/>
      <c r="K79" s="158"/>
    </row>
    <row r="80" spans="1:11" ht="15.75" x14ac:dyDescent="0.25">
      <c r="A80" s="47"/>
      <c r="B80" s="48"/>
      <c r="C80" s="48"/>
      <c r="D80" s="8"/>
      <c r="E80" s="8"/>
      <c r="F80" s="48" t="s">
        <v>37</v>
      </c>
      <c r="G80" s="8">
        <f>SUM(G75:G79)</f>
        <v>18.689287500000002</v>
      </c>
      <c r="H80" s="75" t="s">
        <v>51</v>
      </c>
      <c r="I80" s="97">
        <v>5329.43</v>
      </c>
      <c r="J80" s="69">
        <f t="shared" ref="J80" si="13">G80*I80</f>
        <v>99603.249481125022</v>
      </c>
      <c r="K80" s="158"/>
    </row>
    <row r="81" spans="1:11" ht="15.75" x14ac:dyDescent="0.25">
      <c r="A81" s="47">
        <v>4</v>
      </c>
      <c r="B81" s="48" t="s">
        <v>155</v>
      </c>
      <c r="C81" s="48">
        <v>3.14</v>
      </c>
      <c r="D81" s="8">
        <f>C53/2</f>
        <v>1.25</v>
      </c>
      <c r="E81" s="8">
        <f>D81</f>
        <v>1.25</v>
      </c>
      <c r="F81" s="48">
        <f>C59</f>
        <v>1</v>
      </c>
      <c r="G81" s="8">
        <f>D81*E81*F81</f>
        <v>1.5625</v>
      </c>
      <c r="H81" s="75"/>
      <c r="I81" s="97"/>
      <c r="J81" s="69"/>
      <c r="K81" s="158"/>
    </row>
    <row r="82" spans="1:11" ht="15.75" x14ac:dyDescent="0.25">
      <c r="A82" s="47"/>
      <c r="B82" s="48" t="s">
        <v>156</v>
      </c>
      <c r="C82" s="48">
        <v>3.14</v>
      </c>
      <c r="D82" s="8">
        <f>(C54+0.2)/2</f>
        <v>1.85</v>
      </c>
      <c r="E82" s="8">
        <f>D82</f>
        <v>1.85</v>
      </c>
      <c r="F82" s="48">
        <v>0.05</v>
      </c>
      <c r="G82" s="8">
        <f t="shared" ref="G82:G83" si="14">D82*E82*F82</f>
        <v>0.17112500000000003</v>
      </c>
      <c r="H82" s="75"/>
      <c r="I82" s="97"/>
      <c r="J82" s="69"/>
      <c r="K82" s="158"/>
    </row>
    <row r="83" spans="1:11" ht="15.75" x14ac:dyDescent="0.25">
      <c r="A83" s="47"/>
      <c r="B83" s="48" t="s">
        <v>160</v>
      </c>
      <c r="C83" s="48">
        <v>3.14</v>
      </c>
      <c r="D83" s="8">
        <f>D78</f>
        <v>3.25</v>
      </c>
      <c r="E83" s="8">
        <f>D83</f>
        <v>3.25</v>
      </c>
      <c r="F83" s="48">
        <v>0.05</v>
      </c>
      <c r="G83" s="8">
        <f t="shared" si="14"/>
        <v>0.52812500000000007</v>
      </c>
      <c r="H83" s="75"/>
      <c r="I83" s="97"/>
      <c r="J83" s="69"/>
      <c r="K83" s="158"/>
    </row>
    <row r="84" spans="1:11" ht="15.75" x14ac:dyDescent="0.25">
      <c r="A84" s="47"/>
      <c r="B84" s="48"/>
      <c r="C84" s="48"/>
      <c r="D84" s="8"/>
      <c r="E84" s="8"/>
      <c r="F84" s="48" t="s">
        <v>37</v>
      </c>
      <c r="G84" s="8">
        <f>SUM(G81:G83)</f>
        <v>2.2617500000000001</v>
      </c>
      <c r="H84" s="75" t="s">
        <v>51</v>
      </c>
      <c r="I84" s="97">
        <v>927.3</v>
      </c>
      <c r="J84" s="69">
        <f t="shared" ref="J84" si="15">G84*I84</f>
        <v>2097.3207750000001</v>
      </c>
      <c r="K84" s="158"/>
    </row>
    <row r="85" spans="1:11" ht="15.75" x14ac:dyDescent="0.25">
      <c r="A85" s="47">
        <v>5</v>
      </c>
      <c r="B85" s="48" t="s">
        <v>152</v>
      </c>
      <c r="C85" s="48">
        <v>3.14</v>
      </c>
      <c r="D85" s="8">
        <f>C54</f>
        <v>3.5</v>
      </c>
      <c r="E85" s="48"/>
      <c r="F85" s="48">
        <f>C56</f>
        <v>1.05</v>
      </c>
      <c r="G85" s="8">
        <f>C85*D85*F85</f>
        <v>11.5395</v>
      </c>
      <c r="H85" s="75"/>
      <c r="I85" s="97"/>
      <c r="J85" s="69"/>
      <c r="K85" s="158"/>
    </row>
    <row r="86" spans="1:11" ht="15.75" x14ac:dyDescent="0.25">
      <c r="A86" s="47"/>
      <c r="B86" s="48" t="s">
        <v>153</v>
      </c>
      <c r="C86" s="48">
        <v>3.14</v>
      </c>
      <c r="D86" s="8">
        <f>C53</f>
        <v>2.5</v>
      </c>
      <c r="E86" s="48"/>
      <c r="F86" s="48">
        <f>C56</f>
        <v>1.05</v>
      </c>
      <c r="G86" s="8">
        <f t="shared" ref="G86:G87" si="16">C86*D86*F86</f>
        <v>8.2425000000000015</v>
      </c>
      <c r="H86" s="75"/>
      <c r="I86" s="97"/>
      <c r="J86" s="69"/>
      <c r="K86" s="158"/>
    </row>
    <row r="87" spans="1:11" ht="15.75" x14ac:dyDescent="0.25">
      <c r="A87" s="47"/>
      <c r="B87" s="48" t="s">
        <v>33</v>
      </c>
      <c r="C87" s="48">
        <v>3.14</v>
      </c>
      <c r="D87" s="8">
        <f>C54</f>
        <v>3.5</v>
      </c>
      <c r="E87" s="48"/>
      <c r="F87" s="48">
        <f>C57</f>
        <v>0.6</v>
      </c>
      <c r="G87" s="8">
        <f t="shared" si="16"/>
        <v>6.5940000000000003</v>
      </c>
      <c r="H87" s="75"/>
      <c r="I87" s="97"/>
      <c r="J87" s="69"/>
      <c r="K87" s="158"/>
    </row>
    <row r="88" spans="1:11" ht="15.75" x14ac:dyDescent="0.25">
      <c r="A88" s="47"/>
      <c r="B88" s="48" t="s">
        <v>161</v>
      </c>
      <c r="C88" s="48">
        <v>3.14</v>
      </c>
      <c r="D88" s="8">
        <v>2</v>
      </c>
      <c r="E88" s="8">
        <f>E79</f>
        <v>3.25</v>
      </c>
      <c r="F88" s="48">
        <f>0.75-0.15</f>
        <v>0.6</v>
      </c>
      <c r="G88" s="8">
        <f t="shared" ref="G88" si="17">C88*D88*E88*F88</f>
        <v>12.246</v>
      </c>
      <c r="H88" s="75"/>
      <c r="I88" s="97"/>
      <c r="J88" s="69"/>
      <c r="K88" s="158"/>
    </row>
    <row r="89" spans="1:11" ht="15.75" x14ac:dyDescent="0.25">
      <c r="A89" s="47"/>
      <c r="B89" s="48"/>
      <c r="C89" s="48"/>
      <c r="D89" s="8"/>
      <c r="E89" s="48"/>
      <c r="F89" s="48" t="s">
        <v>37</v>
      </c>
      <c r="G89" s="8">
        <f>SUM(G85:G88)</f>
        <v>38.622000000000007</v>
      </c>
      <c r="H89" s="75" t="s">
        <v>36</v>
      </c>
      <c r="I89" s="97">
        <v>718.4</v>
      </c>
      <c r="J89" s="69">
        <f t="shared" ref="J89:J90" si="18">G89*I89</f>
        <v>27746.044800000003</v>
      </c>
      <c r="K89" s="158"/>
    </row>
    <row r="90" spans="1:11" ht="15.75" x14ac:dyDescent="0.25">
      <c r="A90" s="47">
        <v>6</v>
      </c>
      <c r="B90" s="48" t="s">
        <v>65</v>
      </c>
      <c r="C90" s="48">
        <f>C60</f>
        <v>10</v>
      </c>
      <c r="D90" s="8"/>
      <c r="E90" s="48">
        <f>C61</f>
        <v>14.894814814814815</v>
      </c>
      <c r="F90" s="48"/>
      <c r="G90" s="8">
        <f>C90*E90</f>
        <v>148.94814814814816</v>
      </c>
      <c r="H90" s="75" t="s">
        <v>56</v>
      </c>
      <c r="I90" s="97">
        <v>125</v>
      </c>
      <c r="J90" s="69">
        <f t="shared" si="18"/>
        <v>18618.518518518522</v>
      </c>
      <c r="K90" s="158"/>
    </row>
    <row r="91" spans="1:11" ht="15.75" x14ac:dyDescent="0.25">
      <c r="A91" s="47">
        <v>7</v>
      </c>
      <c r="B91" s="48" t="s">
        <v>73</v>
      </c>
      <c r="C91" s="48">
        <v>3.14</v>
      </c>
      <c r="D91" s="8">
        <f>(C54+0.2)/2</f>
        <v>1.85</v>
      </c>
      <c r="E91" s="8">
        <f>D91</f>
        <v>1.85</v>
      </c>
      <c r="F91" s="48">
        <v>0.05</v>
      </c>
      <c r="G91" s="8">
        <f>C91*D91*E91*F91</f>
        <v>0.5373325000000001</v>
      </c>
      <c r="H91" s="75"/>
      <c r="I91" s="97"/>
      <c r="J91" s="69"/>
      <c r="K91" s="158"/>
    </row>
    <row r="92" spans="1:11" ht="15.75" x14ac:dyDescent="0.25">
      <c r="A92" s="47"/>
      <c r="B92" s="48" t="s">
        <v>160</v>
      </c>
      <c r="C92" s="48">
        <v>3.14</v>
      </c>
      <c r="D92" s="8">
        <f>D83</f>
        <v>3.25</v>
      </c>
      <c r="E92" s="8">
        <f>D92</f>
        <v>3.25</v>
      </c>
      <c r="F92" s="48">
        <v>0.05</v>
      </c>
      <c r="G92" s="8">
        <f>C92*D92*E92*F92</f>
        <v>1.6583125000000001</v>
      </c>
      <c r="H92" s="75"/>
      <c r="I92" s="97"/>
      <c r="J92" s="69"/>
      <c r="K92" s="158"/>
    </row>
    <row r="93" spans="1:11" ht="15.75" x14ac:dyDescent="0.25">
      <c r="A93" s="47"/>
      <c r="B93" s="48"/>
      <c r="C93" s="48"/>
      <c r="D93" s="8"/>
      <c r="E93" s="8"/>
      <c r="F93" s="48" t="s">
        <v>37</v>
      </c>
      <c r="G93" s="8">
        <f>SUM(G91:G92)</f>
        <v>2.1956450000000003</v>
      </c>
      <c r="H93" s="75" t="s">
        <v>51</v>
      </c>
      <c r="I93" s="97">
        <v>3535.97</v>
      </c>
      <c r="J93" s="69">
        <f t="shared" ref="J93:J95" si="19">G93*I93</f>
        <v>7763.7348506500002</v>
      </c>
      <c r="K93" s="158"/>
    </row>
    <row r="94" spans="1:11" ht="15.75" x14ac:dyDescent="0.25">
      <c r="A94" s="47">
        <v>8</v>
      </c>
      <c r="B94" s="48" t="s">
        <v>157</v>
      </c>
      <c r="C94" s="48">
        <v>3.14</v>
      </c>
      <c r="D94" s="8">
        <f>C53/2</f>
        <v>1.25</v>
      </c>
      <c r="E94" s="8">
        <f>D94</f>
        <v>1.25</v>
      </c>
      <c r="F94" s="48">
        <v>0.05</v>
      </c>
      <c r="G94" s="8">
        <f>C94*D94*E94</f>
        <v>4.90625</v>
      </c>
      <c r="H94" s="75" t="s">
        <v>36</v>
      </c>
      <c r="I94" s="97">
        <v>750</v>
      </c>
      <c r="J94" s="69">
        <f t="shared" si="19"/>
        <v>3679.6875</v>
      </c>
      <c r="K94" s="158"/>
    </row>
    <row r="95" spans="1:11" ht="15.75" x14ac:dyDescent="0.25">
      <c r="A95" s="47">
        <v>9</v>
      </c>
      <c r="B95" s="48" t="s">
        <v>63</v>
      </c>
      <c r="C95" s="48">
        <v>1</v>
      </c>
      <c r="D95" s="8"/>
      <c r="E95" s="8">
        <f>G80</f>
        <v>18.689287500000002</v>
      </c>
      <c r="F95" s="48">
        <v>100</v>
      </c>
      <c r="G95" s="8">
        <f>E95*F95</f>
        <v>1868.9287500000003</v>
      </c>
      <c r="H95" s="75" t="s">
        <v>56</v>
      </c>
      <c r="I95" s="97">
        <v>66.239999999999995</v>
      </c>
      <c r="J95" s="69">
        <f t="shared" si="19"/>
        <v>123797.8404</v>
      </c>
      <c r="K95" s="158"/>
    </row>
    <row r="96" spans="1:11" ht="15.75" x14ac:dyDescent="0.25">
      <c r="A96" s="63"/>
      <c r="B96" s="63"/>
      <c r="C96" s="63"/>
      <c r="D96" s="63"/>
      <c r="F96" s="168"/>
      <c r="G96" s="168"/>
      <c r="H96" s="168"/>
      <c r="I96" s="171" t="s">
        <v>26</v>
      </c>
      <c r="J96" s="150">
        <f>SUM(J67:J95)</f>
        <v>602176.93432529364</v>
      </c>
      <c r="K96" s="63"/>
    </row>
    <row r="97" spans="1:11" ht="15.75" x14ac:dyDescent="0.25">
      <c r="A97" s="2"/>
      <c r="B97" s="2"/>
      <c r="C97" s="2"/>
      <c r="D97" s="169" t="s">
        <v>380</v>
      </c>
      <c r="E97" s="169"/>
      <c r="F97" s="169"/>
      <c r="G97" s="169">
        <v>1</v>
      </c>
      <c r="H97" s="170" t="s">
        <v>67</v>
      </c>
      <c r="I97" s="5">
        <f>J96</f>
        <v>602176.93432529364</v>
      </c>
      <c r="J97" s="118">
        <f>G97*I97</f>
        <v>602176.93432529364</v>
      </c>
      <c r="K97" s="5">
        <f>J97</f>
        <v>602176.93432529364</v>
      </c>
    </row>
    <row r="98" spans="1:11" ht="15.75" x14ac:dyDescent="0.25">
      <c r="A98" s="39"/>
      <c r="B98" s="26" t="s">
        <v>59</v>
      </c>
      <c r="C98" s="40"/>
      <c r="D98" s="13"/>
      <c r="E98" s="40"/>
      <c r="F98" s="40"/>
      <c r="G98" s="13"/>
      <c r="H98" s="78"/>
      <c r="I98" s="96"/>
      <c r="J98" s="68"/>
      <c r="K98" s="158"/>
    </row>
    <row r="99" spans="1:11" ht="15.75" x14ac:dyDescent="0.25">
      <c r="A99" s="41"/>
      <c r="B99" s="42" t="s">
        <v>50</v>
      </c>
      <c r="C99" s="43">
        <v>1.6</v>
      </c>
      <c r="D99" s="66">
        <v>1.1000000000000001</v>
      </c>
      <c r="E99" s="43">
        <v>1.2</v>
      </c>
      <c r="F99" s="43">
        <v>2</v>
      </c>
      <c r="G99" s="66">
        <f>F99*E99*D99*C99</f>
        <v>4.2240000000000002</v>
      </c>
      <c r="H99" s="73" t="s">
        <v>51</v>
      </c>
      <c r="I99" s="94">
        <v>315</v>
      </c>
      <c r="J99" s="95">
        <f>I99*G99</f>
        <v>1330.5600000000002</v>
      </c>
      <c r="K99" s="158"/>
    </row>
    <row r="100" spans="1:11" ht="15.75" x14ac:dyDescent="0.25">
      <c r="A100" s="41"/>
      <c r="B100" s="42" t="s">
        <v>13</v>
      </c>
      <c r="C100" s="43">
        <v>1.3</v>
      </c>
      <c r="D100" s="66">
        <f>D99</f>
        <v>1.1000000000000001</v>
      </c>
      <c r="E100" s="43">
        <v>0.23</v>
      </c>
      <c r="F100" s="43">
        <f>F99</f>
        <v>2</v>
      </c>
      <c r="G100" s="66">
        <f>F100*E100*D100*C100</f>
        <v>0.65780000000000016</v>
      </c>
      <c r="H100" s="73" t="s">
        <v>51</v>
      </c>
      <c r="I100" s="94">
        <v>950</v>
      </c>
      <c r="J100" s="95">
        <f>I100*G100</f>
        <v>624.9100000000002</v>
      </c>
      <c r="K100" s="158"/>
    </row>
    <row r="101" spans="1:11" ht="15.75" x14ac:dyDescent="0.25">
      <c r="A101" s="41"/>
      <c r="B101" s="42" t="s">
        <v>53</v>
      </c>
      <c r="C101" s="43">
        <f>C100</f>
        <v>1.3</v>
      </c>
      <c r="D101" s="66">
        <f>D99</f>
        <v>1.1000000000000001</v>
      </c>
      <c r="E101" s="43">
        <v>0.1</v>
      </c>
      <c r="F101" s="43">
        <f>F99</f>
        <v>2</v>
      </c>
      <c r="G101" s="66">
        <f>F101*E101*D101*C101</f>
        <v>0.28600000000000003</v>
      </c>
      <c r="H101" s="73" t="s">
        <v>51</v>
      </c>
      <c r="I101" s="94">
        <v>3535.97</v>
      </c>
      <c r="J101" s="95">
        <f>I101*G101</f>
        <v>1011.2874200000001</v>
      </c>
      <c r="K101" s="158"/>
    </row>
    <row r="102" spans="1:11" ht="15.75" x14ac:dyDescent="0.25">
      <c r="A102" s="41"/>
      <c r="B102" s="42" t="s">
        <v>54</v>
      </c>
      <c r="C102" s="43">
        <v>1</v>
      </c>
      <c r="D102" s="66">
        <v>0.75</v>
      </c>
      <c r="E102" s="43">
        <v>0.75</v>
      </c>
      <c r="F102" s="43">
        <f>F99</f>
        <v>2</v>
      </c>
      <c r="G102" s="66">
        <f>F102*E102*D102*C102</f>
        <v>1.125</v>
      </c>
      <c r="H102" s="73" t="s">
        <v>51</v>
      </c>
      <c r="I102" s="94"/>
      <c r="J102" s="95"/>
      <c r="K102" s="158"/>
    </row>
    <row r="103" spans="1:11" ht="15.75" x14ac:dyDescent="0.25">
      <c r="A103" s="41"/>
      <c r="B103" s="42"/>
      <c r="C103" s="43"/>
      <c r="D103" s="66"/>
      <c r="E103" s="43"/>
      <c r="F103" s="43"/>
      <c r="G103" s="66">
        <f>G102</f>
        <v>1.125</v>
      </c>
      <c r="H103" s="73" t="s">
        <v>51</v>
      </c>
      <c r="I103" s="94">
        <v>5350</v>
      </c>
      <c r="J103" s="95">
        <f>I103*G103</f>
        <v>6018.75</v>
      </c>
      <c r="K103" s="158"/>
    </row>
    <row r="104" spans="1:11" ht="15.75" x14ac:dyDescent="0.25">
      <c r="A104" s="41"/>
      <c r="B104" s="42" t="s">
        <v>55</v>
      </c>
      <c r="C104" s="43">
        <f>G103</f>
        <v>1.125</v>
      </c>
      <c r="D104" s="66"/>
      <c r="E104" s="43"/>
      <c r="F104" s="43">
        <v>8</v>
      </c>
      <c r="G104" s="66">
        <f>F104*C104</f>
        <v>9</v>
      </c>
      <c r="H104" s="73" t="s">
        <v>36</v>
      </c>
      <c r="I104" s="94">
        <v>718.4</v>
      </c>
      <c r="J104" s="95">
        <f t="shared" ref="J104:J108" si="20">I104*G104</f>
        <v>6465.5999999999995</v>
      </c>
      <c r="K104" s="158"/>
    </row>
    <row r="105" spans="1:11" ht="15.75" x14ac:dyDescent="0.25">
      <c r="A105" s="41"/>
      <c r="B105" s="42" t="s">
        <v>5</v>
      </c>
      <c r="C105" s="43">
        <f>G103</f>
        <v>1.125</v>
      </c>
      <c r="D105" s="66"/>
      <c r="E105" s="43"/>
      <c r="F105" s="43">
        <v>125</v>
      </c>
      <c r="G105" s="66">
        <f>F105*C105</f>
        <v>140.625</v>
      </c>
      <c r="H105" s="73" t="s">
        <v>56</v>
      </c>
      <c r="I105" s="94">
        <v>66.239999999999995</v>
      </c>
      <c r="J105" s="95">
        <f t="shared" si="20"/>
        <v>9315</v>
      </c>
      <c r="K105" s="158"/>
    </row>
    <row r="106" spans="1:11" ht="15.75" x14ac:dyDescent="0.25">
      <c r="A106" s="41"/>
      <c r="B106" s="42" t="s">
        <v>44</v>
      </c>
      <c r="C106" s="43">
        <f>G99-G100-G101-G102</f>
        <v>2.1552000000000002</v>
      </c>
      <c r="D106" s="66"/>
      <c r="E106" s="43"/>
      <c r="F106" s="43">
        <v>1</v>
      </c>
      <c r="G106" s="66">
        <f>F106*C106</f>
        <v>2.1552000000000002</v>
      </c>
      <c r="H106" s="73" t="s">
        <v>51</v>
      </c>
      <c r="I106" s="94">
        <v>183.42</v>
      </c>
      <c r="J106" s="95">
        <f t="shared" si="20"/>
        <v>395.30678399999999</v>
      </c>
      <c r="K106" s="158"/>
    </row>
    <row r="107" spans="1:11" ht="15.75" x14ac:dyDescent="0.25">
      <c r="A107" s="41"/>
      <c r="B107" s="42" t="s">
        <v>57</v>
      </c>
      <c r="C107" s="43">
        <v>4</v>
      </c>
      <c r="D107" s="66"/>
      <c r="E107" s="43"/>
      <c r="F107" s="43">
        <v>1</v>
      </c>
      <c r="G107" s="66">
        <f>F107*C107</f>
        <v>4</v>
      </c>
      <c r="H107" s="73" t="s">
        <v>9</v>
      </c>
      <c r="I107" s="94">
        <v>400</v>
      </c>
      <c r="J107" s="95">
        <f t="shared" si="20"/>
        <v>1600</v>
      </c>
      <c r="K107" s="158"/>
    </row>
    <row r="108" spans="1:11" ht="15.75" x14ac:dyDescent="0.25">
      <c r="A108" s="41"/>
      <c r="B108" s="42" t="s">
        <v>58</v>
      </c>
      <c r="C108" s="43">
        <v>0.1</v>
      </c>
      <c r="D108" s="66">
        <v>0.1</v>
      </c>
      <c r="E108" s="43">
        <v>0.3</v>
      </c>
      <c r="F108" s="43">
        <f>G107</f>
        <v>4</v>
      </c>
      <c r="G108" s="66">
        <f>C108*D108*E108*F108</f>
        <v>1.2000000000000002E-2</v>
      </c>
      <c r="H108" s="73" t="s">
        <v>51</v>
      </c>
      <c r="I108" s="94">
        <v>100000</v>
      </c>
      <c r="J108" s="95">
        <f t="shared" si="20"/>
        <v>1200.0000000000002</v>
      </c>
      <c r="K108" s="158"/>
    </row>
    <row r="109" spans="1:11" x14ac:dyDescent="0.25">
      <c r="I109" s="169" t="s">
        <v>66</v>
      </c>
      <c r="J109" s="5">
        <f>SUM(J99:J108)</f>
        <v>27961.414204000001</v>
      </c>
      <c r="K109" s="5">
        <f>J109</f>
        <v>27961.414204000001</v>
      </c>
    </row>
    <row r="110" spans="1:11" ht="18.75" x14ac:dyDescent="0.3">
      <c r="A110" s="38"/>
      <c r="B110" s="138" t="s">
        <v>334</v>
      </c>
      <c r="C110" s="40"/>
      <c r="D110" s="13"/>
      <c r="E110" s="40"/>
      <c r="F110" s="40"/>
      <c r="G110" s="40"/>
      <c r="H110" s="78"/>
      <c r="I110" s="96"/>
      <c r="J110" s="68"/>
      <c r="K110" s="40"/>
    </row>
    <row r="111" spans="1:11" ht="15.75" x14ac:dyDescent="0.25">
      <c r="A111" s="50">
        <v>1</v>
      </c>
      <c r="B111" s="51" t="s">
        <v>60</v>
      </c>
      <c r="C111" s="48"/>
      <c r="D111" s="333">
        <f>4.3*1</f>
        <v>4.3</v>
      </c>
      <c r="E111" s="333"/>
      <c r="F111" s="48">
        <v>0.5</v>
      </c>
      <c r="G111" s="48">
        <f>D111*F111</f>
        <v>2.15</v>
      </c>
      <c r="H111" s="75" t="s">
        <v>51</v>
      </c>
      <c r="I111" s="97">
        <f>I104</f>
        <v>718.4</v>
      </c>
      <c r="J111" s="69">
        <f t="shared" ref="J111:J116" si="21">G111*I111</f>
        <v>1544.56</v>
      </c>
      <c r="K111" s="44"/>
    </row>
    <row r="112" spans="1:11" ht="15.75" x14ac:dyDescent="0.25">
      <c r="A112" s="50">
        <v>2</v>
      </c>
      <c r="B112" s="51" t="s">
        <v>75</v>
      </c>
      <c r="C112" s="48"/>
      <c r="D112" s="48"/>
      <c r="E112" s="48"/>
      <c r="F112" s="48"/>
      <c r="G112" s="48">
        <f>G111</f>
        <v>2.15</v>
      </c>
      <c r="H112" s="75" t="s">
        <v>51</v>
      </c>
      <c r="I112" s="97">
        <v>100</v>
      </c>
      <c r="J112" s="69">
        <f t="shared" si="21"/>
        <v>215</v>
      </c>
      <c r="K112" s="44"/>
    </row>
    <row r="113" spans="1:11" ht="15.75" x14ac:dyDescent="0.25">
      <c r="A113" s="50">
        <v>3</v>
      </c>
      <c r="B113" s="51" t="s">
        <v>76</v>
      </c>
      <c r="C113" s="48"/>
      <c r="D113" s="333">
        <f>D111</f>
        <v>4.3</v>
      </c>
      <c r="E113" s="333"/>
      <c r="F113" s="48">
        <v>0.15</v>
      </c>
      <c r="G113" s="48">
        <f>D113*F113</f>
        <v>0.64499999999999991</v>
      </c>
      <c r="H113" s="75" t="s">
        <v>51</v>
      </c>
      <c r="I113" s="97">
        <v>950</v>
      </c>
      <c r="J113" s="69">
        <f t="shared" si="21"/>
        <v>612.74999999999989</v>
      </c>
      <c r="K113" s="44"/>
    </row>
    <row r="114" spans="1:11" ht="15.75" x14ac:dyDescent="0.25">
      <c r="A114" s="50">
        <v>4</v>
      </c>
      <c r="B114" s="51" t="s">
        <v>77</v>
      </c>
      <c r="C114" s="48"/>
      <c r="D114" s="333">
        <f>D111</f>
        <v>4.3</v>
      </c>
      <c r="E114" s="333"/>
      <c r="F114" s="48">
        <v>7.4999999999999997E-2</v>
      </c>
      <c r="G114" s="48">
        <f>D114*F114</f>
        <v>0.32249999999999995</v>
      </c>
      <c r="H114" s="75" t="s">
        <v>36</v>
      </c>
      <c r="I114" s="97">
        <v>3535</v>
      </c>
      <c r="J114" s="69">
        <f t="shared" si="21"/>
        <v>1140.0374999999999</v>
      </c>
      <c r="K114" s="44"/>
    </row>
    <row r="115" spans="1:11" ht="15.75" x14ac:dyDescent="0.25">
      <c r="A115" s="50">
        <v>5</v>
      </c>
      <c r="B115" s="51" t="s">
        <v>78</v>
      </c>
      <c r="C115" s="48"/>
      <c r="D115" s="333">
        <f>D111</f>
        <v>4.3</v>
      </c>
      <c r="E115" s="333"/>
      <c r="F115" s="48">
        <v>0.3</v>
      </c>
      <c r="G115" s="48">
        <f>D115*F115</f>
        <v>1.2899999999999998</v>
      </c>
      <c r="H115" s="75" t="s">
        <v>36</v>
      </c>
      <c r="I115" s="97">
        <v>5350</v>
      </c>
      <c r="J115" s="69">
        <f t="shared" si="21"/>
        <v>6901.4999999999991</v>
      </c>
      <c r="K115" s="44"/>
    </row>
    <row r="116" spans="1:11" ht="15.75" x14ac:dyDescent="0.25">
      <c r="A116" s="50">
        <v>6</v>
      </c>
      <c r="B116" s="51" t="s">
        <v>63</v>
      </c>
      <c r="C116" s="48"/>
      <c r="D116" s="48">
        <f>G115</f>
        <v>1.2899999999999998</v>
      </c>
      <c r="E116" s="48">
        <v>100</v>
      </c>
      <c r="F116" s="48"/>
      <c r="G116" s="48">
        <f>D116*E116</f>
        <v>128.99999999999997</v>
      </c>
      <c r="H116" s="75" t="s">
        <v>56</v>
      </c>
      <c r="I116" s="97">
        <v>81.52</v>
      </c>
      <c r="J116" s="69">
        <f t="shared" si="21"/>
        <v>10516.079999999996</v>
      </c>
      <c r="K116" s="44"/>
    </row>
    <row r="117" spans="1:11" x14ac:dyDescent="0.25">
      <c r="I117" s="169" t="s">
        <v>66</v>
      </c>
      <c r="J117" s="5">
        <f>SUM(J111:J116)</f>
        <v>20929.927499999998</v>
      </c>
      <c r="K117" s="5">
        <f>J117</f>
        <v>20929.927499999998</v>
      </c>
    </row>
    <row r="118" spans="1:11" ht="15.75" x14ac:dyDescent="0.25">
      <c r="G118" s="353" t="s">
        <v>26</v>
      </c>
      <c r="H118" s="354"/>
      <c r="I118" s="354"/>
      <c r="J118" s="355"/>
      <c r="K118" s="301">
        <f>SUM(K10:K117)</f>
        <v>1653144.6425167716</v>
      </c>
    </row>
  </sheetData>
  <mergeCells count="5">
    <mergeCell ref="D111:E111"/>
    <mergeCell ref="D113:E113"/>
    <mergeCell ref="D114:E114"/>
    <mergeCell ref="D115:E115"/>
    <mergeCell ref="G118:J1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18" workbookViewId="0">
      <selection activeCell="D140" sqref="D140"/>
    </sheetView>
  </sheetViews>
  <sheetFormatPr defaultRowHeight="15" x14ac:dyDescent="0.25"/>
  <cols>
    <col min="1" max="1" width="4.42578125" customWidth="1"/>
    <col min="2" max="2" width="62.85546875" bestFit="1" customWidth="1"/>
    <col min="9" max="9" width="15.7109375" bestFit="1" customWidth="1"/>
    <col min="10" max="10" width="11.85546875" bestFit="1" customWidth="1"/>
    <col min="11" max="11" width="13.7109375" bestFit="1" customWidth="1"/>
  </cols>
  <sheetData>
    <row r="1" spans="1:11" ht="28.5" x14ac:dyDescent="0.45">
      <c r="A1" s="359" t="s">
        <v>382</v>
      </c>
      <c r="B1" s="360"/>
      <c r="C1" s="360"/>
      <c r="D1" s="360"/>
      <c r="E1" s="360"/>
      <c r="F1" s="360"/>
      <c r="G1" s="360"/>
      <c r="H1" s="360"/>
      <c r="I1" s="360"/>
      <c r="J1" s="360"/>
      <c r="K1" s="361"/>
    </row>
    <row r="2" spans="1:11" ht="28.5" x14ac:dyDescent="0.45">
      <c r="A2" s="2"/>
      <c r="B2" s="161" t="s">
        <v>209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15.75" x14ac:dyDescent="0.25">
      <c r="A3" s="163" t="s">
        <v>162</v>
      </c>
      <c r="B3" s="164"/>
      <c r="C3" s="165"/>
      <c r="D3" s="63"/>
      <c r="E3" s="63"/>
      <c r="F3" s="63"/>
      <c r="G3" s="63"/>
      <c r="H3" s="63"/>
      <c r="I3" s="63"/>
      <c r="J3" s="63"/>
      <c r="K3" s="63"/>
    </row>
    <row r="4" spans="1:11" ht="15.75" x14ac:dyDescent="0.25">
      <c r="A4" s="63"/>
      <c r="B4" s="63" t="s">
        <v>145</v>
      </c>
      <c r="C4" s="64">
        <v>10</v>
      </c>
      <c r="D4" s="64"/>
      <c r="E4" s="64"/>
      <c r="F4" s="64"/>
      <c r="G4" s="63"/>
      <c r="H4" s="63"/>
      <c r="I4" s="63"/>
      <c r="J4" s="63"/>
      <c r="K4" s="63"/>
    </row>
    <row r="5" spans="1:11" ht="15.75" x14ac:dyDescent="0.25">
      <c r="A5" s="63"/>
      <c r="B5" s="63" t="s">
        <v>146</v>
      </c>
      <c r="C5" s="64">
        <f>5-0.6</f>
        <v>4.4000000000000004</v>
      </c>
      <c r="D5" s="64"/>
      <c r="E5" s="64"/>
      <c r="F5" s="64"/>
      <c r="G5" s="63"/>
      <c r="H5" s="63"/>
      <c r="I5" s="63"/>
      <c r="J5" s="63"/>
      <c r="K5" s="63"/>
    </row>
    <row r="6" spans="1:11" ht="15.75" x14ac:dyDescent="0.25">
      <c r="A6" s="63"/>
      <c r="B6" s="63" t="s">
        <v>147</v>
      </c>
      <c r="C6" s="64">
        <f>C5+1.2</f>
        <v>5.6000000000000005</v>
      </c>
      <c r="D6" s="64"/>
      <c r="E6" s="64"/>
      <c r="F6" s="64"/>
      <c r="G6" s="63"/>
      <c r="H6" s="63"/>
      <c r="I6" s="63"/>
      <c r="J6" s="63"/>
      <c r="K6" s="63"/>
    </row>
    <row r="7" spans="1:11" ht="15.75" x14ac:dyDescent="0.25">
      <c r="A7" s="63"/>
      <c r="B7" s="63" t="s">
        <v>320</v>
      </c>
      <c r="C7" s="64">
        <f>(C6-C5)/2</f>
        <v>0.60000000000000009</v>
      </c>
      <c r="D7" s="64"/>
      <c r="E7" s="64"/>
      <c r="F7" s="64"/>
      <c r="G7" s="63"/>
      <c r="H7" s="63"/>
      <c r="I7" s="63"/>
      <c r="J7" s="63"/>
      <c r="K7" s="63"/>
    </row>
    <row r="8" spans="1:11" ht="15.75" x14ac:dyDescent="0.25">
      <c r="A8" s="63"/>
      <c r="B8" s="63" t="s">
        <v>149</v>
      </c>
      <c r="C8" s="64">
        <f>1.05</f>
        <v>1.05</v>
      </c>
      <c r="D8" s="64"/>
      <c r="E8" s="64"/>
      <c r="F8" s="64"/>
      <c r="G8" s="63"/>
      <c r="H8" s="63"/>
      <c r="I8" s="63"/>
      <c r="J8" s="63"/>
      <c r="K8" s="63"/>
    </row>
    <row r="9" spans="1:11" ht="15.75" x14ac:dyDescent="0.25">
      <c r="A9" s="63"/>
      <c r="B9" s="63" t="s">
        <v>148</v>
      </c>
      <c r="C9" s="64">
        <v>0.6</v>
      </c>
      <c r="D9" s="64"/>
      <c r="E9" s="64"/>
      <c r="F9" s="64"/>
      <c r="G9" s="63"/>
      <c r="H9" s="63"/>
      <c r="I9" s="63"/>
      <c r="J9" s="63"/>
      <c r="K9" s="63"/>
    </row>
    <row r="10" spans="1:11" ht="15.75" x14ac:dyDescent="0.25">
      <c r="A10" s="63"/>
      <c r="B10" s="63" t="s">
        <v>321</v>
      </c>
      <c r="C10" s="64">
        <f>0.05+0.05+0.1+0.5</f>
        <v>0.7</v>
      </c>
      <c r="D10" s="64"/>
      <c r="E10" s="64"/>
      <c r="F10" s="64"/>
      <c r="G10" s="63"/>
      <c r="H10" s="63"/>
      <c r="I10" s="63"/>
      <c r="J10" s="63"/>
      <c r="K10" s="63"/>
    </row>
    <row r="11" spans="1:11" ht="15.75" x14ac:dyDescent="0.25">
      <c r="A11" s="63"/>
      <c r="B11" s="63" t="s">
        <v>150</v>
      </c>
      <c r="C11" s="64">
        <f>C8-C15</f>
        <v>1</v>
      </c>
      <c r="D11" s="64"/>
      <c r="E11" s="64"/>
      <c r="F11" s="64"/>
      <c r="G11" s="63"/>
      <c r="H11" s="63"/>
      <c r="I11" s="63"/>
      <c r="J11" s="63"/>
      <c r="K11" s="63"/>
    </row>
    <row r="12" spans="1:11" ht="15.75" x14ac:dyDescent="0.25">
      <c r="A12" s="63"/>
      <c r="B12" s="63" t="s">
        <v>154</v>
      </c>
      <c r="C12" s="64">
        <v>15</v>
      </c>
      <c r="D12" s="64" t="s">
        <v>164</v>
      </c>
      <c r="E12" s="64" t="s">
        <v>113</v>
      </c>
      <c r="F12" s="64" t="s">
        <v>165</v>
      </c>
      <c r="G12" s="63"/>
      <c r="H12" s="63"/>
      <c r="I12" s="63"/>
      <c r="J12" s="63"/>
      <c r="K12" s="63"/>
    </row>
    <row r="13" spans="1:11" ht="15.75" x14ac:dyDescent="0.25">
      <c r="A13" s="63"/>
      <c r="B13" s="63" t="s">
        <v>322</v>
      </c>
      <c r="C13" s="166">
        <f>((D13*D13/162)*E13)+F13</f>
        <v>14.894814814814815</v>
      </c>
      <c r="D13" s="64">
        <v>32</v>
      </c>
      <c r="E13" s="64">
        <v>2.04</v>
      </c>
      <c r="F13" s="64">
        <v>2</v>
      </c>
      <c r="G13" s="63"/>
      <c r="H13" s="63"/>
      <c r="I13" s="63"/>
      <c r="J13" s="63"/>
      <c r="K13" s="63"/>
    </row>
    <row r="14" spans="1:11" ht="15.75" x14ac:dyDescent="0.25">
      <c r="A14" s="63"/>
      <c r="B14" s="63" t="s">
        <v>323</v>
      </c>
      <c r="C14" s="64">
        <v>0.05</v>
      </c>
      <c r="D14" s="64"/>
      <c r="E14" s="64"/>
      <c r="F14" s="64"/>
      <c r="G14" s="63"/>
      <c r="H14" s="63"/>
      <c r="I14" s="63"/>
      <c r="J14" s="63"/>
      <c r="K14" s="63"/>
    </row>
    <row r="15" spans="1:11" ht="15.75" x14ac:dyDescent="0.25">
      <c r="A15" s="63"/>
      <c r="B15" s="63" t="s">
        <v>159</v>
      </c>
      <c r="C15" s="64">
        <v>0.05</v>
      </c>
      <c r="D15" s="64"/>
      <c r="E15" s="64"/>
      <c r="F15" s="64"/>
      <c r="G15" s="63"/>
      <c r="H15" s="63"/>
      <c r="I15" s="63"/>
      <c r="J15" s="63"/>
      <c r="K15" s="63"/>
    </row>
    <row r="16" spans="1:11" ht="15.75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</row>
    <row r="17" spans="1:11" ht="15.75" x14ac:dyDescent="0.25">
      <c r="A17" s="38"/>
      <c r="B17" s="114" t="s">
        <v>141</v>
      </c>
      <c r="C17" s="40"/>
      <c r="D17" s="13"/>
      <c r="E17" s="40"/>
      <c r="F17" s="40"/>
      <c r="G17" s="40"/>
      <c r="H17" s="78"/>
      <c r="I17" s="96"/>
      <c r="J17" s="68"/>
      <c r="K17" s="158"/>
    </row>
    <row r="18" spans="1:11" ht="15.75" x14ac:dyDescent="0.25">
      <c r="A18" s="113" t="s">
        <v>95</v>
      </c>
      <c r="B18" s="167" t="s">
        <v>69</v>
      </c>
      <c r="C18" s="30"/>
      <c r="D18" s="67"/>
      <c r="E18" s="46"/>
      <c r="F18" s="46"/>
      <c r="G18" s="46"/>
      <c r="H18" s="78"/>
      <c r="I18" s="96"/>
      <c r="J18" s="68"/>
      <c r="K18" s="158"/>
    </row>
    <row r="19" spans="1:11" ht="15.75" x14ac:dyDescent="0.25">
      <c r="A19" s="30"/>
      <c r="B19" s="34" t="s">
        <v>324</v>
      </c>
      <c r="C19" s="27">
        <v>0</v>
      </c>
      <c r="D19" s="6"/>
      <c r="E19" s="46"/>
      <c r="F19" s="46"/>
      <c r="G19" s="71">
        <f>C19</f>
        <v>0</v>
      </c>
      <c r="H19" s="74" t="s">
        <v>4</v>
      </c>
      <c r="I19" s="21">
        <v>305703.42</v>
      </c>
      <c r="J19" s="70">
        <f>G19*I19</f>
        <v>0</v>
      </c>
      <c r="K19" s="158"/>
    </row>
    <row r="20" spans="1:11" ht="15.75" x14ac:dyDescent="0.25">
      <c r="A20" s="30"/>
      <c r="B20" s="34" t="s">
        <v>70</v>
      </c>
      <c r="C20" s="27">
        <v>0</v>
      </c>
      <c r="D20" s="6"/>
      <c r="E20" s="46"/>
      <c r="F20" s="46"/>
      <c r="G20" s="71">
        <f>C20</f>
        <v>0</v>
      </c>
      <c r="H20" s="74" t="s">
        <v>4</v>
      </c>
      <c r="I20" s="21">
        <v>229277.57</v>
      </c>
      <c r="J20" s="70">
        <f t="shared" ref="J20:J23" si="0">G20*I20</f>
        <v>0</v>
      </c>
      <c r="K20" s="158"/>
    </row>
    <row r="21" spans="1:11" ht="15.75" x14ac:dyDescent="0.25">
      <c r="A21" s="30"/>
      <c r="B21" s="34" t="s">
        <v>71</v>
      </c>
      <c r="C21" s="27">
        <f>C4</f>
        <v>10</v>
      </c>
      <c r="D21" s="6">
        <v>18</v>
      </c>
      <c r="E21" s="46"/>
      <c r="F21" s="46"/>
      <c r="G21" s="71">
        <f>C21*D21</f>
        <v>180</v>
      </c>
      <c r="H21" s="74" t="s">
        <v>39</v>
      </c>
      <c r="I21" s="21">
        <v>2394.6799999999998</v>
      </c>
      <c r="J21" s="70">
        <f t="shared" si="0"/>
        <v>431042.39999999997</v>
      </c>
      <c r="K21" s="158"/>
    </row>
    <row r="22" spans="1:11" ht="15.75" x14ac:dyDescent="0.25">
      <c r="A22" s="30"/>
      <c r="B22" s="34" t="s">
        <v>31</v>
      </c>
      <c r="C22" s="27">
        <f>C4</f>
        <v>10</v>
      </c>
      <c r="D22" s="6"/>
      <c r="E22" s="46"/>
      <c r="F22" s="46"/>
      <c r="G22" s="71">
        <f>C22</f>
        <v>10</v>
      </c>
      <c r="H22" s="74" t="s">
        <v>67</v>
      </c>
      <c r="I22" s="21">
        <v>509.51</v>
      </c>
      <c r="J22" s="70">
        <f t="shared" si="0"/>
        <v>5095.1000000000004</v>
      </c>
      <c r="K22" s="158"/>
    </row>
    <row r="23" spans="1:11" ht="15.75" x14ac:dyDescent="0.25">
      <c r="A23" s="30"/>
      <c r="B23" s="37" t="s">
        <v>32</v>
      </c>
      <c r="C23" s="27">
        <f>C4</f>
        <v>10</v>
      </c>
      <c r="D23" s="6"/>
      <c r="E23" s="46"/>
      <c r="F23" s="46"/>
      <c r="G23" s="71">
        <f>C23</f>
        <v>10</v>
      </c>
      <c r="H23" s="74" t="s">
        <v>67</v>
      </c>
      <c r="I23" s="21">
        <v>1273.76</v>
      </c>
      <c r="J23" s="70">
        <f t="shared" si="0"/>
        <v>12737.6</v>
      </c>
      <c r="K23" s="158"/>
    </row>
    <row r="24" spans="1:11" ht="15.75" x14ac:dyDescent="0.25">
      <c r="A24" s="38" t="s">
        <v>96</v>
      </c>
      <c r="B24" s="46" t="s">
        <v>207</v>
      </c>
      <c r="C24" s="46"/>
      <c r="D24" s="14"/>
      <c r="E24" s="46"/>
      <c r="F24" s="46"/>
      <c r="G24" s="46"/>
      <c r="H24" s="78"/>
      <c r="I24" s="96"/>
      <c r="J24" s="68"/>
      <c r="K24" s="158"/>
    </row>
    <row r="25" spans="1:11" ht="15.75" x14ac:dyDescent="0.25">
      <c r="A25" s="47">
        <v>1</v>
      </c>
      <c r="B25" s="48" t="s">
        <v>60</v>
      </c>
      <c r="C25" s="48">
        <v>1</v>
      </c>
      <c r="D25" s="8">
        <f>C6+0.5</f>
        <v>6.1000000000000005</v>
      </c>
      <c r="E25" s="8">
        <f>D25</f>
        <v>6.1000000000000005</v>
      </c>
      <c r="F25" s="48">
        <f>C10</f>
        <v>0.7</v>
      </c>
      <c r="G25" s="8">
        <f>D25*E25*F25</f>
        <v>26.047000000000004</v>
      </c>
      <c r="H25" s="75" t="s">
        <v>51</v>
      </c>
      <c r="I25" s="97">
        <v>315.89</v>
      </c>
      <c r="J25" s="69">
        <f>G25*I25</f>
        <v>8227.9868300000016</v>
      </c>
      <c r="K25" s="158"/>
    </row>
    <row r="26" spans="1:11" ht="15.75" x14ac:dyDescent="0.25">
      <c r="A26" s="47">
        <v>2</v>
      </c>
      <c r="B26" s="48" t="s">
        <v>61</v>
      </c>
      <c r="C26" s="48"/>
      <c r="D26" s="8"/>
      <c r="E26" s="48"/>
      <c r="F26" s="48"/>
      <c r="G26" s="8">
        <f>G25</f>
        <v>26.047000000000004</v>
      </c>
      <c r="H26" s="75" t="s">
        <v>51</v>
      </c>
      <c r="I26" s="97">
        <v>100</v>
      </c>
      <c r="J26" s="69">
        <f t="shared" ref="J26" si="1">G26*I26</f>
        <v>2604.7000000000003</v>
      </c>
      <c r="K26" s="158"/>
    </row>
    <row r="27" spans="1:11" ht="15.75" x14ac:dyDescent="0.25">
      <c r="A27" s="47">
        <v>3</v>
      </c>
      <c r="B27" s="48" t="s">
        <v>163</v>
      </c>
      <c r="C27" s="48">
        <v>3.14</v>
      </c>
      <c r="D27" s="8">
        <f>C6/2</f>
        <v>2.8000000000000003</v>
      </c>
      <c r="E27" s="8">
        <f>D27</f>
        <v>2.8000000000000003</v>
      </c>
      <c r="F27" s="48">
        <f>C9</f>
        <v>0.6</v>
      </c>
      <c r="G27" s="8">
        <f>C27*D27*E27*F27</f>
        <v>14.770560000000003</v>
      </c>
      <c r="H27" s="75"/>
      <c r="I27" s="97"/>
      <c r="J27" s="69"/>
      <c r="K27" s="158"/>
    </row>
    <row r="28" spans="1:11" ht="15.75" x14ac:dyDescent="0.25">
      <c r="A28" s="47"/>
      <c r="B28" s="48" t="s">
        <v>151</v>
      </c>
      <c r="C28" s="48">
        <v>3.14</v>
      </c>
      <c r="D28" s="8">
        <f>C6-C7</f>
        <v>5</v>
      </c>
      <c r="E28" s="8">
        <f>C7</f>
        <v>0.60000000000000009</v>
      </c>
      <c r="F28" s="48">
        <f>C8</f>
        <v>1.05</v>
      </c>
      <c r="G28" s="8">
        <f>C28*D28*E28*F28</f>
        <v>9.8910000000000018</v>
      </c>
      <c r="H28" s="75"/>
      <c r="I28" s="97"/>
      <c r="J28" s="69"/>
      <c r="K28" s="158"/>
    </row>
    <row r="29" spans="1:11" ht="15.75" x14ac:dyDescent="0.25">
      <c r="A29" s="47"/>
      <c r="B29" s="48" t="s">
        <v>158</v>
      </c>
      <c r="C29" s="48">
        <v>1</v>
      </c>
      <c r="D29" s="8">
        <v>1.3</v>
      </c>
      <c r="E29" s="8">
        <v>1.3</v>
      </c>
      <c r="F29" s="48">
        <f>F28</f>
        <v>1.05</v>
      </c>
      <c r="G29" s="8">
        <f>C29*D29*E29*F29</f>
        <v>1.7745000000000002</v>
      </c>
      <c r="H29" s="75"/>
      <c r="I29" s="97"/>
      <c r="J29" s="69"/>
      <c r="K29" s="158"/>
    </row>
    <row r="30" spans="1:11" ht="15.75" x14ac:dyDescent="0.25">
      <c r="A30" s="47"/>
      <c r="B30" s="48" t="s">
        <v>160</v>
      </c>
      <c r="C30" s="48">
        <v>3.14</v>
      </c>
      <c r="D30" s="8">
        <f>(C6+3)/2</f>
        <v>4.3000000000000007</v>
      </c>
      <c r="E30" s="8">
        <f>D30</f>
        <v>4.3000000000000007</v>
      </c>
      <c r="F30" s="48">
        <v>0.15</v>
      </c>
      <c r="G30" s="8">
        <f t="shared" ref="G30:G31" si="2">C30*D30*E30*F30</f>
        <v>8.7087900000000023</v>
      </c>
      <c r="H30" s="75"/>
      <c r="I30" s="97"/>
      <c r="J30" s="69"/>
      <c r="K30" s="158"/>
    </row>
    <row r="31" spans="1:11" ht="15.75" x14ac:dyDescent="0.25">
      <c r="A31" s="47"/>
      <c r="B31" s="48" t="s">
        <v>161</v>
      </c>
      <c r="C31" s="48">
        <v>3.14</v>
      </c>
      <c r="D31" s="8">
        <f>D30-(D30-0.2)</f>
        <v>0.20000000000000018</v>
      </c>
      <c r="E31" s="8">
        <f>D30</f>
        <v>4.3000000000000007</v>
      </c>
      <c r="F31" s="48">
        <f>0.75-0.15</f>
        <v>0.6</v>
      </c>
      <c r="G31" s="8">
        <f t="shared" si="2"/>
        <v>1.6202400000000017</v>
      </c>
      <c r="H31" s="75"/>
      <c r="I31" s="97"/>
      <c r="J31" s="69"/>
      <c r="K31" s="158"/>
    </row>
    <row r="32" spans="1:11" ht="15.75" x14ac:dyDescent="0.25">
      <c r="A32" s="47"/>
      <c r="B32" s="48"/>
      <c r="C32" s="48"/>
      <c r="D32" s="8"/>
      <c r="E32" s="8"/>
      <c r="F32" s="48" t="s">
        <v>37</v>
      </c>
      <c r="G32" s="8">
        <f>SUM(G27:G31)</f>
        <v>36.765090000000008</v>
      </c>
      <c r="H32" s="75" t="s">
        <v>51</v>
      </c>
      <c r="I32" s="97">
        <v>5329.43</v>
      </c>
      <c r="J32" s="69">
        <f t="shared" ref="J32" si="3">G32*I32</f>
        <v>195936.97359870005</v>
      </c>
      <c r="K32" s="158"/>
    </row>
    <row r="33" spans="1:11" ht="15.75" x14ac:dyDescent="0.25">
      <c r="A33" s="47">
        <v>4</v>
      </c>
      <c r="B33" s="48" t="s">
        <v>155</v>
      </c>
      <c r="C33" s="48">
        <v>3.14</v>
      </c>
      <c r="D33" s="8">
        <f>C5/2</f>
        <v>2.2000000000000002</v>
      </c>
      <c r="E33" s="8">
        <f>D33</f>
        <v>2.2000000000000002</v>
      </c>
      <c r="F33" s="48">
        <f>C11</f>
        <v>1</v>
      </c>
      <c r="G33" s="8">
        <f>D33*E33*F33</f>
        <v>4.8400000000000007</v>
      </c>
      <c r="H33" s="75"/>
      <c r="I33" s="97"/>
      <c r="J33" s="69"/>
      <c r="K33" s="158"/>
    </row>
    <row r="34" spans="1:11" ht="15.75" x14ac:dyDescent="0.25">
      <c r="A34" s="47"/>
      <c r="B34" s="48" t="s">
        <v>156</v>
      </c>
      <c r="C34" s="48">
        <v>3.14</v>
      </c>
      <c r="D34" s="8">
        <f>(C6+0.2)/2</f>
        <v>2.9000000000000004</v>
      </c>
      <c r="E34" s="8">
        <f>D34</f>
        <v>2.9000000000000004</v>
      </c>
      <c r="F34" s="48">
        <v>0.05</v>
      </c>
      <c r="G34" s="8">
        <f t="shared" ref="G34:G35" si="4">D34*E34*F34</f>
        <v>0.4205000000000001</v>
      </c>
      <c r="H34" s="75"/>
      <c r="I34" s="97"/>
      <c r="J34" s="69"/>
      <c r="K34" s="158"/>
    </row>
    <row r="35" spans="1:11" ht="15.75" x14ac:dyDescent="0.25">
      <c r="A35" s="47"/>
      <c r="B35" s="48" t="s">
        <v>160</v>
      </c>
      <c r="C35" s="48">
        <v>3.14</v>
      </c>
      <c r="D35" s="8">
        <f>D30</f>
        <v>4.3000000000000007</v>
      </c>
      <c r="E35" s="8">
        <f>D35</f>
        <v>4.3000000000000007</v>
      </c>
      <c r="F35" s="48">
        <v>0.05</v>
      </c>
      <c r="G35" s="8">
        <f t="shared" si="4"/>
        <v>0.92450000000000032</v>
      </c>
      <c r="H35" s="75"/>
      <c r="I35" s="97"/>
      <c r="J35" s="69"/>
      <c r="K35" s="158"/>
    </row>
    <row r="36" spans="1:11" ht="15.75" x14ac:dyDescent="0.25">
      <c r="A36" s="47"/>
      <c r="B36" s="48"/>
      <c r="C36" s="48"/>
      <c r="D36" s="8"/>
      <c r="E36" s="8"/>
      <c r="F36" s="48" t="s">
        <v>37</v>
      </c>
      <c r="G36" s="8">
        <f>SUM(G33:G35)</f>
        <v>6.1850000000000005</v>
      </c>
      <c r="H36" s="75" t="s">
        <v>51</v>
      </c>
      <c r="I36" s="97">
        <v>927.3</v>
      </c>
      <c r="J36" s="69">
        <f t="shared" ref="J36" si="5">G36*I36</f>
        <v>5735.3505000000005</v>
      </c>
      <c r="K36" s="158"/>
    </row>
    <row r="37" spans="1:11" ht="15.75" x14ac:dyDescent="0.25">
      <c r="A37" s="47">
        <v>5</v>
      </c>
      <c r="B37" s="48" t="s">
        <v>152</v>
      </c>
      <c r="C37" s="48">
        <v>3.14</v>
      </c>
      <c r="D37" s="8">
        <f>C6</f>
        <v>5.6000000000000005</v>
      </c>
      <c r="E37" s="48"/>
      <c r="F37" s="48">
        <f>C8</f>
        <v>1.05</v>
      </c>
      <c r="G37" s="8">
        <f>C37*D37*F37</f>
        <v>18.463200000000004</v>
      </c>
      <c r="H37" s="75"/>
      <c r="I37" s="97"/>
      <c r="J37" s="69"/>
      <c r="K37" s="158"/>
    </row>
    <row r="38" spans="1:11" ht="15.75" x14ac:dyDescent="0.25">
      <c r="A38" s="47"/>
      <c r="B38" s="48" t="s">
        <v>153</v>
      </c>
      <c r="C38" s="48">
        <v>3.14</v>
      </c>
      <c r="D38" s="8">
        <f>C5</f>
        <v>4.4000000000000004</v>
      </c>
      <c r="E38" s="48"/>
      <c r="F38" s="48">
        <f>C8</f>
        <v>1.05</v>
      </c>
      <c r="G38" s="8">
        <f t="shared" ref="G38:G39" si="6">C38*D38*F38</f>
        <v>14.506800000000004</v>
      </c>
      <c r="H38" s="75"/>
      <c r="I38" s="97"/>
      <c r="J38" s="69"/>
      <c r="K38" s="158"/>
    </row>
    <row r="39" spans="1:11" ht="15.75" x14ac:dyDescent="0.25">
      <c r="A39" s="47"/>
      <c r="B39" s="48" t="s">
        <v>33</v>
      </c>
      <c r="C39" s="48">
        <v>3.14</v>
      </c>
      <c r="D39" s="8">
        <f>C6</f>
        <v>5.6000000000000005</v>
      </c>
      <c r="E39" s="48"/>
      <c r="F39" s="48">
        <f>C9</f>
        <v>0.6</v>
      </c>
      <c r="G39" s="8">
        <f t="shared" si="6"/>
        <v>10.550400000000002</v>
      </c>
      <c r="H39" s="75"/>
      <c r="I39" s="97"/>
      <c r="J39" s="69"/>
      <c r="K39" s="158"/>
    </row>
    <row r="40" spans="1:11" ht="15.75" x14ac:dyDescent="0.25">
      <c r="A40" s="47"/>
      <c r="B40" s="48" t="s">
        <v>161</v>
      </c>
      <c r="C40" s="48">
        <v>3.14</v>
      </c>
      <c r="D40" s="8">
        <v>2</v>
      </c>
      <c r="E40" s="8">
        <f>E31</f>
        <v>4.3000000000000007</v>
      </c>
      <c r="F40" s="48">
        <f>0.75-0.15</f>
        <v>0.6</v>
      </c>
      <c r="G40" s="8">
        <f t="shared" ref="G40" si="7">C40*D40*E40*F40</f>
        <v>16.202400000000001</v>
      </c>
      <c r="H40" s="75"/>
      <c r="I40" s="97"/>
      <c r="J40" s="69"/>
      <c r="K40" s="158"/>
    </row>
    <row r="41" spans="1:11" ht="15.75" x14ac:dyDescent="0.25">
      <c r="A41" s="47"/>
      <c r="B41" s="48"/>
      <c r="C41" s="48"/>
      <c r="D41" s="8"/>
      <c r="E41" s="48"/>
      <c r="F41" s="48" t="s">
        <v>37</v>
      </c>
      <c r="G41" s="8">
        <f>SUM(G37:G40)</f>
        <v>59.722800000000007</v>
      </c>
      <c r="H41" s="75" t="s">
        <v>36</v>
      </c>
      <c r="I41" s="97">
        <v>718.4</v>
      </c>
      <c r="J41" s="69">
        <f t="shared" ref="J41:J42" si="8">G41*I41</f>
        <v>42904.859520000005</v>
      </c>
      <c r="K41" s="158"/>
    </row>
    <row r="42" spans="1:11" ht="15.75" x14ac:dyDescent="0.25">
      <c r="A42" s="47">
        <v>6</v>
      </c>
      <c r="B42" s="48" t="s">
        <v>65</v>
      </c>
      <c r="C42" s="48">
        <f>C12</f>
        <v>15</v>
      </c>
      <c r="D42" s="8"/>
      <c r="E42" s="48">
        <f>C13</f>
        <v>14.894814814814815</v>
      </c>
      <c r="F42" s="48"/>
      <c r="G42" s="8">
        <f>C42*E42</f>
        <v>223.42222222222222</v>
      </c>
      <c r="H42" s="75" t="s">
        <v>56</v>
      </c>
      <c r="I42" s="97">
        <v>125</v>
      </c>
      <c r="J42" s="69">
        <f t="shared" si="8"/>
        <v>27927.777777777777</v>
      </c>
      <c r="K42" s="158"/>
    </row>
    <row r="43" spans="1:11" ht="15.75" x14ac:dyDescent="0.25">
      <c r="A43" s="47">
        <v>7</v>
      </c>
      <c r="B43" s="48" t="s">
        <v>73</v>
      </c>
      <c r="C43" s="48">
        <v>3.14</v>
      </c>
      <c r="D43" s="8">
        <f>(C6+0.2)/2</f>
        <v>2.9000000000000004</v>
      </c>
      <c r="E43" s="8">
        <f>D43</f>
        <v>2.9000000000000004</v>
      </c>
      <c r="F43" s="48">
        <v>0.05</v>
      </c>
      <c r="G43" s="8">
        <f>C43*D43*E43*F43</f>
        <v>1.3203700000000005</v>
      </c>
      <c r="H43" s="75"/>
      <c r="I43" s="97"/>
      <c r="J43" s="69"/>
      <c r="K43" s="158"/>
    </row>
    <row r="44" spans="1:11" ht="15.75" x14ac:dyDescent="0.25">
      <c r="A44" s="47"/>
      <c r="B44" s="48" t="s">
        <v>160</v>
      </c>
      <c r="C44" s="48">
        <v>3.14</v>
      </c>
      <c r="D44" s="8">
        <f>D35</f>
        <v>4.3000000000000007</v>
      </c>
      <c r="E44" s="8">
        <f>D44</f>
        <v>4.3000000000000007</v>
      </c>
      <c r="F44" s="48">
        <v>0.05</v>
      </c>
      <c r="G44" s="8">
        <f>C44*D44*E44*F44</f>
        <v>2.9029300000000013</v>
      </c>
      <c r="H44" s="75"/>
      <c r="I44" s="97"/>
      <c r="J44" s="69"/>
      <c r="K44" s="158"/>
    </row>
    <row r="45" spans="1:11" ht="15.75" x14ac:dyDescent="0.25">
      <c r="A45" s="47"/>
      <c r="B45" s="48"/>
      <c r="C45" s="48"/>
      <c r="D45" s="8"/>
      <c r="E45" s="8"/>
      <c r="F45" s="48" t="s">
        <v>37</v>
      </c>
      <c r="G45" s="8">
        <f>SUM(G43:G44)</f>
        <v>4.2233000000000018</v>
      </c>
      <c r="H45" s="75" t="s">
        <v>51</v>
      </c>
      <c r="I45" s="97">
        <v>3535.97</v>
      </c>
      <c r="J45" s="69">
        <f t="shared" ref="J45:J47" si="9">G45*I45</f>
        <v>14933.462101000006</v>
      </c>
      <c r="K45" s="158"/>
    </row>
    <row r="46" spans="1:11" ht="15.75" x14ac:dyDescent="0.25">
      <c r="A46" s="47">
        <v>8</v>
      </c>
      <c r="B46" s="48" t="s">
        <v>157</v>
      </c>
      <c r="C46" s="48">
        <v>3.14</v>
      </c>
      <c r="D46" s="8">
        <f>C5/2</f>
        <v>2.2000000000000002</v>
      </c>
      <c r="E46" s="8">
        <f>D46</f>
        <v>2.2000000000000002</v>
      </c>
      <c r="F46" s="48">
        <v>0.05</v>
      </c>
      <c r="G46" s="8">
        <f>C46*D46*E46</f>
        <v>15.197600000000003</v>
      </c>
      <c r="H46" s="75" t="s">
        <v>36</v>
      </c>
      <c r="I46" s="97">
        <v>750</v>
      </c>
      <c r="J46" s="69">
        <f t="shared" si="9"/>
        <v>11398.200000000003</v>
      </c>
      <c r="K46" s="158"/>
    </row>
    <row r="47" spans="1:11" ht="15.75" x14ac:dyDescent="0.25">
      <c r="A47" s="47">
        <v>9</v>
      </c>
      <c r="B47" s="48" t="s">
        <v>63</v>
      </c>
      <c r="C47" s="48">
        <v>1</v>
      </c>
      <c r="D47" s="8"/>
      <c r="E47" s="8">
        <f>G32</f>
        <v>36.765090000000008</v>
      </c>
      <c r="F47" s="48">
        <v>100</v>
      </c>
      <c r="G47" s="8">
        <f>E47*F47</f>
        <v>3676.5090000000009</v>
      </c>
      <c r="H47" s="75" t="s">
        <v>56</v>
      </c>
      <c r="I47" s="97">
        <v>66.239999999999995</v>
      </c>
      <c r="J47" s="69">
        <f t="shared" si="9"/>
        <v>243531.95616000003</v>
      </c>
      <c r="K47" s="158"/>
    </row>
    <row r="48" spans="1:11" ht="15.75" x14ac:dyDescent="0.25">
      <c r="A48" s="63"/>
      <c r="B48" s="63"/>
      <c r="C48" s="63"/>
      <c r="D48" s="63"/>
      <c r="F48" s="168"/>
      <c r="G48" s="168"/>
      <c r="H48" s="168" t="s">
        <v>26</v>
      </c>
      <c r="I48" s="36"/>
      <c r="J48" s="150">
        <f>SUM(J19:J47)</f>
        <v>1002076.3664874779</v>
      </c>
      <c r="K48" s="63"/>
    </row>
    <row r="49" spans="1:11" ht="15.75" x14ac:dyDescent="0.25">
      <c r="A49" s="2"/>
      <c r="B49" s="2"/>
      <c r="C49" s="2"/>
      <c r="D49" s="169" t="s">
        <v>213</v>
      </c>
      <c r="E49" s="169"/>
      <c r="F49" s="169"/>
      <c r="G49" s="169">
        <v>1</v>
      </c>
      <c r="H49" s="170" t="s">
        <v>67</v>
      </c>
      <c r="I49" s="5">
        <f>J48</f>
        <v>1002076.3664874779</v>
      </c>
      <c r="J49" s="118">
        <f>G49*I49</f>
        <v>1002076.3664874779</v>
      </c>
      <c r="K49" s="5">
        <f>J49</f>
        <v>1002076.3664874779</v>
      </c>
    </row>
    <row r="50" spans="1:11" ht="28.5" x14ac:dyDescent="0.45">
      <c r="A50" s="2"/>
      <c r="B50" s="161" t="s">
        <v>211</v>
      </c>
      <c r="C50" s="162"/>
      <c r="D50" s="162"/>
      <c r="E50" s="162"/>
      <c r="F50" s="162"/>
      <c r="G50" s="162"/>
      <c r="H50" s="162"/>
      <c r="I50" s="162"/>
      <c r="J50" s="162"/>
      <c r="K50" s="162"/>
    </row>
    <row r="51" spans="1:11" ht="15.75" x14ac:dyDescent="0.25">
      <c r="A51" s="163" t="s">
        <v>162</v>
      </c>
      <c r="B51" s="164"/>
      <c r="C51" s="165"/>
      <c r="D51" s="63"/>
      <c r="E51" s="63"/>
      <c r="F51" s="63"/>
      <c r="G51" s="63"/>
      <c r="H51" s="63"/>
      <c r="I51" s="63"/>
      <c r="J51" s="63"/>
      <c r="K51" s="63"/>
    </row>
    <row r="52" spans="1:11" ht="15.75" x14ac:dyDescent="0.25">
      <c r="A52" s="63"/>
      <c r="B52" s="63" t="s">
        <v>145</v>
      </c>
      <c r="C52" s="64">
        <v>7</v>
      </c>
      <c r="D52" s="64"/>
      <c r="E52" s="64"/>
      <c r="F52" s="64"/>
      <c r="G52" s="63"/>
      <c r="H52" s="63"/>
      <c r="I52" s="63"/>
      <c r="J52" s="63"/>
      <c r="K52" s="63"/>
    </row>
    <row r="53" spans="1:11" ht="15.75" x14ac:dyDescent="0.25">
      <c r="A53" s="63"/>
      <c r="B53" s="63" t="s">
        <v>146</v>
      </c>
      <c r="C53" s="64">
        <f>3.5-0.5</f>
        <v>3</v>
      </c>
      <c r="D53" s="64"/>
      <c r="E53" s="64"/>
      <c r="F53" s="64"/>
      <c r="G53" s="63"/>
      <c r="H53" s="63"/>
      <c r="I53" s="63"/>
      <c r="J53" s="63"/>
      <c r="K53" s="63"/>
    </row>
    <row r="54" spans="1:11" ht="15.75" x14ac:dyDescent="0.25">
      <c r="A54" s="63"/>
      <c r="B54" s="63" t="s">
        <v>147</v>
      </c>
      <c r="C54" s="64">
        <f>C53+1</f>
        <v>4</v>
      </c>
      <c r="D54" s="64"/>
      <c r="E54" s="64"/>
      <c r="F54" s="64"/>
      <c r="G54" s="63"/>
      <c r="H54" s="63"/>
      <c r="I54" s="63"/>
      <c r="J54" s="63"/>
      <c r="K54" s="63"/>
    </row>
    <row r="55" spans="1:11" ht="15.75" x14ac:dyDescent="0.25">
      <c r="A55" s="63"/>
      <c r="B55" s="63" t="s">
        <v>320</v>
      </c>
      <c r="C55" s="64">
        <f>(C54-C53)/2</f>
        <v>0.5</v>
      </c>
      <c r="D55" s="64"/>
      <c r="E55" s="64"/>
      <c r="F55" s="64"/>
      <c r="G55" s="63"/>
      <c r="H55" s="63"/>
      <c r="I55" s="63"/>
      <c r="J55" s="63"/>
      <c r="K55" s="63"/>
    </row>
    <row r="56" spans="1:11" ht="15.75" x14ac:dyDescent="0.25">
      <c r="A56" s="63"/>
      <c r="B56" s="63" t="s">
        <v>149</v>
      </c>
      <c r="C56" s="64">
        <f>1.05</f>
        <v>1.05</v>
      </c>
      <c r="D56" s="64"/>
      <c r="E56" s="64"/>
      <c r="F56" s="64"/>
      <c r="G56" s="63"/>
      <c r="H56" s="63"/>
      <c r="I56" s="63"/>
      <c r="J56" s="63"/>
      <c r="K56" s="63"/>
    </row>
    <row r="57" spans="1:11" ht="15.75" x14ac:dyDescent="0.25">
      <c r="A57" s="63"/>
      <c r="B57" s="63" t="s">
        <v>148</v>
      </c>
      <c r="C57" s="64">
        <v>0.6</v>
      </c>
      <c r="D57" s="64"/>
      <c r="E57" s="64"/>
      <c r="F57" s="64"/>
      <c r="G57" s="63"/>
      <c r="H57" s="63"/>
      <c r="I57" s="63"/>
      <c r="J57" s="63"/>
      <c r="K57" s="63"/>
    </row>
    <row r="58" spans="1:11" ht="15.75" x14ac:dyDescent="0.25">
      <c r="A58" s="63"/>
      <c r="B58" s="63" t="s">
        <v>321</v>
      </c>
      <c r="C58" s="64">
        <f>0.05+0.05+0.1+0.5</f>
        <v>0.7</v>
      </c>
      <c r="D58" s="64"/>
      <c r="E58" s="64"/>
      <c r="F58" s="64"/>
      <c r="G58" s="63"/>
      <c r="H58" s="63"/>
      <c r="I58" s="63"/>
      <c r="J58" s="63"/>
      <c r="K58" s="63"/>
    </row>
    <row r="59" spans="1:11" ht="15.75" x14ac:dyDescent="0.25">
      <c r="A59" s="63"/>
      <c r="B59" s="63" t="s">
        <v>150</v>
      </c>
      <c r="C59" s="64">
        <f>C56-C63</f>
        <v>1</v>
      </c>
      <c r="D59" s="64"/>
      <c r="E59" s="64"/>
      <c r="F59" s="64"/>
      <c r="G59" s="63"/>
      <c r="H59" s="63"/>
      <c r="I59" s="63"/>
      <c r="J59" s="63"/>
      <c r="K59" s="63"/>
    </row>
    <row r="60" spans="1:11" ht="15.75" x14ac:dyDescent="0.25">
      <c r="A60" s="63"/>
      <c r="B60" s="63" t="s">
        <v>154</v>
      </c>
      <c r="C60" s="64">
        <v>10</v>
      </c>
      <c r="D60" s="64" t="s">
        <v>164</v>
      </c>
      <c r="E60" s="64" t="s">
        <v>113</v>
      </c>
      <c r="F60" s="64" t="s">
        <v>165</v>
      </c>
      <c r="G60" s="63"/>
      <c r="H60" s="63"/>
      <c r="I60" s="63"/>
      <c r="J60" s="63"/>
      <c r="K60" s="63"/>
    </row>
    <row r="61" spans="1:11" ht="15.75" x14ac:dyDescent="0.25">
      <c r="A61" s="63"/>
      <c r="B61" s="63" t="s">
        <v>322</v>
      </c>
      <c r="C61" s="166">
        <f>((D61*D61/162)*E61)+F61</f>
        <v>14.894814814814815</v>
      </c>
      <c r="D61" s="64">
        <v>32</v>
      </c>
      <c r="E61" s="64">
        <v>2.04</v>
      </c>
      <c r="F61" s="64">
        <v>2</v>
      </c>
      <c r="G61" s="63"/>
      <c r="H61" s="63"/>
      <c r="I61" s="63"/>
      <c r="J61" s="63"/>
      <c r="K61" s="63"/>
    </row>
    <row r="62" spans="1:11" ht="15.75" x14ac:dyDescent="0.25">
      <c r="A62" s="63"/>
      <c r="B62" s="63" t="s">
        <v>323</v>
      </c>
      <c r="C62" s="64">
        <v>0.05</v>
      </c>
      <c r="D62" s="64"/>
      <c r="E62" s="64"/>
      <c r="F62" s="64"/>
      <c r="G62" s="63"/>
      <c r="H62" s="63"/>
      <c r="I62" s="63"/>
      <c r="J62" s="63"/>
      <c r="K62" s="63"/>
    </row>
    <row r="63" spans="1:11" ht="15.75" x14ac:dyDescent="0.25">
      <c r="A63" s="63"/>
      <c r="B63" s="63" t="s">
        <v>159</v>
      </c>
      <c r="C63" s="64">
        <v>0.05</v>
      </c>
      <c r="D63" s="64"/>
      <c r="E63" s="64"/>
      <c r="F63" s="64"/>
      <c r="G63" s="63"/>
      <c r="H63" s="63"/>
      <c r="I63" s="63"/>
      <c r="J63" s="63"/>
      <c r="K63" s="63"/>
    </row>
    <row r="64" spans="1:11" ht="15.75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</row>
    <row r="65" spans="1:11" ht="15.75" x14ac:dyDescent="0.25">
      <c r="A65" s="38"/>
      <c r="B65" s="114" t="s">
        <v>141</v>
      </c>
      <c r="C65" s="40"/>
      <c r="D65" s="13"/>
      <c r="E65" s="40"/>
      <c r="F65" s="40"/>
      <c r="G65" s="40"/>
      <c r="H65" s="78"/>
      <c r="I65" s="96"/>
      <c r="J65" s="68"/>
      <c r="K65" s="158"/>
    </row>
    <row r="66" spans="1:11" ht="15.75" x14ac:dyDescent="0.25">
      <c r="A66" s="113" t="s">
        <v>95</v>
      </c>
      <c r="B66" s="167" t="s">
        <v>69</v>
      </c>
      <c r="C66" s="30"/>
      <c r="D66" s="67"/>
      <c r="E66" s="46"/>
      <c r="F66" s="46"/>
      <c r="G66" s="46"/>
      <c r="H66" s="78"/>
      <c r="I66" s="96"/>
      <c r="J66" s="68"/>
      <c r="K66" s="158"/>
    </row>
    <row r="67" spans="1:11" ht="15.75" x14ac:dyDescent="0.25">
      <c r="A67" s="30"/>
      <c r="B67" s="34" t="s">
        <v>324</v>
      </c>
      <c r="C67" s="27">
        <v>0</v>
      </c>
      <c r="D67" s="6"/>
      <c r="E67" s="46"/>
      <c r="F67" s="46"/>
      <c r="G67" s="71">
        <f>C67</f>
        <v>0</v>
      </c>
      <c r="H67" s="74" t="s">
        <v>4</v>
      </c>
      <c r="I67" s="21">
        <v>305703.42</v>
      </c>
      <c r="J67" s="70">
        <f>G67*I67</f>
        <v>0</v>
      </c>
      <c r="K67" s="158"/>
    </row>
    <row r="68" spans="1:11" ht="15.75" x14ac:dyDescent="0.25">
      <c r="A68" s="30"/>
      <c r="B68" s="34" t="s">
        <v>70</v>
      </c>
      <c r="C68" s="27">
        <v>0</v>
      </c>
      <c r="D68" s="6"/>
      <c r="E68" s="46"/>
      <c r="F68" s="46"/>
      <c r="G68" s="71">
        <f>C68</f>
        <v>0</v>
      </c>
      <c r="H68" s="74" t="s">
        <v>4</v>
      </c>
      <c r="I68" s="21">
        <v>229277.57</v>
      </c>
      <c r="J68" s="70">
        <f t="shared" ref="J68:J71" si="10">G68*I68</f>
        <v>0</v>
      </c>
      <c r="K68" s="158"/>
    </row>
    <row r="69" spans="1:11" ht="15.75" x14ac:dyDescent="0.25">
      <c r="A69" s="30"/>
      <c r="B69" s="34" t="s">
        <v>71</v>
      </c>
      <c r="C69" s="27">
        <f>C52</f>
        <v>7</v>
      </c>
      <c r="D69" s="6">
        <v>18</v>
      </c>
      <c r="E69" s="46"/>
      <c r="F69" s="46"/>
      <c r="G69" s="71">
        <f>C69*D69</f>
        <v>126</v>
      </c>
      <c r="H69" s="74" t="s">
        <v>39</v>
      </c>
      <c r="I69" s="21">
        <v>2394.6799999999998</v>
      </c>
      <c r="J69" s="70">
        <f t="shared" si="10"/>
        <v>301729.68</v>
      </c>
      <c r="K69" s="158"/>
    </row>
    <row r="70" spans="1:11" ht="15.75" x14ac:dyDescent="0.25">
      <c r="A70" s="30"/>
      <c r="B70" s="34" t="s">
        <v>31</v>
      </c>
      <c r="C70" s="27">
        <f>C52</f>
        <v>7</v>
      </c>
      <c r="D70" s="6"/>
      <c r="E70" s="46"/>
      <c r="F70" s="46"/>
      <c r="G70" s="71">
        <f>C70</f>
        <v>7</v>
      </c>
      <c r="H70" s="74" t="s">
        <v>67</v>
      </c>
      <c r="I70" s="21">
        <v>509.51</v>
      </c>
      <c r="J70" s="70">
        <f t="shared" si="10"/>
        <v>3566.5699999999997</v>
      </c>
      <c r="K70" s="158"/>
    </row>
    <row r="71" spans="1:11" ht="15.75" x14ac:dyDescent="0.25">
      <c r="A71" s="30"/>
      <c r="B71" s="37" t="s">
        <v>32</v>
      </c>
      <c r="C71" s="27">
        <f>C52</f>
        <v>7</v>
      </c>
      <c r="D71" s="6"/>
      <c r="E71" s="46"/>
      <c r="F71" s="46"/>
      <c r="G71" s="71">
        <f>C71</f>
        <v>7</v>
      </c>
      <c r="H71" s="74" t="s">
        <v>67</v>
      </c>
      <c r="I71" s="21">
        <v>1273.76</v>
      </c>
      <c r="J71" s="70">
        <f t="shared" si="10"/>
        <v>8916.32</v>
      </c>
      <c r="K71" s="158"/>
    </row>
    <row r="72" spans="1:11" ht="15.75" x14ac:dyDescent="0.25">
      <c r="A72" s="38" t="s">
        <v>96</v>
      </c>
      <c r="B72" s="46" t="s">
        <v>208</v>
      </c>
      <c r="C72" s="46"/>
      <c r="D72" s="14"/>
      <c r="E72" s="46"/>
      <c r="F72" s="46"/>
      <c r="G72" s="46"/>
      <c r="H72" s="78"/>
      <c r="I72" s="96"/>
      <c r="J72" s="68"/>
      <c r="K72" s="158"/>
    </row>
    <row r="73" spans="1:11" ht="15.75" x14ac:dyDescent="0.25">
      <c r="A73" s="47">
        <v>1</v>
      </c>
      <c r="B73" s="48" t="s">
        <v>60</v>
      </c>
      <c r="C73" s="48">
        <v>1</v>
      </c>
      <c r="D73" s="8">
        <f>C54+0.5</f>
        <v>4.5</v>
      </c>
      <c r="E73" s="8">
        <f>D73</f>
        <v>4.5</v>
      </c>
      <c r="F73" s="48">
        <f>C58</f>
        <v>0.7</v>
      </c>
      <c r="G73" s="8">
        <f>D73*E73*F73</f>
        <v>14.174999999999999</v>
      </c>
      <c r="H73" s="75" t="s">
        <v>51</v>
      </c>
      <c r="I73" s="97">
        <v>315.89</v>
      </c>
      <c r="J73" s="69">
        <f>G73*I73</f>
        <v>4477.740749999999</v>
      </c>
      <c r="K73" s="158"/>
    </row>
    <row r="74" spans="1:11" ht="15.75" x14ac:dyDescent="0.25">
      <c r="A74" s="47">
        <v>2</v>
      </c>
      <c r="B74" s="48" t="s">
        <v>61</v>
      </c>
      <c r="C74" s="48"/>
      <c r="D74" s="8"/>
      <c r="E74" s="48"/>
      <c r="F74" s="48"/>
      <c r="G74" s="8">
        <f>G73</f>
        <v>14.174999999999999</v>
      </c>
      <c r="H74" s="75" t="s">
        <v>51</v>
      </c>
      <c r="I74" s="97">
        <v>100</v>
      </c>
      <c r="J74" s="69">
        <f t="shared" ref="J74" si="11">G74*I74</f>
        <v>1417.5</v>
      </c>
      <c r="K74" s="158"/>
    </row>
    <row r="75" spans="1:11" ht="15.75" x14ac:dyDescent="0.25">
      <c r="A75" s="47">
        <v>3</v>
      </c>
      <c r="B75" s="48" t="s">
        <v>163</v>
      </c>
      <c r="C75" s="48">
        <v>3.14</v>
      </c>
      <c r="D75" s="8">
        <f>C54/2</f>
        <v>2</v>
      </c>
      <c r="E75" s="8">
        <f>D75</f>
        <v>2</v>
      </c>
      <c r="F75" s="48">
        <f>C57</f>
        <v>0.6</v>
      </c>
      <c r="G75" s="8">
        <f>C75*D75*E75*F75</f>
        <v>7.5359999999999996</v>
      </c>
      <c r="H75" s="75"/>
      <c r="I75" s="97"/>
      <c r="J75" s="69"/>
      <c r="K75" s="158"/>
    </row>
    <row r="76" spans="1:11" ht="15.75" x14ac:dyDescent="0.25">
      <c r="A76" s="47"/>
      <c r="B76" s="48" t="s">
        <v>151</v>
      </c>
      <c r="C76" s="48">
        <v>3.14</v>
      </c>
      <c r="D76" s="8">
        <f>C54-C55</f>
        <v>3.5</v>
      </c>
      <c r="E76" s="8">
        <f>C55</f>
        <v>0.5</v>
      </c>
      <c r="F76" s="48">
        <f>C56</f>
        <v>1.05</v>
      </c>
      <c r="G76" s="8">
        <f>C76*D76*E76*F76</f>
        <v>5.7697500000000002</v>
      </c>
      <c r="H76" s="75"/>
      <c r="I76" s="97"/>
      <c r="J76" s="69"/>
      <c r="K76" s="158"/>
    </row>
    <row r="77" spans="1:11" ht="15.75" x14ac:dyDescent="0.25">
      <c r="A77" s="47"/>
      <c r="B77" s="48" t="s">
        <v>158</v>
      </c>
      <c r="C77" s="48">
        <v>1</v>
      </c>
      <c r="D77" s="8">
        <v>1.3</v>
      </c>
      <c r="E77" s="8">
        <v>1.3</v>
      </c>
      <c r="F77" s="48">
        <f>F76</f>
        <v>1.05</v>
      </c>
      <c r="G77" s="8">
        <f>C77*D77*E77*F77</f>
        <v>1.7745000000000002</v>
      </c>
      <c r="H77" s="75"/>
      <c r="I77" s="97"/>
      <c r="J77" s="69"/>
      <c r="K77" s="158"/>
    </row>
    <row r="78" spans="1:11" ht="15.75" x14ac:dyDescent="0.25">
      <c r="A78" s="47"/>
      <c r="B78" s="48" t="s">
        <v>160</v>
      </c>
      <c r="C78" s="48">
        <v>3.14</v>
      </c>
      <c r="D78" s="8">
        <f>(C54+3)/2</f>
        <v>3.5</v>
      </c>
      <c r="E78" s="8">
        <f>D78</f>
        <v>3.5</v>
      </c>
      <c r="F78" s="48">
        <v>0.15</v>
      </c>
      <c r="G78" s="8">
        <f t="shared" ref="G78:G79" si="12">C78*D78*E78*F78</f>
        <v>5.7697500000000002</v>
      </c>
      <c r="H78" s="75"/>
      <c r="I78" s="97"/>
      <c r="J78" s="69"/>
      <c r="K78" s="158"/>
    </row>
    <row r="79" spans="1:11" ht="15.75" x14ac:dyDescent="0.25">
      <c r="A79" s="47"/>
      <c r="B79" s="48" t="s">
        <v>161</v>
      </c>
      <c r="C79" s="48">
        <v>3.14</v>
      </c>
      <c r="D79" s="8">
        <f>D78-(D78-0.2)</f>
        <v>0.20000000000000018</v>
      </c>
      <c r="E79" s="8">
        <f>D78</f>
        <v>3.5</v>
      </c>
      <c r="F79" s="48">
        <f>0.75-0.15</f>
        <v>0.6</v>
      </c>
      <c r="G79" s="8">
        <f t="shared" si="12"/>
        <v>1.3188000000000013</v>
      </c>
      <c r="H79" s="75"/>
      <c r="I79" s="97"/>
      <c r="J79" s="69"/>
      <c r="K79" s="158"/>
    </row>
    <row r="80" spans="1:11" ht="15.75" x14ac:dyDescent="0.25">
      <c r="A80" s="47"/>
      <c r="B80" s="48"/>
      <c r="C80" s="48"/>
      <c r="D80" s="8"/>
      <c r="E80" s="8"/>
      <c r="F80" s="48" t="s">
        <v>37</v>
      </c>
      <c r="G80" s="8">
        <f>SUM(G75:G79)</f>
        <v>22.168800000000005</v>
      </c>
      <c r="H80" s="75" t="s">
        <v>51</v>
      </c>
      <c r="I80" s="97">
        <v>5329.43</v>
      </c>
      <c r="J80" s="69">
        <f t="shared" ref="J80" si="13">G80*I80</f>
        <v>118147.06778400003</v>
      </c>
      <c r="K80" s="158"/>
    </row>
    <row r="81" spans="1:11" ht="15.75" x14ac:dyDescent="0.25">
      <c r="A81" s="47">
        <v>4</v>
      </c>
      <c r="B81" s="48" t="s">
        <v>155</v>
      </c>
      <c r="C81" s="48">
        <v>3.14</v>
      </c>
      <c r="D81" s="8">
        <f>C53/2</f>
        <v>1.5</v>
      </c>
      <c r="E81" s="8">
        <f>D81</f>
        <v>1.5</v>
      </c>
      <c r="F81" s="48">
        <f>C59</f>
        <v>1</v>
      </c>
      <c r="G81" s="8">
        <f>D81*E81*F81</f>
        <v>2.25</v>
      </c>
      <c r="H81" s="75"/>
      <c r="I81" s="97"/>
      <c r="J81" s="69"/>
      <c r="K81" s="158"/>
    </row>
    <row r="82" spans="1:11" ht="15.75" x14ac:dyDescent="0.25">
      <c r="A82" s="47"/>
      <c r="B82" s="48" t="s">
        <v>156</v>
      </c>
      <c r="C82" s="48">
        <v>3.14</v>
      </c>
      <c r="D82" s="8">
        <f>(C54+0.2)/2</f>
        <v>2.1</v>
      </c>
      <c r="E82" s="8">
        <f>D82</f>
        <v>2.1</v>
      </c>
      <c r="F82" s="48">
        <v>0.05</v>
      </c>
      <c r="G82" s="8">
        <f t="shared" ref="G82:G83" si="14">D82*E82*F82</f>
        <v>0.22050000000000003</v>
      </c>
      <c r="H82" s="75"/>
      <c r="I82" s="97"/>
      <c r="J82" s="69"/>
      <c r="K82" s="158"/>
    </row>
    <row r="83" spans="1:11" ht="15.75" x14ac:dyDescent="0.25">
      <c r="A83" s="47"/>
      <c r="B83" s="48" t="s">
        <v>160</v>
      </c>
      <c r="C83" s="48">
        <v>3.14</v>
      </c>
      <c r="D83" s="8">
        <f>D78</f>
        <v>3.5</v>
      </c>
      <c r="E83" s="8">
        <f>D83</f>
        <v>3.5</v>
      </c>
      <c r="F83" s="48">
        <v>0.05</v>
      </c>
      <c r="G83" s="8">
        <f t="shared" si="14"/>
        <v>0.61250000000000004</v>
      </c>
      <c r="H83" s="75"/>
      <c r="I83" s="97"/>
      <c r="J83" s="69"/>
      <c r="K83" s="158"/>
    </row>
    <row r="84" spans="1:11" ht="15.75" x14ac:dyDescent="0.25">
      <c r="A84" s="47"/>
      <c r="B84" s="48"/>
      <c r="C84" s="48"/>
      <c r="D84" s="8"/>
      <c r="E84" s="8"/>
      <c r="F84" s="48" t="s">
        <v>37</v>
      </c>
      <c r="G84" s="8">
        <f>SUM(G81:G83)</f>
        <v>3.0830000000000002</v>
      </c>
      <c r="H84" s="75" t="s">
        <v>51</v>
      </c>
      <c r="I84" s="97">
        <v>927.3</v>
      </c>
      <c r="J84" s="69">
        <f t="shared" ref="J84" si="15">G84*I84</f>
        <v>2858.8659000000002</v>
      </c>
      <c r="K84" s="158"/>
    </row>
    <row r="85" spans="1:11" ht="15.75" x14ac:dyDescent="0.25">
      <c r="A85" s="47">
        <v>5</v>
      </c>
      <c r="B85" s="48" t="s">
        <v>152</v>
      </c>
      <c r="C85" s="48">
        <v>3.14</v>
      </c>
      <c r="D85" s="8">
        <f>C54</f>
        <v>4</v>
      </c>
      <c r="E85" s="48"/>
      <c r="F85" s="48">
        <f>C56</f>
        <v>1.05</v>
      </c>
      <c r="G85" s="8">
        <f>C85*D85*F85</f>
        <v>13.188000000000001</v>
      </c>
      <c r="H85" s="75"/>
      <c r="I85" s="97"/>
      <c r="J85" s="69"/>
      <c r="K85" s="158"/>
    </row>
    <row r="86" spans="1:11" ht="15.75" x14ac:dyDescent="0.25">
      <c r="A86" s="47"/>
      <c r="B86" s="48" t="s">
        <v>153</v>
      </c>
      <c r="C86" s="48">
        <v>3.14</v>
      </c>
      <c r="D86" s="8">
        <f>C53</f>
        <v>3</v>
      </c>
      <c r="E86" s="48"/>
      <c r="F86" s="48">
        <f>C56</f>
        <v>1.05</v>
      </c>
      <c r="G86" s="8">
        <f t="shared" ref="G86:G87" si="16">C86*D86*F86</f>
        <v>9.891</v>
      </c>
      <c r="H86" s="75"/>
      <c r="I86" s="97"/>
      <c r="J86" s="69"/>
      <c r="K86" s="158"/>
    </row>
    <row r="87" spans="1:11" ht="15.75" x14ac:dyDescent="0.25">
      <c r="A87" s="47"/>
      <c r="B87" s="48" t="s">
        <v>33</v>
      </c>
      <c r="C87" s="48">
        <v>3.14</v>
      </c>
      <c r="D87" s="8">
        <f>C54</f>
        <v>4</v>
      </c>
      <c r="E87" s="48"/>
      <c r="F87" s="48">
        <f>C57</f>
        <v>0.6</v>
      </c>
      <c r="G87" s="8">
        <f t="shared" si="16"/>
        <v>7.5359999999999996</v>
      </c>
      <c r="H87" s="75"/>
      <c r="I87" s="97"/>
      <c r="J87" s="69"/>
      <c r="K87" s="158"/>
    </row>
    <row r="88" spans="1:11" ht="15.75" x14ac:dyDescent="0.25">
      <c r="A88" s="47"/>
      <c r="B88" s="48" t="s">
        <v>161</v>
      </c>
      <c r="C88" s="48">
        <v>3.14</v>
      </c>
      <c r="D88" s="8">
        <v>2</v>
      </c>
      <c r="E88" s="8">
        <f>E79</f>
        <v>3.5</v>
      </c>
      <c r="F88" s="48">
        <f>0.75-0.15</f>
        <v>0.6</v>
      </c>
      <c r="G88" s="8">
        <f t="shared" ref="G88" si="17">C88*D88*E88*F88</f>
        <v>13.188000000000001</v>
      </c>
      <c r="H88" s="75"/>
      <c r="I88" s="97"/>
      <c r="J88" s="69"/>
      <c r="K88" s="158"/>
    </row>
    <row r="89" spans="1:11" ht="15.75" x14ac:dyDescent="0.25">
      <c r="A89" s="47"/>
      <c r="B89" s="48"/>
      <c r="C89" s="48"/>
      <c r="D89" s="8"/>
      <c r="E89" s="48"/>
      <c r="F89" s="48" t="s">
        <v>37</v>
      </c>
      <c r="G89" s="8">
        <f>SUM(G85:G88)</f>
        <v>43.803000000000004</v>
      </c>
      <c r="H89" s="75" t="s">
        <v>36</v>
      </c>
      <c r="I89" s="97">
        <v>718.4</v>
      </c>
      <c r="J89" s="69">
        <f t="shared" ref="J89:J90" si="18">G89*I89</f>
        <v>31468.075200000003</v>
      </c>
      <c r="K89" s="158"/>
    </row>
    <row r="90" spans="1:11" ht="15.75" x14ac:dyDescent="0.25">
      <c r="A90" s="47">
        <v>6</v>
      </c>
      <c r="B90" s="48" t="s">
        <v>65</v>
      </c>
      <c r="C90" s="48">
        <f>C60</f>
        <v>10</v>
      </c>
      <c r="D90" s="8"/>
      <c r="E90" s="48">
        <f>C61</f>
        <v>14.894814814814815</v>
      </c>
      <c r="F90" s="48"/>
      <c r="G90" s="8">
        <f>C90*E90</f>
        <v>148.94814814814816</v>
      </c>
      <c r="H90" s="75" t="s">
        <v>56</v>
      </c>
      <c r="I90" s="97">
        <v>125</v>
      </c>
      <c r="J90" s="69">
        <f t="shared" si="18"/>
        <v>18618.518518518522</v>
      </c>
      <c r="K90" s="158"/>
    </row>
    <row r="91" spans="1:11" ht="15.75" x14ac:dyDescent="0.25">
      <c r="A91" s="47">
        <v>7</v>
      </c>
      <c r="B91" s="48" t="s">
        <v>73</v>
      </c>
      <c r="C91" s="48">
        <v>3.14</v>
      </c>
      <c r="D91" s="8">
        <f>(C54+0.2)/2</f>
        <v>2.1</v>
      </c>
      <c r="E91" s="8">
        <f>D91</f>
        <v>2.1</v>
      </c>
      <c r="F91" s="48">
        <v>0.05</v>
      </c>
      <c r="G91" s="8">
        <f>C91*D91*E91*F91</f>
        <v>0.69237000000000004</v>
      </c>
      <c r="H91" s="75"/>
      <c r="I91" s="97"/>
      <c r="J91" s="69"/>
      <c r="K91" s="158"/>
    </row>
    <row r="92" spans="1:11" ht="15.75" x14ac:dyDescent="0.25">
      <c r="A92" s="47"/>
      <c r="B92" s="48" t="s">
        <v>160</v>
      </c>
      <c r="C92" s="48">
        <v>3.14</v>
      </c>
      <c r="D92" s="8">
        <f>D83</f>
        <v>3.5</v>
      </c>
      <c r="E92" s="8">
        <f>D92</f>
        <v>3.5</v>
      </c>
      <c r="F92" s="48">
        <v>0.05</v>
      </c>
      <c r="G92" s="8">
        <f>C92*D92*E92*F92</f>
        <v>1.9232500000000003</v>
      </c>
      <c r="H92" s="75"/>
      <c r="I92" s="97"/>
      <c r="J92" s="69"/>
      <c r="K92" s="158"/>
    </row>
    <row r="93" spans="1:11" ht="15.75" x14ac:dyDescent="0.25">
      <c r="A93" s="47"/>
      <c r="B93" s="48"/>
      <c r="C93" s="48"/>
      <c r="D93" s="8"/>
      <c r="E93" s="8"/>
      <c r="F93" s="48" t="s">
        <v>37</v>
      </c>
      <c r="G93" s="8">
        <f>SUM(G91:G92)</f>
        <v>2.6156200000000003</v>
      </c>
      <c r="H93" s="75" t="s">
        <v>51</v>
      </c>
      <c r="I93" s="97">
        <v>3535.97</v>
      </c>
      <c r="J93" s="69">
        <f t="shared" ref="J93:J95" si="19">G93*I93</f>
        <v>9248.7538514000007</v>
      </c>
      <c r="K93" s="158"/>
    </row>
    <row r="94" spans="1:11" ht="15.75" x14ac:dyDescent="0.25">
      <c r="A94" s="47">
        <v>8</v>
      </c>
      <c r="B94" s="48" t="s">
        <v>157</v>
      </c>
      <c r="C94" s="48">
        <v>3.14</v>
      </c>
      <c r="D94" s="8">
        <f>C53/2</f>
        <v>1.5</v>
      </c>
      <c r="E94" s="8">
        <f>D94</f>
        <v>1.5</v>
      </c>
      <c r="F94" s="48">
        <v>0.05</v>
      </c>
      <c r="G94" s="8">
        <f>C94*D94*E94</f>
        <v>7.0649999999999995</v>
      </c>
      <c r="H94" s="75" t="s">
        <v>36</v>
      </c>
      <c r="I94" s="97">
        <v>750</v>
      </c>
      <c r="J94" s="69">
        <f t="shared" si="19"/>
        <v>5298.75</v>
      </c>
      <c r="K94" s="158"/>
    </row>
    <row r="95" spans="1:11" ht="15.75" x14ac:dyDescent="0.25">
      <c r="A95" s="47">
        <v>9</v>
      </c>
      <c r="B95" s="48" t="s">
        <v>63</v>
      </c>
      <c r="C95" s="48">
        <v>1</v>
      </c>
      <c r="D95" s="8"/>
      <c r="E95" s="8">
        <f>G80</f>
        <v>22.168800000000005</v>
      </c>
      <c r="F95" s="48">
        <v>100</v>
      </c>
      <c r="G95" s="8">
        <f>E95*F95</f>
        <v>2216.8800000000006</v>
      </c>
      <c r="H95" s="75" t="s">
        <v>56</v>
      </c>
      <c r="I95" s="97">
        <v>66.239999999999995</v>
      </c>
      <c r="J95" s="69">
        <f t="shared" si="19"/>
        <v>146846.13120000003</v>
      </c>
      <c r="K95" s="158"/>
    </row>
    <row r="96" spans="1:11" ht="15.75" x14ac:dyDescent="0.25">
      <c r="A96" s="63"/>
      <c r="B96" s="63"/>
      <c r="C96" s="63"/>
      <c r="D96" s="63"/>
      <c r="F96" s="168"/>
      <c r="G96" s="168"/>
      <c r="H96" s="168"/>
      <c r="I96" s="171" t="s">
        <v>26</v>
      </c>
      <c r="J96" s="150">
        <f>SUM(J67:J95)</f>
        <v>652593.97320391855</v>
      </c>
      <c r="K96" s="63"/>
    </row>
    <row r="97" spans="1:11" ht="15.75" x14ac:dyDescent="0.25">
      <c r="A97" s="2"/>
      <c r="B97" s="2"/>
      <c r="C97" s="2"/>
      <c r="D97" s="169" t="s">
        <v>212</v>
      </c>
      <c r="E97" s="169"/>
      <c r="F97" s="169"/>
      <c r="G97" s="169">
        <v>1</v>
      </c>
      <c r="H97" s="170" t="s">
        <v>67</v>
      </c>
      <c r="I97" s="5">
        <f>J96</f>
        <v>652593.97320391855</v>
      </c>
      <c r="J97" s="118">
        <f>G97*I97</f>
        <v>652593.97320391855</v>
      </c>
      <c r="K97" s="5">
        <f>J97</f>
        <v>652593.97320391855</v>
      </c>
    </row>
    <row r="98" spans="1:11" ht="15.75" x14ac:dyDescent="0.25">
      <c r="A98" s="39"/>
      <c r="B98" s="26" t="s">
        <v>59</v>
      </c>
      <c r="C98" s="40"/>
      <c r="D98" s="13"/>
      <c r="E98" s="40"/>
      <c r="F98" s="40"/>
      <c r="G98" s="13"/>
      <c r="H98" s="78"/>
      <c r="I98" s="96"/>
      <c r="J98" s="68"/>
      <c r="K98" s="158"/>
    </row>
    <row r="99" spans="1:11" ht="15.75" x14ac:dyDescent="0.25">
      <c r="A99" s="41"/>
      <c r="B99" s="42" t="s">
        <v>50</v>
      </c>
      <c r="C99" s="43">
        <v>1.6</v>
      </c>
      <c r="D99" s="66">
        <v>1.1000000000000001</v>
      </c>
      <c r="E99" s="43">
        <v>1.2</v>
      </c>
      <c r="F99" s="43">
        <v>6</v>
      </c>
      <c r="G99" s="66">
        <f>F99*E99*D99*C99</f>
        <v>12.672000000000001</v>
      </c>
      <c r="H99" s="73" t="s">
        <v>51</v>
      </c>
      <c r="I99" s="94">
        <v>315</v>
      </c>
      <c r="J99" s="95">
        <f>I99*G99</f>
        <v>3991.6800000000003</v>
      </c>
      <c r="K99" s="158"/>
    </row>
    <row r="100" spans="1:11" ht="15.75" x14ac:dyDescent="0.25">
      <c r="A100" s="41"/>
      <c r="B100" s="42" t="s">
        <v>13</v>
      </c>
      <c r="C100" s="43">
        <v>1.3</v>
      </c>
      <c r="D100" s="66">
        <f>D99</f>
        <v>1.1000000000000001</v>
      </c>
      <c r="E100" s="43">
        <v>0.15</v>
      </c>
      <c r="F100" s="43">
        <f>F99</f>
        <v>6</v>
      </c>
      <c r="G100" s="66">
        <f>F100*E100*D100*C100</f>
        <v>1.2869999999999999</v>
      </c>
      <c r="H100" s="73" t="s">
        <v>51</v>
      </c>
      <c r="I100" s="94">
        <v>950</v>
      </c>
      <c r="J100" s="95">
        <f>I100*G100</f>
        <v>1222.6499999999999</v>
      </c>
      <c r="K100" s="158"/>
    </row>
    <row r="101" spans="1:11" ht="15.75" x14ac:dyDescent="0.25">
      <c r="A101" s="41"/>
      <c r="B101" s="42" t="s">
        <v>53</v>
      </c>
      <c r="C101" s="43">
        <f>C100</f>
        <v>1.3</v>
      </c>
      <c r="D101" s="66">
        <f>D99</f>
        <v>1.1000000000000001</v>
      </c>
      <c r="E101" s="43">
        <v>0.1</v>
      </c>
      <c r="F101" s="43">
        <f>F99</f>
        <v>6</v>
      </c>
      <c r="G101" s="66">
        <f>F101*E101*D101*C101</f>
        <v>0.85800000000000021</v>
      </c>
      <c r="H101" s="73" t="s">
        <v>51</v>
      </c>
      <c r="I101" s="94">
        <f>I90</f>
        <v>125</v>
      </c>
      <c r="J101" s="95">
        <f>I101*G101</f>
        <v>107.25000000000003</v>
      </c>
      <c r="K101" s="158"/>
    </row>
    <row r="102" spans="1:11" ht="15.75" x14ac:dyDescent="0.25">
      <c r="A102" s="41"/>
      <c r="B102" s="42" t="s">
        <v>54</v>
      </c>
      <c r="C102" s="43">
        <v>1</v>
      </c>
      <c r="D102" s="66">
        <v>0.75</v>
      </c>
      <c r="E102" s="43">
        <v>0.75</v>
      </c>
      <c r="F102" s="43">
        <f>F99</f>
        <v>6</v>
      </c>
      <c r="G102" s="66">
        <f>F102*E102*D102*C102</f>
        <v>3.375</v>
      </c>
      <c r="H102" s="73" t="s">
        <v>51</v>
      </c>
      <c r="I102" s="94"/>
      <c r="J102" s="95"/>
      <c r="K102" s="158"/>
    </row>
    <row r="103" spans="1:11" ht="15.75" x14ac:dyDescent="0.25">
      <c r="A103" s="41"/>
      <c r="B103" s="42"/>
      <c r="C103" s="43"/>
      <c r="D103" s="66"/>
      <c r="E103" s="43"/>
      <c r="F103" s="43"/>
      <c r="G103" s="66">
        <f>G102</f>
        <v>3.375</v>
      </c>
      <c r="H103" s="73" t="s">
        <v>51</v>
      </c>
      <c r="I103" s="94">
        <v>5350</v>
      </c>
      <c r="J103" s="95">
        <f>I103*G103</f>
        <v>18056.25</v>
      </c>
      <c r="K103" s="158"/>
    </row>
    <row r="104" spans="1:11" ht="15.75" x14ac:dyDescent="0.25">
      <c r="A104" s="41"/>
      <c r="B104" s="42" t="s">
        <v>55</v>
      </c>
      <c r="C104" s="43">
        <f>G103</f>
        <v>3.375</v>
      </c>
      <c r="D104" s="66"/>
      <c r="E104" s="43"/>
      <c r="F104" s="43">
        <v>8</v>
      </c>
      <c r="G104" s="66">
        <f>F104*C104</f>
        <v>27</v>
      </c>
      <c r="H104" s="73" t="s">
        <v>36</v>
      </c>
      <c r="I104" s="94">
        <f>I93</f>
        <v>3535.97</v>
      </c>
      <c r="J104" s="95">
        <f t="shared" ref="J104:J108" si="20">I104*G104</f>
        <v>95471.189999999988</v>
      </c>
      <c r="K104" s="158"/>
    </row>
    <row r="105" spans="1:11" ht="15.75" x14ac:dyDescent="0.25">
      <c r="A105" s="41"/>
      <c r="B105" s="42" t="s">
        <v>5</v>
      </c>
      <c r="C105" s="43">
        <f>G103</f>
        <v>3.375</v>
      </c>
      <c r="D105" s="66"/>
      <c r="E105" s="43"/>
      <c r="F105" s="43">
        <v>125</v>
      </c>
      <c r="G105" s="66">
        <f>F105*C105</f>
        <v>421.875</v>
      </c>
      <c r="H105" s="73" t="s">
        <v>56</v>
      </c>
      <c r="I105" s="94">
        <f>I94</f>
        <v>750</v>
      </c>
      <c r="J105" s="95">
        <f t="shared" si="20"/>
        <v>316406.25</v>
      </c>
      <c r="K105" s="158"/>
    </row>
    <row r="106" spans="1:11" ht="15.75" x14ac:dyDescent="0.25">
      <c r="A106" s="41"/>
      <c r="B106" s="42" t="s">
        <v>44</v>
      </c>
      <c r="C106" s="43">
        <f>G99-G100-G101-G102</f>
        <v>7.152000000000001</v>
      </c>
      <c r="D106" s="66"/>
      <c r="E106" s="43"/>
      <c r="F106" s="43">
        <v>1</v>
      </c>
      <c r="G106" s="66">
        <f>F106*C106</f>
        <v>7.152000000000001</v>
      </c>
      <c r="H106" s="73" t="s">
        <v>51</v>
      </c>
      <c r="I106" s="94">
        <f>I95</f>
        <v>66.239999999999995</v>
      </c>
      <c r="J106" s="95">
        <f t="shared" si="20"/>
        <v>473.74848000000003</v>
      </c>
      <c r="K106" s="158"/>
    </row>
    <row r="107" spans="1:11" ht="15.75" x14ac:dyDescent="0.25">
      <c r="A107" s="41"/>
      <c r="B107" s="42" t="s">
        <v>57</v>
      </c>
      <c r="C107" s="43">
        <v>4</v>
      </c>
      <c r="D107" s="66"/>
      <c r="E107" s="43"/>
      <c r="F107" s="43">
        <v>1</v>
      </c>
      <c r="G107" s="66">
        <f>F107*C107</f>
        <v>4</v>
      </c>
      <c r="H107" s="73" t="s">
        <v>9</v>
      </c>
      <c r="I107" s="94">
        <v>400</v>
      </c>
      <c r="J107" s="95">
        <f t="shared" si="20"/>
        <v>1600</v>
      </c>
      <c r="K107" s="158"/>
    </row>
    <row r="108" spans="1:11" ht="15.75" x14ac:dyDescent="0.25">
      <c r="A108" s="41"/>
      <c r="B108" s="42" t="s">
        <v>58</v>
      </c>
      <c r="C108" s="43">
        <v>0.1</v>
      </c>
      <c r="D108" s="66">
        <v>0.1</v>
      </c>
      <c r="E108" s="43">
        <v>0.3</v>
      </c>
      <c r="F108" s="43">
        <f>G107</f>
        <v>4</v>
      </c>
      <c r="G108" s="66">
        <f>C108*D108*E108*F108</f>
        <v>1.2000000000000002E-2</v>
      </c>
      <c r="H108" s="73" t="s">
        <v>51</v>
      </c>
      <c r="I108" s="94">
        <v>100053.2</v>
      </c>
      <c r="J108" s="95">
        <f t="shared" si="20"/>
        <v>1200.6384000000003</v>
      </c>
      <c r="K108" s="158"/>
    </row>
    <row r="109" spans="1:11" x14ac:dyDescent="0.25">
      <c r="I109" s="169" t="s">
        <v>66</v>
      </c>
      <c r="J109" s="5">
        <f>SUM(J99:J108)</f>
        <v>438529.65688000002</v>
      </c>
      <c r="K109" s="5">
        <f>J109</f>
        <v>438529.65688000002</v>
      </c>
    </row>
    <row r="110" spans="1:11" ht="18.75" x14ac:dyDescent="0.3">
      <c r="A110" s="38"/>
      <c r="B110" s="138" t="s">
        <v>217</v>
      </c>
      <c r="C110" s="40"/>
      <c r="D110" s="13"/>
      <c r="E110" s="40"/>
      <c r="F110" s="40"/>
      <c r="G110" s="40"/>
      <c r="H110" s="78"/>
      <c r="I110" s="96"/>
      <c r="J110" s="68"/>
      <c r="K110" s="40"/>
    </row>
    <row r="111" spans="1:11" ht="15.75" x14ac:dyDescent="0.25">
      <c r="A111" s="50">
        <v>1</v>
      </c>
      <c r="B111" s="51" t="s">
        <v>60</v>
      </c>
      <c r="C111" s="48"/>
      <c r="D111" s="333">
        <f>23*19</f>
        <v>437</v>
      </c>
      <c r="E111" s="333"/>
      <c r="F111" s="48">
        <v>0.5</v>
      </c>
      <c r="G111" s="48">
        <f>D111*F111</f>
        <v>218.5</v>
      </c>
      <c r="H111" s="75" t="s">
        <v>51</v>
      </c>
      <c r="I111" s="97">
        <f>I104</f>
        <v>3535.97</v>
      </c>
      <c r="J111" s="69">
        <f t="shared" ref="J111:J116" si="21">G111*I111</f>
        <v>772609.44499999995</v>
      </c>
      <c r="K111" s="44"/>
    </row>
    <row r="112" spans="1:11" ht="15.75" x14ac:dyDescent="0.25">
      <c r="A112" s="50">
        <v>2</v>
      </c>
      <c r="B112" s="51" t="s">
        <v>75</v>
      </c>
      <c r="C112" s="48"/>
      <c r="D112" s="48"/>
      <c r="E112" s="48"/>
      <c r="F112" s="48"/>
      <c r="G112" s="48">
        <f>G111</f>
        <v>218.5</v>
      </c>
      <c r="H112" s="75" t="s">
        <v>51</v>
      </c>
      <c r="I112" s="97">
        <v>100</v>
      </c>
      <c r="J112" s="69">
        <f t="shared" si="21"/>
        <v>21850</v>
      </c>
      <c r="K112" s="44"/>
    </row>
    <row r="113" spans="1:11" ht="15.75" x14ac:dyDescent="0.25">
      <c r="A113" s="50">
        <v>3</v>
      </c>
      <c r="B113" s="51" t="s">
        <v>76</v>
      </c>
      <c r="C113" s="48"/>
      <c r="D113" s="333">
        <f>D111</f>
        <v>437</v>
      </c>
      <c r="E113" s="333"/>
      <c r="F113" s="48">
        <v>0.23</v>
      </c>
      <c r="G113" s="48">
        <f>D113*F113</f>
        <v>100.51</v>
      </c>
      <c r="H113" s="75" t="s">
        <v>51</v>
      </c>
      <c r="I113" s="97">
        <v>950</v>
      </c>
      <c r="J113" s="69">
        <f t="shared" si="21"/>
        <v>95484.5</v>
      </c>
      <c r="K113" s="44"/>
    </row>
    <row r="114" spans="1:11" ht="15.75" x14ac:dyDescent="0.25">
      <c r="A114" s="50">
        <v>4</v>
      </c>
      <c r="B114" s="51" t="s">
        <v>77</v>
      </c>
      <c r="C114" s="48"/>
      <c r="D114" s="333">
        <f>D111</f>
        <v>437</v>
      </c>
      <c r="E114" s="333"/>
      <c r="F114" s="48">
        <v>7.4999999999999997E-2</v>
      </c>
      <c r="G114" s="48">
        <f>D114*F114</f>
        <v>32.774999999999999</v>
      </c>
      <c r="H114" s="75" t="s">
        <v>36</v>
      </c>
      <c r="I114" s="97">
        <v>3535.97</v>
      </c>
      <c r="J114" s="69">
        <f t="shared" si="21"/>
        <v>115891.41674999999</v>
      </c>
      <c r="K114" s="44"/>
    </row>
    <row r="115" spans="1:11" ht="15.75" x14ac:dyDescent="0.25">
      <c r="A115" s="50">
        <v>5</v>
      </c>
      <c r="B115" s="51" t="s">
        <v>78</v>
      </c>
      <c r="C115" s="48"/>
      <c r="D115" s="333">
        <f>D111</f>
        <v>437</v>
      </c>
      <c r="E115" s="333"/>
      <c r="F115" s="48">
        <v>0.15</v>
      </c>
      <c r="G115" s="48">
        <f>D115*F115</f>
        <v>65.55</v>
      </c>
      <c r="H115" s="75" t="s">
        <v>36</v>
      </c>
      <c r="I115" s="97">
        <v>5350</v>
      </c>
      <c r="J115" s="69">
        <f t="shared" si="21"/>
        <v>350692.5</v>
      </c>
      <c r="K115" s="44"/>
    </row>
    <row r="116" spans="1:11" ht="15.75" x14ac:dyDescent="0.25">
      <c r="A116" s="50">
        <v>6</v>
      </c>
      <c r="B116" s="51" t="s">
        <v>63</v>
      </c>
      <c r="C116" s="48"/>
      <c r="D116" s="48">
        <f>G115</f>
        <v>65.55</v>
      </c>
      <c r="E116" s="48">
        <v>100</v>
      </c>
      <c r="F116" s="48"/>
      <c r="G116" s="48">
        <f>D116*E116</f>
        <v>6555</v>
      </c>
      <c r="H116" s="75" t="s">
        <v>56</v>
      </c>
      <c r="I116" s="97">
        <v>66.239999999999995</v>
      </c>
      <c r="J116" s="69">
        <f t="shared" si="21"/>
        <v>434203.19999999995</v>
      </c>
      <c r="K116" s="44"/>
    </row>
    <row r="117" spans="1:11" x14ac:dyDescent="0.25">
      <c r="I117" s="172" t="s">
        <v>66</v>
      </c>
      <c r="J117" s="173">
        <f>SUM(J111:J116)</f>
        <v>1790731.0617499999</v>
      </c>
      <c r="K117" s="173">
        <f>J117</f>
        <v>1790731.0617499999</v>
      </c>
    </row>
    <row r="118" spans="1:11" ht="15.75" x14ac:dyDescent="0.25">
      <c r="B118" s="174" t="s">
        <v>214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B119" s="2" t="s">
        <v>216</v>
      </c>
      <c r="C119" s="2">
        <v>1</v>
      </c>
      <c r="D119" s="2">
        <f>17.5+17.5+17+17+17</f>
        <v>86</v>
      </c>
      <c r="E119" s="2"/>
      <c r="F119" s="2">
        <v>1.5</v>
      </c>
      <c r="G119" s="2">
        <f>C119*D119*F119</f>
        <v>129</v>
      </c>
      <c r="H119" s="2" t="s">
        <v>85</v>
      </c>
      <c r="I119" s="2">
        <v>1431.41</v>
      </c>
      <c r="J119" s="2">
        <f>G119*I119</f>
        <v>184651.89</v>
      </c>
      <c r="K119" s="2"/>
    </row>
    <row r="120" spans="1:11" x14ac:dyDescent="0.25">
      <c r="B120" s="2" t="s">
        <v>215</v>
      </c>
      <c r="C120" s="2">
        <v>2</v>
      </c>
      <c r="D120" s="2">
        <f>D119</f>
        <v>86</v>
      </c>
      <c r="E120" s="2"/>
      <c r="F120" s="2">
        <v>3.2</v>
      </c>
      <c r="G120" s="2">
        <f>C120*D120*F120</f>
        <v>550.4</v>
      </c>
      <c r="H120" s="2" t="s">
        <v>36</v>
      </c>
      <c r="I120" s="2">
        <v>336.27</v>
      </c>
      <c r="J120" s="2">
        <f>G120*I120</f>
        <v>185083.00799999997</v>
      </c>
      <c r="K120" s="2"/>
    </row>
    <row r="121" spans="1:11" x14ac:dyDescent="0.25">
      <c r="B121" s="177"/>
      <c r="C121" s="177"/>
      <c r="D121" s="177"/>
      <c r="E121" s="177"/>
      <c r="F121" s="177"/>
      <c r="G121" s="177"/>
      <c r="H121" s="177"/>
      <c r="I121" s="172" t="s">
        <v>66</v>
      </c>
      <c r="J121" s="172">
        <f>SUM(J119:J120)</f>
        <v>369734.89799999999</v>
      </c>
      <c r="K121" s="172">
        <f>J121</f>
        <v>369734.89799999999</v>
      </c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169"/>
      <c r="J122" s="20"/>
      <c r="K122" s="20"/>
    </row>
    <row r="123" spans="1:11" ht="15.75" x14ac:dyDescent="0.25">
      <c r="A123" s="2"/>
      <c r="B123" s="178" t="s">
        <v>335</v>
      </c>
      <c r="C123" s="2"/>
      <c r="D123" s="2"/>
      <c r="E123" s="2"/>
      <c r="F123" s="2"/>
      <c r="G123" s="2">
        <v>1000</v>
      </c>
      <c r="H123" s="2" t="s">
        <v>56</v>
      </c>
      <c r="I123" s="169">
        <v>81.569999999999993</v>
      </c>
      <c r="J123" s="20">
        <f>G123*I123</f>
        <v>81570</v>
      </c>
      <c r="K123" s="20">
        <f>J123</f>
        <v>81570</v>
      </c>
    </row>
    <row r="124" spans="1:11" ht="15.75" x14ac:dyDescent="0.25">
      <c r="A124" s="2"/>
      <c r="B124" s="178" t="s">
        <v>219</v>
      </c>
      <c r="C124" s="2">
        <v>1</v>
      </c>
      <c r="D124" s="2">
        <f>G123</f>
        <v>1000</v>
      </c>
      <c r="E124" s="2">
        <v>0.03</v>
      </c>
      <c r="F124" s="2"/>
      <c r="G124" s="2">
        <f>C124*D124*E124</f>
        <v>30</v>
      </c>
      <c r="H124" s="2" t="s">
        <v>85</v>
      </c>
      <c r="I124" s="169">
        <v>872</v>
      </c>
      <c r="J124" s="20">
        <f>G124*I124</f>
        <v>26160</v>
      </c>
      <c r="K124" s="20">
        <f>J124</f>
        <v>26160</v>
      </c>
    </row>
    <row r="125" spans="1:11" ht="18" x14ac:dyDescent="0.25">
      <c r="A125" s="2"/>
      <c r="B125" s="178" t="s">
        <v>218</v>
      </c>
      <c r="C125" s="179"/>
      <c r="D125" s="179"/>
      <c r="E125" s="179"/>
      <c r="F125" s="179"/>
      <c r="G125" s="179"/>
      <c r="H125" s="179"/>
      <c r="I125" s="179"/>
      <c r="J125" s="179"/>
      <c r="K125" s="179"/>
    </row>
    <row r="126" spans="1:11" x14ac:dyDescent="0.25">
      <c r="A126" s="2">
        <v>1</v>
      </c>
      <c r="B126" s="2" t="s">
        <v>118</v>
      </c>
      <c r="C126" s="2">
        <f>24+24+19+19</f>
        <v>86</v>
      </c>
      <c r="D126" s="2">
        <v>0.5</v>
      </c>
      <c r="E126" s="2">
        <v>0.5</v>
      </c>
      <c r="F126" s="2">
        <v>0.5</v>
      </c>
      <c r="G126" s="2">
        <f>D126*E126*F126*C126</f>
        <v>10.75</v>
      </c>
      <c r="H126" s="2" t="s">
        <v>51</v>
      </c>
      <c r="I126" s="2">
        <v>315.89</v>
      </c>
      <c r="J126" s="2">
        <f t="shared" ref="J126:J131" si="22">G126*I126</f>
        <v>3395.8174999999997</v>
      </c>
      <c r="K126" s="2"/>
    </row>
    <row r="127" spans="1:11" x14ac:dyDescent="0.25">
      <c r="A127" s="2">
        <v>2</v>
      </c>
      <c r="B127" s="2" t="s">
        <v>119</v>
      </c>
      <c r="C127" s="2">
        <f>C126</f>
        <v>86</v>
      </c>
      <c r="D127" s="2">
        <v>0.3</v>
      </c>
      <c r="E127" s="2">
        <v>0.3</v>
      </c>
      <c r="F127" s="2">
        <v>0.5</v>
      </c>
      <c r="G127" s="2">
        <f>D127*E127*F127*C127</f>
        <v>3.8699999999999997</v>
      </c>
      <c r="H127" s="2" t="s">
        <v>51</v>
      </c>
      <c r="I127" s="2">
        <v>5350</v>
      </c>
      <c r="J127" s="2">
        <f t="shared" si="22"/>
        <v>20704.5</v>
      </c>
      <c r="K127" s="2"/>
    </row>
    <row r="128" spans="1:11" x14ac:dyDescent="0.25">
      <c r="A128" s="2">
        <v>3</v>
      </c>
      <c r="B128" s="2" t="s">
        <v>120</v>
      </c>
      <c r="C128" s="2">
        <f>C126</f>
        <v>86</v>
      </c>
      <c r="D128" s="2"/>
      <c r="E128" s="2"/>
      <c r="F128" s="2"/>
      <c r="G128" s="2">
        <f>C128</f>
        <v>86</v>
      </c>
      <c r="H128" s="2" t="s">
        <v>67</v>
      </c>
      <c r="I128" s="2">
        <v>500</v>
      </c>
      <c r="J128" s="2">
        <f t="shared" si="22"/>
        <v>43000</v>
      </c>
      <c r="K128" s="2"/>
    </row>
    <row r="129" spans="1:11" x14ac:dyDescent="0.25">
      <c r="A129" s="2">
        <v>4</v>
      </c>
      <c r="B129" s="2" t="s">
        <v>121</v>
      </c>
      <c r="C129" s="2">
        <v>1</v>
      </c>
      <c r="D129" s="2">
        <v>2</v>
      </c>
      <c r="E129" s="2">
        <v>130</v>
      </c>
      <c r="F129" s="2"/>
      <c r="G129" s="2">
        <f>C129*D129*E129</f>
        <v>260</v>
      </c>
      <c r="H129" s="2" t="s">
        <v>36</v>
      </c>
      <c r="I129" s="2">
        <v>500</v>
      </c>
      <c r="J129" s="2">
        <f t="shared" si="22"/>
        <v>130000</v>
      </c>
      <c r="K129" s="2"/>
    </row>
    <row r="130" spans="1:11" x14ac:dyDescent="0.25">
      <c r="A130" s="2">
        <v>5</v>
      </c>
      <c r="B130" s="2" t="s">
        <v>122</v>
      </c>
      <c r="C130" s="2">
        <f>C128</f>
        <v>86</v>
      </c>
      <c r="D130" s="2">
        <v>2</v>
      </c>
      <c r="E130" s="2">
        <v>5.8</v>
      </c>
      <c r="F130" s="2"/>
      <c r="G130" s="2">
        <f>C130*D130*E130</f>
        <v>997.6</v>
      </c>
      <c r="H130" s="2" t="s">
        <v>56</v>
      </c>
      <c r="I130" s="2">
        <v>81.569999999999993</v>
      </c>
      <c r="J130" s="2">
        <f t="shared" si="22"/>
        <v>81374.231999999989</v>
      </c>
      <c r="K130" s="2"/>
    </row>
    <row r="131" spans="1:11" x14ac:dyDescent="0.25">
      <c r="A131" s="2">
        <v>6</v>
      </c>
      <c r="B131" s="2" t="s">
        <v>123</v>
      </c>
      <c r="C131" s="2">
        <v>2</v>
      </c>
      <c r="D131" s="2">
        <v>9</v>
      </c>
      <c r="E131" s="2">
        <v>2</v>
      </c>
      <c r="F131" s="2"/>
      <c r="G131" s="2">
        <f>C131*D131*E131</f>
        <v>36</v>
      </c>
      <c r="H131" s="2" t="s">
        <v>36</v>
      </c>
      <c r="I131" s="2">
        <v>3000</v>
      </c>
      <c r="J131" s="2">
        <f t="shared" si="22"/>
        <v>108000</v>
      </c>
      <c r="K131" s="2"/>
    </row>
    <row r="132" spans="1:11" x14ac:dyDescent="0.25">
      <c r="A132" s="2"/>
      <c r="B132" s="2"/>
      <c r="C132" s="2"/>
      <c r="D132" s="2"/>
      <c r="E132" s="2"/>
      <c r="F132" s="2"/>
      <c r="G132" s="175"/>
      <c r="H132" s="176"/>
      <c r="I132" s="169" t="s">
        <v>66</v>
      </c>
      <c r="J132" s="19">
        <f>SUM(J126:J131)</f>
        <v>386474.54949999996</v>
      </c>
      <c r="K132" s="169">
        <f>J132</f>
        <v>386474.54949999996</v>
      </c>
    </row>
    <row r="133" spans="1:11" ht="15.75" x14ac:dyDescent="0.25">
      <c r="G133" s="356" t="s">
        <v>26</v>
      </c>
      <c r="H133" s="357"/>
      <c r="I133" s="357"/>
      <c r="J133" s="358"/>
      <c r="K133" s="302">
        <f>SUM(K47:K132)</f>
        <v>4747870.5058213957</v>
      </c>
    </row>
  </sheetData>
  <mergeCells count="6">
    <mergeCell ref="G133:J133"/>
    <mergeCell ref="A1:K1"/>
    <mergeCell ref="D111:E111"/>
    <mergeCell ref="D113:E113"/>
    <mergeCell ref="D114:E114"/>
    <mergeCell ref="D115:E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FINAL SHEET</vt:lpstr>
      <vt:lpstr>Summary</vt:lpstr>
      <vt:lpstr>Spitting Plant</vt:lpstr>
      <vt:lpstr>Tankform &amp; RW tank</vt:lpstr>
      <vt:lpstr>Sweet Water Plant</vt:lpstr>
      <vt:lpstr>ETP</vt:lpstr>
      <vt:lpstr>DM,RO &amp;Fire water</vt:lpstr>
      <vt:lpstr>Soft water </vt:lpstr>
      <vt:lpstr>FO Storage </vt:lpstr>
      <vt:lpstr>MP HP Boiler</vt:lpstr>
      <vt:lpstr>CPP</vt:lpstr>
      <vt:lpstr>Cooling Towers</vt:lpstr>
      <vt:lpstr>Piperack</vt:lpstr>
      <vt:lpstr>Office Buildings</vt:lpstr>
      <vt:lpstr>WB</vt:lpstr>
      <vt:lpstr>Road</vt:lpstr>
      <vt:lpstr>drainage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2016-07-18T08:18:30Z</dcterms:modified>
</cp:coreProperties>
</file>