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020" windowWidth="15135" windowHeight="5400" tabRatio="661" firstSheet="41" activeTab="41"/>
  </bookViews>
  <sheets>
    <sheet name="Jan Prod-12" sheetId="7" r:id="rId1"/>
    <sheet name="Feb- 12" sheetId="8" r:id="rId2"/>
    <sheet name="MARCH-12" sheetId="9" r:id="rId3"/>
    <sheet name="April-12" sheetId="10" r:id="rId4"/>
    <sheet name="May-12" sheetId="11" r:id="rId5"/>
    <sheet name="June-12" sheetId="12" r:id="rId6"/>
    <sheet name="JULY-12" sheetId="13" r:id="rId7"/>
    <sheet name="AUGUST-12" sheetId="14" r:id="rId8"/>
    <sheet name="SEP-12" sheetId="15" r:id="rId9"/>
    <sheet name="OCT-12" sheetId="16" r:id="rId10"/>
    <sheet name="NOv-12" sheetId="17" r:id="rId11"/>
    <sheet name="Dec.-12" sheetId="18" r:id="rId12"/>
    <sheet name="JAN-13" sheetId="19" r:id="rId13"/>
    <sheet name="FEB-13" sheetId="20" r:id="rId14"/>
    <sheet name="March-13" sheetId="21" r:id="rId15"/>
    <sheet name="MAY-13" sheetId="22" r:id="rId16"/>
    <sheet name="JUNE-13" sheetId="23" r:id="rId17"/>
    <sheet name="JULY-13" sheetId="24" r:id="rId18"/>
    <sheet name="August-13" sheetId="25" r:id="rId19"/>
    <sheet name="SEP'13" sheetId="26" r:id="rId20"/>
    <sheet name="OCT'13" sheetId="27" r:id="rId21"/>
    <sheet name="NOV'13" sheetId="28" r:id="rId22"/>
    <sheet name="DEC'13" sheetId="29" r:id="rId23"/>
    <sheet name="JAN'14" sheetId="30" r:id="rId24"/>
    <sheet name="FEB'14" sheetId="31" state="hidden" r:id="rId25"/>
    <sheet name="MAR'14" sheetId="32" state="hidden" r:id="rId26"/>
    <sheet name="APRIL'14" sheetId="34" state="hidden" r:id="rId27"/>
    <sheet name="MAY'14" sheetId="33" state="hidden" r:id="rId28"/>
    <sheet name="JUNE'14" sheetId="35" state="hidden" r:id="rId29"/>
    <sheet name="JULY'14" sheetId="37" state="hidden" r:id="rId30"/>
    <sheet name="AUG'14" sheetId="36" state="hidden" r:id="rId31"/>
    <sheet name="SEP'14" sheetId="38" state="hidden" r:id="rId32"/>
    <sheet name="OCT'14" sheetId="39" state="hidden" r:id="rId33"/>
    <sheet name="NOV'14" sheetId="40" state="hidden" r:id="rId34"/>
    <sheet name="DEC'14" sheetId="41" state="hidden" r:id="rId35"/>
    <sheet name="JAN'15" sheetId="42" state="hidden" r:id="rId36"/>
    <sheet name="FEB'15" sheetId="43" state="hidden" r:id="rId37"/>
    <sheet name="MARCH'15" sheetId="46" state="hidden" r:id="rId38"/>
    <sheet name="May'15" sheetId="44" state="hidden" r:id="rId39"/>
    <sheet name="Dispatch Detail(MAY)" sheetId="45" state="hidden" r:id="rId40"/>
    <sheet name="JUNE'15" sheetId="47" state="hidden" r:id="rId41"/>
    <sheet name="Persona 75 gm x 3 Pack_MARCH'17" sheetId="49" r:id="rId42"/>
    <sheet name="Persona 75 gm x 4 Pack_JUNE'16" sheetId="50" state="hidden" r:id="rId43"/>
    <sheet name="Dispatch Detail (FEB'16)" sheetId="48" state="hidden" r:id="rId44"/>
    <sheet name="Sheet1" sheetId="51" state="hidden" r:id="rId45"/>
  </sheets>
  <calcPr calcId="145621" iterate="1"/>
</workbook>
</file>

<file path=xl/calcChain.xml><?xml version="1.0" encoding="utf-8"?>
<calcChain xmlns="http://schemas.openxmlformats.org/spreadsheetml/2006/main">
  <c r="D27" i="49" l="1"/>
  <c r="M31" i="49" l="1"/>
  <c r="D28" i="49" l="1"/>
  <c r="J28" i="49"/>
  <c r="J27" i="49" l="1"/>
  <c r="D26" i="49" l="1"/>
  <c r="D25" i="49" l="1"/>
  <c r="D5" i="49" l="1"/>
  <c r="J17" i="49" l="1"/>
  <c r="J11" i="49" l="1"/>
  <c r="J10" i="49" l="1"/>
  <c r="D4" i="49" l="1"/>
  <c r="I23" i="49" l="1"/>
  <c r="I24" i="49"/>
  <c r="I25" i="49"/>
  <c r="I26" i="49"/>
  <c r="I27" i="49"/>
  <c r="I28" i="49"/>
  <c r="I22" i="49"/>
  <c r="K7" i="51" l="1"/>
  <c r="K5" i="51"/>
  <c r="J7" i="51"/>
  <c r="J6" i="51"/>
  <c r="J5" i="51"/>
  <c r="I6" i="51"/>
  <c r="I5" i="51"/>
  <c r="I4" i="51"/>
  <c r="I3" i="51"/>
  <c r="I2" i="51"/>
  <c r="F7" i="51" l="1"/>
  <c r="F3" i="51"/>
  <c r="F4" i="51"/>
  <c r="F5" i="51"/>
  <c r="F6" i="51"/>
  <c r="F2" i="51"/>
  <c r="B7" i="51" l="1"/>
  <c r="C6" i="51"/>
  <c r="E6" i="51" s="1"/>
  <c r="C5" i="51"/>
  <c r="E5" i="51" s="1"/>
  <c r="C4" i="51"/>
  <c r="E4" i="51" s="1"/>
  <c r="C3" i="51"/>
  <c r="E3" i="51" s="1"/>
  <c r="C2" i="51"/>
  <c r="E2" i="51" s="1"/>
  <c r="E7" i="51" l="1"/>
  <c r="I34" i="49" l="1"/>
  <c r="I33" i="49"/>
  <c r="N17" i="50" l="1"/>
  <c r="N31" i="50" l="1"/>
  <c r="N32" i="50"/>
  <c r="N33" i="50"/>
  <c r="N34" i="50"/>
  <c r="J35" i="49" l="1"/>
  <c r="D35" i="49" l="1"/>
  <c r="E35" i="49" l="1"/>
  <c r="H8" i="48"/>
  <c r="H7" i="48"/>
  <c r="H6" i="48" l="1"/>
  <c r="H5" i="48"/>
  <c r="H4" i="48" l="1"/>
  <c r="H3" i="48"/>
  <c r="J10" i="48" l="1"/>
  <c r="G35" i="50" l="1"/>
  <c r="H35" i="50" s="1"/>
  <c r="B35" i="50"/>
  <c r="C35" i="50" s="1"/>
  <c r="I34" i="50"/>
  <c r="I33" i="50"/>
  <c r="I32" i="50"/>
  <c r="I31" i="50"/>
  <c r="N30" i="50"/>
  <c r="I30" i="50"/>
  <c r="N29" i="50"/>
  <c r="I29" i="50"/>
  <c r="N28" i="50"/>
  <c r="I28" i="50"/>
  <c r="N27" i="50"/>
  <c r="I27" i="50"/>
  <c r="N26" i="50"/>
  <c r="I26" i="50"/>
  <c r="N25" i="50"/>
  <c r="I25" i="50"/>
  <c r="IC24" i="50"/>
  <c r="N24" i="50"/>
  <c r="I24" i="50"/>
  <c r="M35" i="50"/>
  <c r="I23" i="50"/>
  <c r="N22" i="50"/>
  <c r="I22" i="50"/>
  <c r="N21" i="50"/>
  <c r="I21" i="50"/>
  <c r="N20" i="50"/>
  <c r="I20" i="50"/>
  <c r="N19" i="50"/>
  <c r="I19" i="50"/>
  <c r="N18" i="50"/>
  <c r="I18" i="50"/>
  <c r="I17" i="50"/>
  <c r="N16" i="50"/>
  <c r="I16" i="50"/>
  <c r="N15" i="50"/>
  <c r="I15" i="50"/>
  <c r="N14" i="50"/>
  <c r="I14" i="50"/>
  <c r="N13" i="50"/>
  <c r="I13" i="50"/>
  <c r="N12" i="50"/>
  <c r="I12" i="50"/>
  <c r="N11" i="50"/>
  <c r="I11" i="50"/>
  <c r="N10" i="50"/>
  <c r="I10" i="50"/>
  <c r="N9" i="50"/>
  <c r="I9" i="50"/>
  <c r="N8" i="50"/>
  <c r="I8" i="50"/>
  <c r="N7" i="50"/>
  <c r="I7" i="50"/>
  <c r="N6" i="50"/>
  <c r="I6" i="50"/>
  <c r="N5" i="50"/>
  <c r="I5" i="50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N4" i="50"/>
  <c r="I4" i="50"/>
  <c r="H4" i="50"/>
  <c r="H5" i="50" s="1"/>
  <c r="H6" i="50" s="1"/>
  <c r="H7" i="50" s="1"/>
  <c r="H8" i="50" s="1"/>
  <c r="H9" i="50" s="1"/>
  <c r="H10" i="50" s="1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 s="1"/>
  <c r="H28" i="50" s="1"/>
  <c r="H29" i="50" s="1"/>
  <c r="H30" i="50" s="1"/>
  <c r="H31" i="50" s="1"/>
  <c r="H32" i="50" s="1"/>
  <c r="H33" i="50" s="1"/>
  <c r="H34" i="50" s="1"/>
  <c r="E4" i="50"/>
  <c r="E5" i="50" s="1"/>
  <c r="C4" i="50"/>
  <c r="C5" i="50" s="1"/>
  <c r="C6" i="50" s="1"/>
  <c r="C7" i="50" s="1"/>
  <c r="C8" i="50" s="1"/>
  <c r="C9" i="50" s="1"/>
  <c r="C10" i="50" s="1"/>
  <c r="C11" i="50" s="1"/>
  <c r="C12" i="50" s="1"/>
  <c r="C13" i="50" s="1"/>
  <c r="C14" i="50" s="1"/>
  <c r="C15" i="50" s="1"/>
  <c r="C16" i="50" s="1"/>
  <c r="C17" i="50" s="1"/>
  <c r="C18" i="50" s="1"/>
  <c r="C19" i="50" s="1"/>
  <c r="C20" i="50" s="1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I35" i="50" l="1"/>
  <c r="J35" i="50"/>
  <c r="E6" i="50"/>
  <c r="E7" i="50" s="1"/>
  <c r="E8" i="50" s="1"/>
  <c r="E9" i="50" s="1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D35" i="50"/>
  <c r="E35" i="50" s="1"/>
  <c r="N23" i="50"/>
  <c r="N35" i="50" s="1"/>
  <c r="E20" i="50" l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G10" i="48"/>
  <c r="G35" i="49" l="1"/>
  <c r="H35" i="49" s="1"/>
  <c r="B35" i="49"/>
  <c r="C35" i="49" s="1"/>
  <c r="N34" i="49"/>
  <c r="N33" i="49"/>
  <c r="N32" i="49"/>
  <c r="I32" i="49"/>
  <c r="N31" i="49"/>
  <c r="I31" i="49"/>
  <c r="N30" i="49"/>
  <c r="I30" i="49"/>
  <c r="N29" i="49"/>
  <c r="I29" i="49"/>
  <c r="N28" i="49"/>
  <c r="N27" i="49"/>
  <c r="N26" i="49"/>
  <c r="N25" i="49"/>
  <c r="IM24" i="49"/>
  <c r="N24" i="49"/>
  <c r="N23" i="49"/>
  <c r="N22" i="49"/>
  <c r="N21" i="49"/>
  <c r="I21" i="49"/>
  <c r="N20" i="49"/>
  <c r="I20" i="49"/>
  <c r="N19" i="49"/>
  <c r="I19" i="49"/>
  <c r="N18" i="49"/>
  <c r="I18" i="49"/>
  <c r="N17" i="49"/>
  <c r="I17" i="49"/>
  <c r="N16" i="49"/>
  <c r="I16" i="49"/>
  <c r="N15" i="49"/>
  <c r="I15" i="49"/>
  <c r="N14" i="49"/>
  <c r="I14" i="49"/>
  <c r="N13" i="49"/>
  <c r="I13" i="49"/>
  <c r="I12" i="49"/>
  <c r="N11" i="49"/>
  <c r="I11" i="49"/>
  <c r="N10" i="49"/>
  <c r="I10" i="49"/>
  <c r="N9" i="49"/>
  <c r="I9" i="49"/>
  <c r="N8" i="49"/>
  <c r="I8" i="49"/>
  <c r="N7" i="49"/>
  <c r="I7" i="49"/>
  <c r="N6" i="49"/>
  <c r="I6" i="49"/>
  <c r="N5" i="49"/>
  <c r="I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N4" i="49"/>
  <c r="I4" i="49"/>
  <c r="H4" i="49"/>
  <c r="H5" i="49" s="1"/>
  <c r="H6" i="49" s="1"/>
  <c r="H7" i="49" s="1"/>
  <c r="H8" i="49" s="1"/>
  <c r="H9" i="49" s="1"/>
  <c r="H10" i="49" s="1"/>
  <c r="H11" i="49" s="1"/>
  <c r="H12" i="49" s="1"/>
  <c r="H13" i="49" s="1"/>
  <c r="H14" i="49" s="1"/>
  <c r="H15" i="49" s="1"/>
  <c r="H16" i="49" s="1"/>
  <c r="H17" i="49" s="1"/>
  <c r="H18" i="49" s="1"/>
  <c r="H19" i="49" s="1"/>
  <c r="H20" i="49" s="1"/>
  <c r="H21" i="49" s="1"/>
  <c r="H22" i="49" s="1"/>
  <c r="H23" i="49" s="1"/>
  <c r="H24" i="49" s="1"/>
  <c r="H25" i="49" s="1"/>
  <c r="H26" i="49" s="1"/>
  <c r="H27" i="49" s="1"/>
  <c r="H28" i="49" s="1"/>
  <c r="H29" i="49" s="1"/>
  <c r="H30" i="49" s="1"/>
  <c r="H31" i="49" s="1"/>
  <c r="H32" i="49" s="1"/>
  <c r="H33" i="49" s="1"/>
  <c r="H34" i="49" s="1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C4" i="49"/>
  <c r="C5" i="49" s="1"/>
  <c r="C6" i="49" s="1"/>
  <c r="C7" i="49" s="1"/>
  <c r="C8" i="49" s="1"/>
  <c r="C9" i="49" s="1"/>
  <c r="C10" i="49" s="1"/>
  <c r="C11" i="49" s="1"/>
  <c r="C12" i="49" s="1"/>
  <c r="C13" i="49" s="1"/>
  <c r="C14" i="49" s="1"/>
  <c r="C15" i="49" s="1"/>
  <c r="C16" i="49" s="1"/>
  <c r="C17" i="49" s="1"/>
  <c r="C18" i="49" s="1"/>
  <c r="C19" i="49" s="1"/>
  <c r="C20" i="49" s="1"/>
  <c r="C21" i="49" s="1"/>
  <c r="C22" i="49" s="1"/>
  <c r="C23" i="49" s="1"/>
  <c r="C24" i="49" l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I35" i="49"/>
  <c r="E15" i="49"/>
  <c r="E16" i="49" s="1"/>
  <c r="E17" i="49" s="1"/>
  <c r="E18" i="49" s="1"/>
  <c r="E19" i="49" s="1"/>
  <c r="N12" i="49"/>
  <c r="N35" i="49" s="1"/>
  <c r="M35" i="49"/>
  <c r="M30" i="47"/>
  <c r="E20" i="49" l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J28" i="47"/>
  <c r="M27" i="47" l="1"/>
  <c r="J27" i="47"/>
  <c r="J26" i="47" l="1"/>
  <c r="D24" i="47" l="1"/>
  <c r="D23" i="47" l="1"/>
  <c r="J13" i="47" l="1"/>
  <c r="M14" i="47"/>
  <c r="M15" i="47"/>
  <c r="J15" i="47"/>
  <c r="J14" i="47" l="1"/>
  <c r="D10" i="47" l="1"/>
  <c r="J12" i="47" l="1"/>
  <c r="M12" i="47"/>
  <c r="D11" i="47" l="1"/>
  <c r="J11" i="47"/>
  <c r="D9" i="47" l="1"/>
  <c r="D8" i="47"/>
  <c r="H10" i="48" l="1"/>
  <c r="W35" i="47"/>
  <c r="T35" i="47"/>
  <c r="R35" i="47"/>
  <c r="Q35" i="47"/>
  <c r="H35" i="47"/>
  <c r="G35" i="47"/>
  <c r="B35" i="47"/>
  <c r="C35" i="47" s="1"/>
  <c r="X34" i="47"/>
  <c r="S34" i="47"/>
  <c r="N34" i="47"/>
  <c r="I34" i="47"/>
  <c r="X33" i="47"/>
  <c r="S33" i="47"/>
  <c r="N33" i="47"/>
  <c r="I33" i="47"/>
  <c r="X32" i="47"/>
  <c r="S32" i="47"/>
  <c r="N32" i="47"/>
  <c r="I32" i="47"/>
  <c r="X31" i="47"/>
  <c r="S31" i="47"/>
  <c r="N31" i="47"/>
  <c r="I31" i="47"/>
  <c r="X30" i="47"/>
  <c r="S30" i="47"/>
  <c r="N30" i="47"/>
  <c r="I30" i="47"/>
  <c r="X29" i="47"/>
  <c r="S29" i="47"/>
  <c r="N29" i="47"/>
  <c r="I29" i="47"/>
  <c r="X28" i="47"/>
  <c r="S28" i="47"/>
  <c r="N28" i="47"/>
  <c r="I28" i="47"/>
  <c r="X27" i="47"/>
  <c r="S27" i="47"/>
  <c r="N27" i="47"/>
  <c r="I27" i="47"/>
  <c r="X26" i="47"/>
  <c r="S26" i="47"/>
  <c r="N26" i="47"/>
  <c r="I26" i="47"/>
  <c r="X25" i="47"/>
  <c r="S25" i="47"/>
  <c r="N25" i="47"/>
  <c r="I25" i="47"/>
  <c r="IU24" i="47"/>
  <c r="X24" i="47"/>
  <c r="S24" i="47"/>
  <c r="N24" i="47"/>
  <c r="I24" i="47"/>
  <c r="X23" i="47"/>
  <c r="S23" i="47"/>
  <c r="N23" i="47"/>
  <c r="I23" i="47"/>
  <c r="X22" i="47"/>
  <c r="S22" i="47"/>
  <c r="N22" i="47"/>
  <c r="I22" i="47"/>
  <c r="X21" i="47"/>
  <c r="S21" i="47"/>
  <c r="N21" i="47"/>
  <c r="I21" i="47"/>
  <c r="X20" i="47"/>
  <c r="S20" i="47"/>
  <c r="N20" i="47"/>
  <c r="I20" i="47"/>
  <c r="X19" i="47"/>
  <c r="S19" i="47"/>
  <c r="N19" i="47"/>
  <c r="I19" i="47"/>
  <c r="X18" i="47"/>
  <c r="S18" i="47"/>
  <c r="N18" i="47"/>
  <c r="I18" i="47"/>
  <c r="X17" i="47"/>
  <c r="S17" i="47"/>
  <c r="N17" i="47"/>
  <c r="I17" i="47"/>
  <c r="X16" i="47"/>
  <c r="S16" i="47"/>
  <c r="N16" i="47"/>
  <c r="I16" i="47"/>
  <c r="X15" i="47"/>
  <c r="S15" i="47"/>
  <c r="N15" i="47"/>
  <c r="I15" i="47"/>
  <c r="X14" i="47"/>
  <c r="S14" i="47"/>
  <c r="N14" i="47"/>
  <c r="I14" i="47"/>
  <c r="X13" i="47"/>
  <c r="S13" i="47"/>
  <c r="N13" i="47"/>
  <c r="I13" i="47"/>
  <c r="X12" i="47"/>
  <c r="S12" i="47"/>
  <c r="N12" i="47"/>
  <c r="I12" i="47"/>
  <c r="X11" i="47"/>
  <c r="S11" i="47"/>
  <c r="N11" i="47"/>
  <c r="I11" i="47"/>
  <c r="X10" i="47"/>
  <c r="S10" i="47"/>
  <c r="N10" i="47"/>
  <c r="I10" i="47"/>
  <c r="X9" i="47"/>
  <c r="S9" i="47"/>
  <c r="N9" i="47"/>
  <c r="I9" i="47"/>
  <c r="X8" i="47"/>
  <c r="S8" i="47"/>
  <c r="N8" i="47"/>
  <c r="M35" i="47"/>
  <c r="I8" i="47"/>
  <c r="X7" i="47"/>
  <c r="S7" i="47"/>
  <c r="N7" i="47"/>
  <c r="I7" i="47"/>
  <c r="X6" i="47"/>
  <c r="S6" i="47"/>
  <c r="N6" i="47"/>
  <c r="J35" i="47"/>
  <c r="I6" i="47"/>
  <c r="X5" i="47"/>
  <c r="S5" i="47"/>
  <c r="N5" i="47"/>
  <c r="I5" i="47"/>
  <c r="D35" i="47"/>
  <c r="E35" i="47" s="1"/>
  <c r="A5" i="47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X4" i="47"/>
  <c r="X35" i="47" s="1"/>
  <c r="S4" i="47"/>
  <c r="R4" i="47"/>
  <c r="R5" i="47" s="1"/>
  <c r="R6" i="47" s="1"/>
  <c r="R7" i="47" s="1"/>
  <c r="R8" i="47" s="1"/>
  <c r="R9" i="47" s="1"/>
  <c r="R10" i="47" s="1"/>
  <c r="R11" i="47" s="1"/>
  <c r="R12" i="47" s="1"/>
  <c r="R13" i="47" s="1"/>
  <c r="R14" i="47" s="1"/>
  <c r="R15" i="47" s="1"/>
  <c r="R16" i="47" s="1"/>
  <c r="R17" i="47" s="1"/>
  <c r="R18" i="47" s="1"/>
  <c r="R19" i="47" s="1"/>
  <c r="R20" i="47" s="1"/>
  <c r="R21" i="47" s="1"/>
  <c r="R22" i="47" s="1"/>
  <c r="R23" i="47" s="1"/>
  <c r="R24" i="47" s="1"/>
  <c r="R25" i="47" s="1"/>
  <c r="R26" i="47" s="1"/>
  <c r="R27" i="47" s="1"/>
  <c r="R28" i="47" s="1"/>
  <c r="R29" i="47" s="1"/>
  <c r="R30" i="47" s="1"/>
  <c r="R31" i="47" s="1"/>
  <c r="R32" i="47" s="1"/>
  <c r="R33" i="47" s="1"/>
  <c r="R34" i="47" s="1"/>
  <c r="N4" i="47"/>
  <c r="I4" i="47"/>
  <c r="I35" i="47" s="1"/>
  <c r="H4" i="47"/>
  <c r="H5" i="47" s="1"/>
  <c r="H6" i="47" s="1"/>
  <c r="H7" i="47" s="1"/>
  <c r="H8" i="47" s="1"/>
  <c r="H9" i="47" s="1"/>
  <c r="H10" i="47" s="1"/>
  <c r="H11" i="47" s="1"/>
  <c r="H12" i="47" s="1"/>
  <c r="H13" i="47" s="1"/>
  <c r="H14" i="47" s="1"/>
  <c r="H15" i="47" s="1"/>
  <c r="H16" i="47" s="1"/>
  <c r="H17" i="47" s="1"/>
  <c r="H18" i="47" s="1"/>
  <c r="H19" i="47" s="1"/>
  <c r="H20" i="47" s="1"/>
  <c r="H21" i="47" s="1"/>
  <c r="H22" i="47" s="1"/>
  <c r="H23" i="47" s="1"/>
  <c r="H24" i="47" s="1"/>
  <c r="H25" i="47" s="1"/>
  <c r="H26" i="47" s="1"/>
  <c r="H27" i="47" s="1"/>
  <c r="H28" i="47" s="1"/>
  <c r="H29" i="47" s="1"/>
  <c r="H30" i="47" s="1"/>
  <c r="H31" i="47" s="1"/>
  <c r="H32" i="47" s="1"/>
  <c r="H33" i="47" s="1"/>
  <c r="H34" i="47" s="1"/>
  <c r="E4" i="47"/>
  <c r="E5" i="47" s="1"/>
  <c r="E6" i="47" s="1"/>
  <c r="E7" i="47" s="1"/>
  <c r="E8" i="47" s="1"/>
  <c r="E9" i="47" s="1"/>
  <c r="E10" i="47" s="1"/>
  <c r="E11" i="47" s="1"/>
  <c r="E12" i="47" s="1"/>
  <c r="E13" i="47" s="1"/>
  <c r="E14" i="47" s="1"/>
  <c r="E15" i="47" s="1"/>
  <c r="E16" i="47" s="1"/>
  <c r="E17" i="47" s="1"/>
  <c r="E18" i="47" s="1"/>
  <c r="E19" i="47" s="1"/>
  <c r="E20" i="47" s="1"/>
  <c r="E21" i="47" s="1"/>
  <c r="E22" i="47" s="1"/>
  <c r="E23" i="47" s="1"/>
  <c r="E24" i="47" s="1"/>
  <c r="E25" i="47" s="1"/>
  <c r="E26" i="47" s="1"/>
  <c r="E27" i="47" s="1"/>
  <c r="C4" i="47"/>
  <c r="C5" i="47" s="1"/>
  <c r="C6" i="47" s="1"/>
  <c r="C7" i="47" s="1"/>
  <c r="C8" i="47" s="1"/>
  <c r="C9" i="47" s="1"/>
  <c r="C10" i="47" s="1"/>
  <c r="C11" i="47" s="1"/>
  <c r="C12" i="47" s="1"/>
  <c r="C13" i="47" s="1"/>
  <c r="C14" i="47" s="1"/>
  <c r="C15" i="47" s="1"/>
  <c r="C16" i="47" s="1"/>
  <c r="C17" i="47" s="1"/>
  <c r="C18" i="47" s="1"/>
  <c r="C19" i="47" s="1"/>
  <c r="C20" i="47" s="1"/>
  <c r="C21" i="47" s="1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N35" i="47" l="1"/>
  <c r="S35" i="47"/>
  <c r="E28" i="47"/>
  <c r="E29" i="47" s="1"/>
  <c r="E30" i="47" s="1"/>
  <c r="E31" i="47" s="1"/>
  <c r="E32" i="47" s="1"/>
  <c r="E33" i="47" s="1"/>
  <c r="E34" i="47" s="1"/>
  <c r="M33" i="44"/>
  <c r="G11" i="45"/>
  <c r="H11" i="45"/>
  <c r="G10" i="45"/>
  <c r="H10" i="45" s="1"/>
  <c r="H9" i="45" l="1"/>
  <c r="J32" i="44" l="1"/>
  <c r="D28" i="44" l="1"/>
  <c r="J27" i="44" l="1"/>
  <c r="M16" i="44" l="1"/>
  <c r="D18" i="44" l="1"/>
  <c r="H8" i="45" l="1"/>
  <c r="H7" i="45"/>
  <c r="H6" i="45"/>
  <c r="D17" i="44" l="1"/>
  <c r="J16" i="44" l="1"/>
  <c r="D16" i="44"/>
  <c r="H4" i="45" l="1"/>
  <c r="H5" i="45"/>
  <c r="H3" i="45"/>
  <c r="M8" i="44" l="1"/>
  <c r="J8" i="44"/>
  <c r="N5" i="44" l="1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4" i="44"/>
  <c r="I4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9" i="44"/>
  <c r="I8" i="44"/>
  <c r="I5" i="44"/>
  <c r="J7" i="44"/>
  <c r="I7" i="44" s="1"/>
  <c r="D7" i="44"/>
  <c r="J6" i="44" l="1"/>
  <c r="I6" i="44" s="1"/>
  <c r="D6" i="44"/>
  <c r="D5" i="44" l="1"/>
  <c r="H13" i="45" l="1"/>
  <c r="G13" i="45"/>
  <c r="J13" i="45"/>
  <c r="N34" i="44"/>
  <c r="I34" i="44"/>
  <c r="W34" i="46"/>
  <c r="T34" i="46"/>
  <c r="Q34" i="46"/>
  <c r="R34" i="46"/>
  <c r="G34" i="46"/>
  <c r="H34" i="46"/>
  <c r="B34" i="46"/>
  <c r="C34" i="46"/>
  <c r="X33" i="46"/>
  <c r="S33" i="46"/>
  <c r="N33" i="46"/>
  <c r="I33" i="46"/>
  <c r="X32" i="46"/>
  <c r="S32" i="46"/>
  <c r="M32" i="46"/>
  <c r="N32" i="46"/>
  <c r="J32" i="46"/>
  <c r="I32" i="46"/>
  <c r="X31" i="46"/>
  <c r="S31" i="46"/>
  <c r="N31" i="46"/>
  <c r="J31" i="46"/>
  <c r="I31" i="46"/>
  <c r="D31" i="46"/>
  <c r="X30" i="46"/>
  <c r="S30" i="46"/>
  <c r="N30" i="46"/>
  <c r="J30" i="46"/>
  <c r="I30" i="46"/>
  <c r="D30" i="46"/>
  <c r="X29" i="46"/>
  <c r="S29" i="46"/>
  <c r="N29" i="46"/>
  <c r="J29" i="46"/>
  <c r="I29" i="46"/>
  <c r="D29" i="46"/>
  <c r="X28" i="46"/>
  <c r="S28" i="46"/>
  <c r="N28" i="46"/>
  <c r="J28" i="46"/>
  <c r="I28" i="46"/>
  <c r="D28" i="46"/>
  <c r="X27" i="46"/>
  <c r="S27" i="46"/>
  <c r="N27" i="46"/>
  <c r="I27" i="46"/>
  <c r="D27" i="46"/>
  <c r="X26" i="46"/>
  <c r="S26" i="46"/>
  <c r="N26" i="46"/>
  <c r="I26" i="46"/>
  <c r="D26" i="46"/>
  <c r="X25" i="46"/>
  <c r="S25" i="46"/>
  <c r="N25" i="46"/>
  <c r="I25" i="46"/>
  <c r="X24" i="46"/>
  <c r="S24" i="46"/>
  <c r="N24" i="46"/>
  <c r="I24" i="46"/>
  <c r="IU23" i="46"/>
  <c r="X23" i="46"/>
  <c r="S23" i="46"/>
  <c r="N23" i="46"/>
  <c r="I23" i="46"/>
  <c r="X22" i="46"/>
  <c r="S22" i="46"/>
  <c r="N22" i="46"/>
  <c r="I22" i="46"/>
  <c r="X21" i="46"/>
  <c r="S21" i="46"/>
  <c r="N21" i="46"/>
  <c r="I21" i="46"/>
  <c r="X20" i="46"/>
  <c r="S20" i="46"/>
  <c r="N20" i="46"/>
  <c r="I20" i="46"/>
  <c r="X19" i="46"/>
  <c r="S19" i="46"/>
  <c r="N19" i="46"/>
  <c r="I19" i="46"/>
  <c r="X18" i="46"/>
  <c r="S18" i="46"/>
  <c r="N18" i="46"/>
  <c r="I18" i="46"/>
  <c r="X17" i="46"/>
  <c r="S17" i="46"/>
  <c r="N17" i="46"/>
  <c r="I17" i="46"/>
  <c r="X16" i="46"/>
  <c r="S16" i="46"/>
  <c r="N16" i="46"/>
  <c r="I16" i="46"/>
  <c r="X15" i="46"/>
  <c r="S15" i="46"/>
  <c r="M15" i="46"/>
  <c r="N15" i="46"/>
  <c r="I15" i="46"/>
  <c r="X14" i="46"/>
  <c r="S14" i="46"/>
  <c r="N14" i="46"/>
  <c r="I14" i="46"/>
  <c r="X13" i="46"/>
  <c r="S13" i="46"/>
  <c r="N13" i="46"/>
  <c r="I13" i="46"/>
  <c r="X12" i="46"/>
  <c r="S12" i="46"/>
  <c r="N12" i="46"/>
  <c r="I12" i="46"/>
  <c r="X11" i="46"/>
  <c r="S11" i="46"/>
  <c r="N11" i="46"/>
  <c r="J11" i="46"/>
  <c r="I11" i="46"/>
  <c r="X10" i="46"/>
  <c r="S10" i="46"/>
  <c r="N10" i="46"/>
  <c r="I10" i="46"/>
  <c r="X9" i="46"/>
  <c r="S9" i="46"/>
  <c r="N9" i="46"/>
  <c r="J9" i="46"/>
  <c r="I9" i="46"/>
  <c r="X8" i="46"/>
  <c r="S8" i="46"/>
  <c r="N8" i="46"/>
  <c r="I8" i="46"/>
  <c r="X7" i="46"/>
  <c r="S7" i="46"/>
  <c r="N7" i="46"/>
  <c r="I7" i="46"/>
  <c r="X6" i="46"/>
  <c r="S6" i="46"/>
  <c r="N6" i="46"/>
  <c r="I6" i="46"/>
  <c r="X5" i="46"/>
  <c r="S5" i="46"/>
  <c r="N5" i="46"/>
  <c r="J5" i="46"/>
  <c r="J34" i="46"/>
  <c r="I5" i="46"/>
  <c r="D5" i="46"/>
  <c r="X4" i="46"/>
  <c r="S4" i="46"/>
  <c r="N4" i="46"/>
  <c r="I4" i="46"/>
  <c r="D4" i="46"/>
  <c r="D34" i="46"/>
  <c r="E34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X3" i="46"/>
  <c r="X34" i="46"/>
  <c r="S3" i="46"/>
  <c r="S34" i="46"/>
  <c r="R3" i="46"/>
  <c r="R4" i="46"/>
  <c r="R5" i="46"/>
  <c r="R6" i="46"/>
  <c r="R7" i="46"/>
  <c r="R8" i="46"/>
  <c r="R9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N3" i="46"/>
  <c r="N34" i="46"/>
  <c r="I3" i="46"/>
  <c r="I34" i="46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W35" i="44"/>
  <c r="T35" i="44"/>
  <c r="Q35" i="44"/>
  <c r="R35" i="44" s="1"/>
  <c r="G35" i="44"/>
  <c r="H35" i="44" s="1"/>
  <c r="B35" i="44"/>
  <c r="C35" i="44"/>
  <c r="X34" i="44"/>
  <c r="S34" i="44"/>
  <c r="X33" i="44"/>
  <c r="S33" i="44"/>
  <c r="X32" i="44"/>
  <c r="S32" i="44"/>
  <c r="X31" i="44"/>
  <c r="S31" i="44"/>
  <c r="X30" i="44"/>
  <c r="S30" i="44"/>
  <c r="X29" i="44"/>
  <c r="S29" i="44"/>
  <c r="X28" i="44"/>
  <c r="S28" i="44"/>
  <c r="X27" i="44"/>
  <c r="S27" i="44"/>
  <c r="X26" i="44"/>
  <c r="S26" i="44"/>
  <c r="X25" i="44"/>
  <c r="S25" i="44"/>
  <c r="IU24" i="44"/>
  <c r="X24" i="44"/>
  <c r="S24" i="44"/>
  <c r="X23" i="44"/>
  <c r="S23" i="44"/>
  <c r="X22" i="44"/>
  <c r="S22" i="44"/>
  <c r="X21" i="44"/>
  <c r="S21" i="44"/>
  <c r="X20" i="44"/>
  <c r="S20" i="44"/>
  <c r="X19" i="44"/>
  <c r="S19" i="44"/>
  <c r="X18" i="44"/>
  <c r="S18" i="44"/>
  <c r="X17" i="44"/>
  <c r="S17" i="44"/>
  <c r="X16" i="44"/>
  <c r="S16" i="44"/>
  <c r="X15" i="44"/>
  <c r="S15" i="44"/>
  <c r="X14" i="44"/>
  <c r="S14" i="44"/>
  <c r="X13" i="44"/>
  <c r="S13" i="44"/>
  <c r="X12" i="44"/>
  <c r="S12" i="44"/>
  <c r="X11" i="44"/>
  <c r="S11" i="44"/>
  <c r="X10" i="44"/>
  <c r="S10" i="44"/>
  <c r="J35" i="44"/>
  <c r="X9" i="44"/>
  <c r="S9" i="44"/>
  <c r="X8" i="44"/>
  <c r="S8" i="44"/>
  <c r="X7" i="44"/>
  <c r="S7" i="44"/>
  <c r="X6" i="44"/>
  <c r="S6" i="44"/>
  <c r="D35" i="44"/>
  <c r="E35" i="44" s="1"/>
  <c r="X5" i="44"/>
  <c r="S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X4" i="44"/>
  <c r="X35" i="44"/>
  <c r="S4" i="44"/>
  <c r="R4" i="44"/>
  <c r="R5" i="44" s="1"/>
  <c r="R6" i="44" s="1"/>
  <c r="R7" i="44" s="1"/>
  <c r="R8" i="44" s="1"/>
  <c r="R9" i="44" s="1"/>
  <c r="R10" i="44" s="1"/>
  <c r="R11" i="44" s="1"/>
  <c r="R12" i="44" s="1"/>
  <c r="R13" i="44" s="1"/>
  <c r="R14" i="44" s="1"/>
  <c r="R15" i="44" s="1"/>
  <c r="R16" i="44" s="1"/>
  <c r="R17" i="44" s="1"/>
  <c r="R18" i="44" s="1"/>
  <c r="R19" i="44" s="1"/>
  <c r="R20" i="44" s="1"/>
  <c r="R21" i="44" s="1"/>
  <c r="R22" i="44" s="1"/>
  <c r="R23" i="44" s="1"/>
  <c r="R24" i="44" s="1"/>
  <c r="R25" i="44" s="1"/>
  <c r="R26" i="44" s="1"/>
  <c r="R27" i="44" s="1"/>
  <c r="R28" i="44" s="1"/>
  <c r="R29" i="44" s="1"/>
  <c r="R30" i="44" s="1"/>
  <c r="R31" i="44" s="1"/>
  <c r="R32" i="44" s="1"/>
  <c r="R33" i="44" s="1"/>
  <c r="R34" i="44" s="1"/>
  <c r="H4" i="44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33" i="44" s="1"/>
  <c r="H34" i="44" s="1"/>
  <c r="E4" i="44"/>
  <c r="E5" i="44" s="1"/>
  <c r="E6" i="44" s="1"/>
  <c r="E7" i="44" s="1"/>
  <c r="E8" i="44" s="1"/>
  <c r="E9" i="44" s="1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C4" i="44"/>
  <c r="C5" i="44" s="1"/>
  <c r="C6" i="44" s="1"/>
  <c r="C7" i="44" s="1"/>
  <c r="C8" i="44" s="1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M25" i="43"/>
  <c r="N25" i="43"/>
  <c r="N34" i="43"/>
  <c r="J22" i="43"/>
  <c r="M22" i="43"/>
  <c r="N22" i="43"/>
  <c r="D34" i="43"/>
  <c r="E34" i="43"/>
  <c r="J34" i="43"/>
  <c r="J20" i="43"/>
  <c r="J18" i="43"/>
  <c r="J17" i="43"/>
  <c r="M16" i="43"/>
  <c r="J16" i="43"/>
  <c r="J15" i="43"/>
  <c r="J14" i="43"/>
  <c r="J13" i="43"/>
  <c r="J12" i="43"/>
  <c r="D12" i="43"/>
  <c r="M12" i="43"/>
  <c r="J11" i="43"/>
  <c r="D11" i="43"/>
  <c r="J10" i="43"/>
  <c r="D10" i="43"/>
  <c r="J9" i="43"/>
  <c r="D9" i="43"/>
  <c r="D5" i="43"/>
  <c r="D6" i="43"/>
  <c r="D7" i="43"/>
  <c r="D8" i="43"/>
  <c r="W34" i="43"/>
  <c r="T34" i="43"/>
  <c r="R34" i="43"/>
  <c r="Q34" i="43"/>
  <c r="H34" i="43"/>
  <c r="G34" i="43"/>
  <c r="B34" i="43"/>
  <c r="C34" i="43"/>
  <c r="X33" i="43"/>
  <c r="S33" i="43"/>
  <c r="N33" i="43"/>
  <c r="I33" i="43"/>
  <c r="X32" i="43"/>
  <c r="S32" i="43"/>
  <c r="N32" i="43"/>
  <c r="I32" i="43"/>
  <c r="X31" i="43"/>
  <c r="S31" i="43"/>
  <c r="N31" i="43"/>
  <c r="I31" i="43"/>
  <c r="X30" i="43"/>
  <c r="S30" i="43"/>
  <c r="N30" i="43"/>
  <c r="I30" i="43"/>
  <c r="X29" i="43"/>
  <c r="S29" i="43"/>
  <c r="N29" i="43"/>
  <c r="I29" i="43"/>
  <c r="X28" i="43"/>
  <c r="S28" i="43"/>
  <c r="N28" i="43"/>
  <c r="I28" i="43"/>
  <c r="X27" i="43"/>
  <c r="S27" i="43"/>
  <c r="N27" i="43"/>
  <c r="I27" i="43"/>
  <c r="X26" i="43"/>
  <c r="S26" i="43"/>
  <c r="N26" i="43"/>
  <c r="I26" i="43"/>
  <c r="X25" i="43"/>
  <c r="S25" i="43"/>
  <c r="I25" i="43"/>
  <c r="X24" i="43"/>
  <c r="S24" i="43"/>
  <c r="N24" i="43"/>
  <c r="I24" i="43"/>
  <c r="IU23" i="43"/>
  <c r="X23" i="43"/>
  <c r="S23" i="43"/>
  <c r="N23" i="43"/>
  <c r="I23" i="43"/>
  <c r="X22" i="43"/>
  <c r="S22" i="43"/>
  <c r="I22" i="43"/>
  <c r="I34" i="43"/>
  <c r="X21" i="43"/>
  <c r="S21" i="43"/>
  <c r="N21" i="43"/>
  <c r="I21" i="43"/>
  <c r="X20" i="43"/>
  <c r="S20" i="43"/>
  <c r="N20" i="43"/>
  <c r="I20" i="43"/>
  <c r="X19" i="43"/>
  <c r="S19" i="43"/>
  <c r="N19" i="43"/>
  <c r="I19" i="43"/>
  <c r="X18" i="43"/>
  <c r="S18" i="43"/>
  <c r="N18" i="43"/>
  <c r="M34" i="43"/>
  <c r="X17" i="43"/>
  <c r="S17" i="43"/>
  <c r="N17" i="43"/>
  <c r="I17" i="43"/>
  <c r="X16" i="43"/>
  <c r="S16" i="43"/>
  <c r="N16" i="43"/>
  <c r="I16" i="43"/>
  <c r="X15" i="43"/>
  <c r="S15" i="43"/>
  <c r="N15" i="43"/>
  <c r="I15" i="43"/>
  <c r="X14" i="43"/>
  <c r="S14" i="43"/>
  <c r="N14" i="43"/>
  <c r="I14" i="43"/>
  <c r="X13" i="43"/>
  <c r="S13" i="43"/>
  <c r="N13" i="43"/>
  <c r="I13" i="43"/>
  <c r="X12" i="43"/>
  <c r="S12" i="43"/>
  <c r="N12" i="43"/>
  <c r="I12" i="43"/>
  <c r="X11" i="43"/>
  <c r="S11" i="43"/>
  <c r="N11" i="43"/>
  <c r="I11" i="43"/>
  <c r="X10" i="43"/>
  <c r="S10" i="43"/>
  <c r="N10" i="43"/>
  <c r="I10" i="43"/>
  <c r="X9" i="43"/>
  <c r="S9" i="43"/>
  <c r="N9" i="43"/>
  <c r="X8" i="43"/>
  <c r="S8" i="43"/>
  <c r="N8" i="43"/>
  <c r="I8" i="43"/>
  <c r="X7" i="43"/>
  <c r="S7" i="43"/>
  <c r="N7" i="43"/>
  <c r="I7" i="43"/>
  <c r="X6" i="43"/>
  <c r="S6" i="43"/>
  <c r="N6" i="43"/>
  <c r="I6" i="43"/>
  <c r="X5" i="43"/>
  <c r="S5" i="43"/>
  <c r="N5" i="43"/>
  <c r="I5" i="43"/>
  <c r="X4" i="43"/>
  <c r="S4" i="43"/>
  <c r="R4" i="43"/>
  <c r="R5" i="43"/>
  <c r="R6" i="43"/>
  <c r="R7" i="43"/>
  <c r="R8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N4" i="43"/>
  <c r="I4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X3" i="43"/>
  <c r="S3" i="43"/>
  <c r="S34" i="43"/>
  <c r="R3" i="43"/>
  <c r="N3" i="43"/>
  <c r="I3" i="43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C3" i="43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M31" i="42"/>
  <c r="M30" i="42"/>
  <c r="J26" i="42"/>
  <c r="J25" i="42"/>
  <c r="J24" i="42"/>
  <c r="J23" i="42"/>
  <c r="M23" i="42"/>
  <c r="J22" i="42"/>
  <c r="D22" i="42"/>
  <c r="J21" i="42"/>
  <c r="D21" i="42"/>
  <c r="J20" i="42"/>
  <c r="D19" i="42"/>
  <c r="D18" i="42"/>
  <c r="D16" i="42"/>
  <c r="D17" i="42"/>
  <c r="D20" i="42"/>
  <c r="M18" i="42"/>
  <c r="J18" i="42"/>
  <c r="D15" i="42"/>
  <c r="W34" i="42"/>
  <c r="T34" i="42"/>
  <c r="R34" i="42"/>
  <c r="Q34" i="42"/>
  <c r="M34" i="42"/>
  <c r="H34" i="42"/>
  <c r="G34" i="42"/>
  <c r="C34" i="42"/>
  <c r="B34" i="42"/>
  <c r="X33" i="42"/>
  <c r="S33" i="42"/>
  <c r="N33" i="42"/>
  <c r="I33" i="42"/>
  <c r="X32" i="42"/>
  <c r="S32" i="42"/>
  <c r="N32" i="42"/>
  <c r="I32" i="42"/>
  <c r="X31" i="42"/>
  <c r="S31" i="42"/>
  <c r="N31" i="42"/>
  <c r="I31" i="42"/>
  <c r="X30" i="42"/>
  <c r="S30" i="42"/>
  <c r="N30" i="42"/>
  <c r="I30" i="42"/>
  <c r="X29" i="42"/>
  <c r="S29" i="42"/>
  <c r="N29" i="42"/>
  <c r="I29" i="42"/>
  <c r="X28" i="42"/>
  <c r="S28" i="42"/>
  <c r="N28" i="42"/>
  <c r="I28" i="42"/>
  <c r="X27" i="42"/>
  <c r="S27" i="42"/>
  <c r="N27" i="42"/>
  <c r="I27" i="42"/>
  <c r="X26" i="42"/>
  <c r="S26" i="42"/>
  <c r="N26" i="42"/>
  <c r="I26" i="42"/>
  <c r="X25" i="42"/>
  <c r="S25" i="42"/>
  <c r="N25" i="42"/>
  <c r="I25" i="42"/>
  <c r="X24" i="42"/>
  <c r="S24" i="42"/>
  <c r="N24" i="42"/>
  <c r="I24" i="42"/>
  <c r="IU23" i="42"/>
  <c r="X23" i="42"/>
  <c r="S23" i="42"/>
  <c r="N23" i="42"/>
  <c r="I23" i="42"/>
  <c r="X22" i="42"/>
  <c r="S22" i="42"/>
  <c r="N22" i="42"/>
  <c r="I22" i="42"/>
  <c r="X21" i="42"/>
  <c r="S21" i="42"/>
  <c r="N21" i="42"/>
  <c r="I21" i="42"/>
  <c r="X20" i="42"/>
  <c r="S20" i="42"/>
  <c r="N20" i="42"/>
  <c r="I20" i="42"/>
  <c r="X19" i="42"/>
  <c r="S19" i="42"/>
  <c r="N19" i="42"/>
  <c r="I19" i="42"/>
  <c r="X18" i="42"/>
  <c r="S18" i="42"/>
  <c r="N18" i="42"/>
  <c r="I18" i="42"/>
  <c r="D34" i="42"/>
  <c r="E34" i="42"/>
  <c r="X17" i="42"/>
  <c r="S17" i="42"/>
  <c r="N17" i="42"/>
  <c r="I17" i="42"/>
  <c r="X16" i="42"/>
  <c r="S16" i="42"/>
  <c r="N16" i="42"/>
  <c r="I16" i="42"/>
  <c r="X15" i="42"/>
  <c r="S15" i="42"/>
  <c r="N15" i="42"/>
  <c r="I15" i="42"/>
  <c r="X14" i="42"/>
  <c r="S14" i="42"/>
  <c r="N14" i="42"/>
  <c r="I14" i="42"/>
  <c r="X13" i="42"/>
  <c r="S13" i="42"/>
  <c r="N13" i="42"/>
  <c r="I13" i="42"/>
  <c r="X12" i="42"/>
  <c r="S12" i="42"/>
  <c r="N12" i="42"/>
  <c r="I12" i="42"/>
  <c r="X11" i="42"/>
  <c r="S11" i="42"/>
  <c r="N11" i="42"/>
  <c r="I11" i="42"/>
  <c r="X10" i="42"/>
  <c r="S10" i="42"/>
  <c r="N10" i="42"/>
  <c r="I10" i="42"/>
  <c r="X9" i="42"/>
  <c r="S9" i="42"/>
  <c r="N9" i="42"/>
  <c r="I9" i="42"/>
  <c r="X8" i="42"/>
  <c r="S8" i="42"/>
  <c r="N8" i="42"/>
  <c r="I8" i="42"/>
  <c r="X7" i="42"/>
  <c r="S7" i="42"/>
  <c r="N7" i="42"/>
  <c r="I7" i="42"/>
  <c r="X6" i="42"/>
  <c r="S6" i="42"/>
  <c r="N6" i="42"/>
  <c r="I6" i="42"/>
  <c r="X5" i="42"/>
  <c r="S5" i="42"/>
  <c r="N5" i="42"/>
  <c r="I5" i="42"/>
  <c r="X4" i="42"/>
  <c r="S4" i="42"/>
  <c r="N4" i="42"/>
  <c r="I4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X3" i="42"/>
  <c r="X34" i="42"/>
  <c r="S3" i="42"/>
  <c r="R3" i="42"/>
  <c r="R4" i="42"/>
  <c r="R5" i="42"/>
  <c r="R6" i="42"/>
  <c r="R7" i="42"/>
  <c r="R8" i="42"/>
  <c r="R9" i="42"/>
  <c r="R10" i="42"/>
  <c r="R11" i="42"/>
  <c r="R12" i="42"/>
  <c r="R13" i="42"/>
  <c r="R14" i="42"/>
  <c r="R15" i="42"/>
  <c r="R16" i="42"/>
  <c r="R17" i="42"/>
  <c r="R18" i="42"/>
  <c r="R19" i="42"/>
  <c r="R20" i="42"/>
  <c r="R21" i="42"/>
  <c r="R22" i="42"/>
  <c r="R23" i="42"/>
  <c r="R24" i="42"/>
  <c r="R25" i="42"/>
  <c r="R26" i="42"/>
  <c r="R27" i="42"/>
  <c r="R28" i="42"/>
  <c r="R29" i="42"/>
  <c r="R30" i="42"/>
  <c r="R31" i="42"/>
  <c r="R32" i="42"/>
  <c r="R33" i="42"/>
  <c r="N3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C3" i="42"/>
  <c r="O32" i="41"/>
  <c r="J30" i="41"/>
  <c r="J29" i="41"/>
  <c r="O28" i="41"/>
  <c r="J27" i="41"/>
  <c r="J26" i="41"/>
  <c r="J25" i="41"/>
  <c r="D22" i="41"/>
  <c r="D20" i="41"/>
  <c r="D19" i="41"/>
  <c r="D18" i="41"/>
  <c r="J3" i="41"/>
  <c r="M31" i="40"/>
  <c r="W34" i="41"/>
  <c r="T34" i="41"/>
  <c r="R34" i="41"/>
  <c r="Q34" i="41"/>
  <c r="G34" i="41"/>
  <c r="H34" i="41"/>
  <c r="B34" i="41"/>
  <c r="C34" i="41"/>
  <c r="X33" i="41"/>
  <c r="S33" i="41"/>
  <c r="N33" i="41"/>
  <c r="I33" i="41"/>
  <c r="X32" i="41"/>
  <c r="S32" i="41"/>
  <c r="N32" i="41"/>
  <c r="I32" i="41"/>
  <c r="X31" i="41"/>
  <c r="S31" i="41"/>
  <c r="N31" i="41"/>
  <c r="I31" i="41"/>
  <c r="X30" i="41"/>
  <c r="S30" i="41"/>
  <c r="N30" i="41"/>
  <c r="M34" i="41"/>
  <c r="J34" i="41"/>
  <c r="X29" i="41"/>
  <c r="S29" i="41"/>
  <c r="N29" i="41"/>
  <c r="I29" i="41"/>
  <c r="X28" i="41"/>
  <c r="S28" i="41"/>
  <c r="N28" i="41"/>
  <c r="I28" i="41"/>
  <c r="X27" i="41"/>
  <c r="S27" i="41"/>
  <c r="N27" i="41"/>
  <c r="I27" i="41"/>
  <c r="X26" i="41"/>
  <c r="S26" i="41"/>
  <c r="N26" i="41"/>
  <c r="I26" i="41"/>
  <c r="X25" i="41"/>
  <c r="S25" i="41"/>
  <c r="N25" i="41"/>
  <c r="I25" i="41"/>
  <c r="X24" i="41"/>
  <c r="S24" i="41"/>
  <c r="N24" i="41"/>
  <c r="I24" i="41"/>
  <c r="IU23" i="41"/>
  <c r="X23" i="41"/>
  <c r="S23" i="41"/>
  <c r="N23" i="41"/>
  <c r="I23" i="41"/>
  <c r="X22" i="41"/>
  <c r="S22" i="41"/>
  <c r="N22" i="41"/>
  <c r="I22" i="41"/>
  <c r="X21" i="41"/>
  <c r="S21" i="41"/>
  <c r="N21" i="41"/>
  <c r="I21" i="41"/>
  <c r="X20" i="41"/>
  <c r="S20" i="41"/>
  <c r="N20" i="41"/>
  <c r="I20" i="41"/>
  <c r="X19" i="41"/>
  <c r="S19" i="41"/>
  <c r="N19" i="41"/>
  <c r="I19" i="41"/>
  <c r="X18" i="41"/>
  <c r="S18" i="41"/>
  <c r="N18" i="41"/>
  <c r="I18" i="41"/>
  <c r="X17" i="41"/>
  <c r="S17" i="41"/>
  <c r="N17" i="41"/>
  <c r="I17" i="41"/>
  <c r="X16" i="41"/>
  <c r="S16" i="41"/>
  <c r="N16" i="41"/>
  <c r="I16" i="41"/>
  <c r="X15" i="41"/>
  <c r="S15" i="41"/>
  <c r="N15" i="41"/>
  <c r="I15" i="41"/>
  <c r="X14" i="41"/>
  <c r="S14" i="41"/>
  <c r="N14" i="41"/>
  <c r="I14" i="41"/>
  <c r="X13" i="41"/>
  <c r="S13" i="41"/>
  <c r="N13" i="41"/>
  <c r="I13" i="41"/>
  <c r="X12" i="41"/>
  <c r="S12" i="41"/>
  <c r="N12" i="41"/>
  <c r="I12" i="41"/>
  <c r="X11" i="41"/>
  <c r="S11" i="41"/>
  <c r="N11" i="41"/>
  <c r="I11" i="41"/>
  <c r="X10" i="41"/>
  <c r="S10" i="41"/>
  <c r="N10" i="41"/>
  <c r="I10" i="41"/>
  <c r="X9" i="41"/>
  <c r="S9" i="41"/>
  <c r="N9" i="41"/>
  <c r="I9" i="41"/>
  <c r="X8" i="41"/>
  <c r="S8" i="41"/>
  <c r="N8" i="41"/>
  <c r="I8" i="41"/>
  <c r="X7" i="41"/>
  <c r="S7" i="41"/>
  <c r="N7" i="41"/>
  <c r="I7" i="41"/>
  <c r="X6" i="41"/>
  <c r="S6" i="41"/>
  <c r="N6" i="41"/>
  <c r="I6" i="41"/>
  <c r="X5" i="41"/>
  <c r="S5" i="41"/>
  <c r="N5" i="41"/>
  <c r="I5" i="41"/>
  <c r="X4" i="41"/>
  <c r="S4" i="41"/>
  <c r="N4" i="41"/>
  <c r="I4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X3" i="41"/>
  <c r="X34" i="41"/>
  <c r="S3" i="41"/>
  <c r="S34" i="41"/>
  <c r="R3" i="41"/>
  <c r="R4" i="41"/>
  <c r="R5" i="41"/>
  <c r="R6" i="41"/>
  <c r="R7" i="41"/>
  <c r="R8" i="41"/>
  <c r="R9" i="41"/>
  <c r="R10" i="41"/>
  <c r="R11" i="41"/>
  <c r="R12" i="41"/>
  <c r="R13" i="41"/>
  <c r="R14" i="41"/>
  <c r="R15" i="41"/>
  <c r="R16" i="41"/>
  <c r="R17" i="41"/>
  <c r="R18" i="41"/>
  <c r="R19" i="41"/>
  <c r="R20" i="41"/>
  <c r="R21" i="41"/>
  <c r="R22" i="41"/>
  <c r="R23" i="41"/>
  <c r="R24" i="41"/>
  <c r="R25" i="41"/>
  <c r="R26" i="41"/>
  <c r="R27" i="41"/>
  <c r="R28" i="41"/>
  <c r="R29" i="41"/>
  <c r="R30" i="41"/>
  <c r="R31" i="41"/>
  <c r="R32" i="41"/>
  <c r="R33" i="41"/>
  <c r="N3" i="41"/>
  <c r="I3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J32" i="40"/>
  <c r="J31" i="40"/>
  <c r="M30" i="40"/>
  <c r="J30" i="40"/>
  <c r="D18" i="40"/>
  <c r="D21" i="40"/>
  <c r="D20" i="40"/>
  <c r="D19" i="40"/>
  <c r="W34" i="40"/>
  <c r="T34" i="40"/>
  <c r="Q34" i="40"/>
  <c r="R34" i="40"/>
  <c r="M34" i="40"/>
  <c r="G34" i="40"/>
  <c r="H34" i="40"/>
  <c r="D34" i="40"/>
  <c r="E34" i="40"/>
  <c r="B34" i="40"/>
  <c r="C34" i="40"/>
  <c r="X33" i="40"/>
  <c r="S33" i="40"/>
  <c r="N33" i="40"/>
  <c r="I33" i="40"/>
  <c r="X32" i="40"/>
  <c r="S32" i="40"/>
  <c r="N32" i="40"/>
  <c r="I32" i="40"/>
  <c r="X31" i="40"/>
  <c r="S31" i="40"/>
  <c r="N31" i="40"/>
  <c r="I31" i="40"/>
  <c r="X30" i="40"/>
  <c r="S30" i="40"/>
  <c r="N30" i="40"/>
  <c r="I30" i="40"/>
  <c r="X29" i="40"/>
  <c r="S29" i="40"/>
  <c r="N29" i="40"/>
  <c r="I29" i="40"/>
  <c r="X28" i="40"/>
  <c r="S28" i="40"/>
  <c r="N28" i="40"/>
  <c r="I28" i="40"/>
  <c r="X27" i="40"/>
  <c r="S27" i="40"/>
  <c r="N27" i="40"/>
  <c r="I27" i="40"/>
  <c r="X26" i="40"/>
  <c r="S26" i="40"/>
  <c r="N26" i="40"/>
  <c r="I26" i="40"/>
  <c r="X25" i="40"/>
  <c r="S25" i="40"/>
  <c r="N25" i="40"/>
  <c r="I25" i="40"/>
  <c r="X24" i="40"/>
  <c r="S24" i="40"/>
  <c r="N24" i="40"/>
  <c r="I24" i="40"/>
  <c r="IU23" i="40"/>
  <c r="X23" i="40"/>
  <c r="S23" i="40"/>
  <c r="N23" i="40"/>
  <c r="I23" i="40"/>
  <c r="X22" i="40"/>
  <c r="S22" i="40"/>
  <c r="N22" i="40"/>
  <c r="I22" i="40"/>
  <c r="X21" i="40"/>
  <c r="S21" i="40"/>
  <c r="N21" i="40"/>
  <c r="I21" i="40"/>
  <c r="X20" i="40"/>
  <c r="S20" i="40"/>
  <c r="N20" i="40"/>
  <c r="I20" i="40"/>
  <c r="X19" i="40"/>
  <c r="S19" i="40"/>
  <c r="N19" i="40"/>
  <c r="I19" i="40"/>
  <c r="X18" i="40"/>
  <c r="S18" i="40"/>
  <c r="N18" i="40"/>
  <c r="I18" i="40"/>
  <c r="X17" i="40"/>
  <c r="S17" i="40"/>
  <c r="N17" i="40"/>
  <c r="I17" i="40"/>
  <c r="X16" i="40"/>
  <c r="S16" i="40"/>
  <c r="N16" i="40"/>
  <c r="I16" i="40"/>
  <c r="X15" i="40"/>
  <c r="S15" i="40"/>
  <c r="N15" i="40"/>
  <c r="I15" i="40"/>
  <c r="X14" i="40"/>
  <c r="S14" i="40"/>
  <c r="N14" i="40"/>
  <c r="I14" i="40"/>
  <c r="X13" i="40"/>
  <c r="S13" i="40"/>
  <c r="N13" i="40"/>
  <c r="I13" i="40"/>
  <c r="X12" i="40"/>
  <c r="S12" i="40"/>
  <c r="N12" i="40"/>
  <c r="I12" i="40"/>
  <c r="X11" i="40"/>
  <c r="S11" i="40"/>
  <c r="N11" i="40"/>
  <c r="I11" i="40"/>
  <c r="X10" i="40"/>
  <c r="S10" i="40"/>
  <c r="N10" i="40"/>
  <c r="I10" i="40"/>
  <c r="X9" i="40"/>
  <c r="S9" i="40"/>
  <c r="N9" i="40"/>
  <c r="I9" i="40"/>
  <c r="X8" i="40"/>
  <c r="S8" i="40"/>
  <c r="N8" i="40"/>
  <c r="I8" i="40"/>
  <c r="X7" i="40"/>
  <c r="S7" i="40"/>
  <c r="N7" i="40"/>
  <c r="I7" i="40"/>
  <c r="X6" i="40"/>
  <c r="S6" i="40"/>
  <c r="N6" i="40"/>
  <c r="I6" i="40"/>
  <c r="X5" i="40"/>
  <c r="S5" i="40"/>
  <c r="N5" i="40"/>
  <c r="I5" i="40"/>
  <c r="X4" i="40"/>
  <c r="S4" i="40"/>
  <c r="N4" i="40"/>
  <c r="I4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X3" i="40"/>
  <c r="X34" i="40"/>
  <c r="S3" i="40"/>
  <c r="S34" i="40"/>
  <c r="R3" i="40"/>
  <c r="R4" i="40"/>
  <c r="R5" i="40"/>
  <c r="R6" i="40"/>
  <c r="R7" i="40"/>
  <c r="R8" i="40"/>
  <c r="R9" i="40"/>
  <c r="R10" i="40"/>
  <c r="R11" i="40"/>
  <c r="R12" i="40"/>
  <c r="R13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27" i="40"/>
  <c r="R28" i="40"/>
  <c r="R29" i="40"/>
  <c r="R30" i="40"/>
  <c r="R31" i="40"/>
  <c r="R32" i="40"/>
  <c r="R33" i="40"/>
  <c r="N3" i="40"/>
  <c r="N34" i="40"/>
  <c r="J34" i="40"/>
  <c r="I3" i="40"/>
  <c r="I34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J3" i="39"/>
  <c r="W34" i="39"/>
  <c r="T34" i="39"/>
  <c r="R34" i="39"/>
  <c r="Q34" i="39"/>
  <c r="M34" i="39"/>
  <c r="H34" i="39"/>
  <c r="G34" i="39"/>
  <c r="B34" i="39"/>
  <c r="C34" i="39"/>
  <c r="X33" i="39"/>
  <c r="S33" i="39"/>
  <c r="N33" i="39"/>
  <c r="I33" i="39"/>
  <c r="X32" i="39"/>
  <c r="S32" i="39"/>
  <c r="N32" i="39"/>
  <c r="I32" i="39"/>
  <c r="X31" i="39"/>
  <c r="S31" i="39"/>
  <c r="N31" i="39"/>
  <c r="I31" i="39"/>
  <c r="X30" i="39"/>
  <c r="S30" i="39"/>
  <c r="N30" i="39"/>
  <c r="I30" i="39"/>
  <c r="X29" i="39"/>
  <c r="S29" i="39"/>
  <c r="N29" i="39"/>
  <c r="I29" i="39"/>
  <c r="X28" i="39"/>
  <c r="S28" i="39"/>
  <c r="N28" i="39"/>
  <c r="I28" i="39"/>
  <c r="X27" i="39"/>
  <c r="S27" i="39"/>
  <c r="N27" i="39"/>
  <c r="I27" i="39"/>
  <c r="X26" i="39"/>
  <c r="S26" i="39"/>
  <c r="N26" i="39"/>
  <c r="I26" i="39"/>
  <c r="X25" i="39"/>
  <c r="S25" i="39"/>
  <c r="N25" i="39"/>
  <c r="I25" i="39"/>
  <c r="X24" i="39"/>
  <c r="S24" i="39"/>
  <c r="N24" i="39"/>
  <c r="I24" i="39"/>
  <c r="IU23" i="39"/>
  <c r="X23" i="39"/>
  <c r="S23" i="39"/>
  <c r="N23" i="39"/>
  <c r="I23" i="39"/>
  <c r="X22" i="39"/>
  <c r="S22" i="39"/>
  <c r="N22" i="39"/>
  <c r="I22" i="39"/>
  <c r="X21" i="39"/>
  <c r="S21" i="39"/>
  <c r="N21" i="39"/>
  <c r="I21" i="39"/>
  <c r="X20" i="39"/>
  <c r="S20" i="39"/>
  <c r="N20" i="39"/>
  <c r="I20" i="39"/>
  <c r="X19" i="39"/>
  <c r="S19" i="39"/>
  <c r="N19" i="39"/>
  <c r="I19" i="39"/>
  <c r="X18" i="39"/>
  <c r="S18" i="39"/>
  <c r="N18" i="39"/>
  <c r="I18" i="39"/>
  <c r="X17" i="39"/>
  <c r="S17" i="39"/>
  <c r="N17" i="39"/>
  <c r="I17" i="39"/>
  <c r="X16" i="39"/>
  <c r="S16" i="39"/>
  <c r="N16" i="39"/>
  <c r="I16" i="39"/>
  <c r="X15" i="39"/>
  <c r="S15" i="39"/>
  <c r="N15" i="39"/>
  <c r="I15" i="39"/>
  <c r="X14" i="39"/>
  <c r="S14" i="39"/>
  <c r="N14" i="39"/>
  <c r="I14" i="39"/>
  <c r="X13" i="39"/>
  <c r="S13" i="39"/>
  <c r="N13" i="39"/>
  <c r="I13" i="39"/>
  <c r="X12" i="39"/>
  <c r="S12" i="39"/>
  <c r="N12" i="39"/>
  <c r="J34" i="39"/>
  <c r="I12" i="39"/>
  <c r="X11" i="39"/>
  <c r="S11" i="39"/>
  <c r="N11" i="39"/>
  <c r="I11" i="39"/>
  <c r="X10" i="39"/>
  <c r="S10" i="39"/>
  <c r="N10" i="39"/>
  <c r="I10" i="39"/>
  <c r="X9" i="39"/>
  <c r="S9" i="39"/>
  <c r="N9" i="39"/>
  <c r="I9" i="39"/>
  <c r="X8" i="39"/>
  <c r="S8" i="39"/>
  <c r="N8" i="39"/>
  <c r="I8" i="39"/>
  <c r="X7" i="39"/>
  <c r="S7" i="39"/>
  <c r="N7" i="39"/>
  <c r="I7" i="39"/>
  <c r="X6" i="39"/>
  <c r="S6" i="39"/>
  <c r="N6" i="39"/>
  <c r="I6" i="39"/>
  <c r="X5" i="39"/>
  <c r="S5" i="39"/>
  <c r="N5" i="39"/>
  <c r="I5" i="39"/>
  <c r="X4" i="39"/>
  <c r="S4" i="39"/>
  <c r="N4" i="39"/>
  <c r="I4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X3" i="39"/>
  <c r="X34" i="39"/>
  <c r="S3" i="39"/>
  <c r="S34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N3" i="39"/>
  <c r="N34" i="39"/>
  <c r="I3" i="39"/>
  <c r="I34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E3" i="39"/>
  <c r="E4" i="39"/>
  <c r="D34" i="39"/>
  <c r="E34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J22" i="38"/>
  <c r="J21" i="38"/>
  <c r="J20" i="38"/>
  <c r="J19" i="38"/>
  <c r="J12" i="38"/>
  <c r="D7" i="38"/>
  <c r="D6" i="38"/>
  <c r="D5" i="38"/>
  <c r="D3" i="38"/>
  <c r="W34" i="38"/>
  <c r="T34" i="38"/>
  <c r="Q34" i="38"/>
  <c r="R34" i="38"/>
  <c r="M34" i="38"/>
  <c r="G34" i="38"/>
  <c r="H34" i="38"/>
  <c r="B34" i="38"/>
  <c r="C34" i="38"/>
  <c r="X33" i="38"/>
  <c r="S33" i="38"/>
  <c r="N33" i="38"/>
  <c r="I33" i="38"/>
  <c r="X32" i="38"/>
  <c r="S32" i="38"/>
  <c r="N32" i="38"/>
  <c r="I32" i="38"/>
  <c r="X31" i="38"/>
  <c r="S31" i="38"/>
  <c r="N31" i="38"/>
  <c r="I31" i="38"/>
  <c r="X30" i="38"/>
  <c r="S30" i="38"/>
  <c r="N30" i="38"/>
  <c r="I30" i="38"/>
  <c r="X29" i="38"/>
  <c r="S29" i="38"/>
  <c r="N29" i="38"/>
  <c r="I29" i="38"/>
  <c r="X28" i="38"/>
  <c r="S28" i="38"/>
  <c r="N28" i="38"/>
  <c r="I28" i="38"/>
  <c r="X27" i="38"/>
  <c r="S27" i="38"/>
  <c r="N27" i="38"/>
  <c r="I27" i="38"/>
  <c r="X26" i="38"/>
  <c r="S26" i="38"/>
  <c r="N26" i="38"/>
  <c r="I26" i="38"/>
  <c r="X25" i="38"/>
  <c r="S25" i="38"/>
  <c r="N25" i="38"/>
  <c r="I25" i="38"/>
  <c r="X24" i="38"/>
  <c r="S24" i="38"/>
  <c r="N24" i="38"/>
  <c r="I24" i="38"/>
  <c r="IU23" i="38"/>
  <c r="X23" i="38"/>
  <c r="S23" i="38"/>
  <c r="N23" i="38"/>
  <c r="I23" i="38"/>
  <c r="X22" i="38"/>
  <c r="S22" i="38"/>
  <c r="N22" i="38"/>
  <c r="I22" i="38"/>
  <c r="I34" i="38"/>
  <c r="X21" i="38"/>
  <c r="S21" i="38"/>
  <c r="N21" i="38"/>
  <c r="I21" i="38"/>
  <c r="X20" i="38"/>
  <c r="S20" i="38"/>
  <c r="N20" i="38"/>
  <c r="I20" i="38"/>
  <c r="X19" i="38"/>
  <c r="S19" i="38"/>
  <c r="N19" i="38"/>
  <c r="I19" i="38"/>
  <c r="X18" i="38"/>
  <c r="S18" i="38"/>
  <c r="N18" i="38"/>
  <c r="I18" i="38"/>
  <c r="X17" i="38"/>
  <c r="S17" i="38"/>
  <c r="N17" i="38"/>
  <c r="I17" i="38"/>
  <c r="X16" i="38"/>
  <c r="S16" i="38"/>
  <c r="N16" i="38"/>
  <c r="I16" i="38"/>
  <c r="X15" i="38"/>
  <c r="S15" i="38"/>
  <c r="N15" i="38"/>
  <c r="I15" i="38"/>
  <c r="X14" i="38"/>
  <c r="S14" i="38"/>
  <c r="N14" i="38"/>
  <c r="I14" i="38"/>
  <c r="X13" i="38"/>
  <c r="S13" i="38"/>
  <c r="N13" i="38"/>
  <c r="I13" i="38"/>
  <c r="X12" i="38"/>
  <c r="S12" i="38"/>
  <c r="N12" i="38"/>
  <c r="I12" i="38"/>
  <c r="X11" i="38"/>
  <c r="S11" i="38"/>
  <c r="N11" i="38"/>
  <c r="I11" i="38"/>
  <c r="X10" i="38"/>
  <c r="S10" i="38"/>
  <c r="N10" i="38"/>
  <c r="I10" i="38"/>
  <c r="X9" i="38"/>
  <c r="S9" i="38"/>
  <c r="N9" i="38"/>
  <c r="I9" i="38"/>
  <c r="X8" i="38"/>
  <c r="S8" i="38"/>
  <c r="N8" i="38"/>
  <c r="I8" i="38"/>
  <c r="X7" i="38"/>
  <c r="S7" i="38"/>
  <c r="N7" i="38"/>
  <c r="I7" i="38"/>
  <c r="X6" i="38"/>
  <c r="S6" i="38"/>
  <c r="N6" i="38"/>
  <c r="I6" i="38"/>
  <c r="X5" i="38"/>
  <c r="S5" i="38"/>
  <c r="N5" i="38"/>
  <c r="I5" i="38"/>
  <c r="X4" i="38"/>
  <c r="S4" i="38"/>
  <c r="N4" i="38"/>
  <c r="N34" i="38"/>
  <c r="I4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X3" i="38"/>
  <c r="S3" i="38"/>
  <c r="R3" i="38"/>
  <c r="R4" i="38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19" i="38"/>
  <c r="R20" i="38"/>
  <c r="R21" i="38"/>
  <c r="R22" i="38"/>
  <c r="R23" i="38"/>
  <c r="R24" i="38"/>
  <c r="R25" i="38"/>
  <c r="R26" i="38"/>
  <c r="R27" i="38"/>
  <c r="R28" i="38"/>
  <c r="R29" i="38"/>
  <c r="R30" i="38"/>
  <c r="R31" i="38"/>
  <c r="R32" i="38"/>
  <c r="R33" i="38"/>
  <c r="N3" i="38"/>
  <c r="I3" i="38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E3" i="38"/>
  <c r="E4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D33" i="36"/>
  <c r="D32" i="36"/>
  <c r="J10" i="36"/>
  <c r="J9" i="36"/>
  <c r="J34" i="36"/>
  <c r="J8" i="36"/>
  <c r="W34" i="37"/>
  <c r="T34" i="37"/>
  <c r="Q34" i="37"/>
  <c r="R34" i="37"/>
  <c r="G34" i="37"/>
  <c r="H34" i="37"/>
  <c r="B34" i="37"/>
  <c r="C34" i="37"/>
  <c r="X33" i="37"/>
  <c r="S33" i="37"/>
  <c r="N33" i="37"/>
  <c r="M33" i="37"/>
  <c r="I33" i="37"/>
  <c r="X32" i="37"/>
  <c r="S32" i="37"/>
  <c r="M32" i="37"/>
  <c r="N32" i="37"/>
  <c r="J32" i="37"/>
  <c r="I32" i="37"/>
  <c r="X31" i="37"/>
  <c r="S31" i="37"/>
  <c r="N31" i="37"/>
  <c r="J31" i="37"/>
  <c r="I31" i="37"/>
  <c r="X30" i="37"/>
  <c r="S30" i="37"/>
  <c r="M30" i="37"/>
  <c r="N30" i="37"/>
  <c r="J30" i="37"/>
  <c r="I30" i="37"/>
  <c r="X29" i="37"/>
  <c r="S29" i="37"/>
  <c r="N29" i="37"/>
  <c r="J29" i="37"/>
  <c r="I29" i="37"/>
  <c r="D29" i="37"/>
  <c r="X28" i="37"/>
  <c r="S28" i="37"/>
  <c r="S34" i="37"/>
  <c r="M28" i="37"/>
  <c r="N28" i="37"/>
  <c r="J28" i="37"/>
  <c r="I28" i="37"/>
  <c r="D28" i="37"/>
  <c r="X27" i="37"/>
  <c r="S27" i="37"/>
  <c r="N27" i="37"/>
  <c r="J27" i="37"/>
  <c r="I27" i="37"/>
  <c r="D27" i="37"/>
  <c r="X26" i="37"/>
  <c r="X34" i="37"/>
  <c r="S26" i="37"/>
  <c r="N26" i="37"/>
  <c r="I26" i="37"/>
  <c r="D26" i="37"/>
  <c r="X25" i="37"/>
  <c r="S25" i="37"/>
  <c r="N25" i="37"/>
  <c r="I25" i="37"/>
  <c r="X24" i="37"/>
  <c r="S24" i="37"/>
  <c r="N24" i="37"/>
  <c r="I24" i="37"/>
  <c r="IU23" i="37"/>
  <c r="X23" i="37"/>
  <c r="S23" i="37"/>
  <c r="N23" i="37"/>
  <c r="I23" i="37"/>
  <c r="X22" i="37"/>
  <c r="S22" i="37"/>
  <c r="N22" i="37"/>
  <c r="I22" i="37"/>
  <c r="X21" i="37"/>
  <c r="S21" i="37"/>
  <c r="N21" i="37"/>
  <c r="I21" i="37"/>
  <c r="X20" i="37"/>
  <c r="S20" i="37"/>
  <c r="N20" i="37"/>
  <c r="I20" i="37"/>
  <c r="X19" i="37"/>
  <c r="S19" i="37"/>
  <c r="N19" i="37"/>
  <c r="I19" i="37"/>
  <c r="X18" i="37"/>
  <c r="S18" i="37"/>
  <c r="N18" i="37"/>
  <c r="I18" i="37"/>
  <c r="X17" i="37"/>
  <c r="S17" i="37"/>
  <c r="N17" i="37"/>
  <c r="I17" i="37"/>
  <c r="X16" i="37"/>
  <c r="S16" i="37"/>
  <c r="N16" i="37"/>
  <c r="I16" i="37"/>
  <c r="X15" i="37"/>
  <c r="S15" i="37"/>
  <c r="N15" i="37"/>
  <c r="I15" i="37"/>
  <c r="X14" i="37"/>
  <c r="S14" i="37"/>
  <c r="N14" i="37"/>
  <c r="I14" i="37"/>
  <c r="X13" i="37"/>
  <c r="S13" i="37"/>
  <c r="N13" i="37"/>
  <c r="I13" i="37"/>
  <c r="X12" i="37"/>
  <c r="S12" i="37"/>
  <c r="N12" i="37"/>
  <c r="M12" i="37"/>
  <c r="I12" i="37"/>
  <c r="X11" i="37"/>
  <c r="S11" i="37"/>
  <c r="N11" i="37"/>
  <c r="I11" i="37"/>
  <c r="X10" i="37"/>
  <c r="S10" i="37"/>
  <c r="N10" i="37"/>
  <c r="I10" i="37"/>
  <c r="X9" i="37"/>
  <c r="S9" i="37"/>
  <c r="N9" i="37"/>
  <c r="I9" i="37"/>
  <c r="X8" i="37"/>
  <c r="S8" i="37"/>
  <c r="N8" i="37"/>
  <c r="I8" i="37"/>
  <c r="X7" i="37"/>
  <c r="S7" i="37"/>
  <c r="N7" i="37"/>
  <c r="I7" i="37"/>
  <c r="X6" i="37"/>
  <c r="S6" i="37"/>
  <c r="N6" i="37"/>
  <c r="I6" i="37"/>
  <c r="X5" i="37"/>
  <c r="S5" i="37"/>
  <c r="N5" i="37"/>
  <c r="I5" i="37"/>
  <c r="X4" i="37"/>
  <c r="S4" i="37"/>
  <c r="N4" i="37"/>
  <c r="I4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X3" i="37"/>
  <c r="S3" i="37"/>
  <c r="R3" i="37"/>
  <c r="R4" i="37"/>
  <c r="R5" i="37"/>
  <c r="R6" i="37"/>
  <c r="R7" i="37"/>
  <c r="R8" i="37"/>
  <c r="R9" i="37"/>
  <c r="R10" i="37"/>
  <c r="R11" i="37"/>
  <c r="R12" i="37"/>
  <c r="R13" i="37"/>
  <c r="R14" i="37"/>
  <c r="R15" i="37"/>
  <c r="R16" i="37"/>
  <c r="R17" i="37"/>
  <c r="R18" i="37"/>
  <c r="R19" i="37"/>
  <c r="R20" i="37"/>
  <c r="R21" i="37"/>
  <c r="R22" i="37"/>
  <c r="R23" i="37"/>
  <c r="R24" i="37"/>
  <c r="R25" i="37"/>
  <c r="R26" i="37"/>
  <c r="R27" i="37"/>
  <c r="R28" i="37"/>
  <c r="R29" i="37"/>
  <c r="R30" i="37"/>
  <c r="R31" i="37"/>
  <c r="R32" i="37"/>
  <c r="R33" i="37"/>
  <c r="M3" i="37"/>
  <c r="J3" i="37"/>
  <c r="J34" i="37"/>
  <c r="I3" i="37"/>
  <c r="I34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C3" i="37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I29" i="36"/>
  <c r="J29" i="35"/>
  <c r="B34" i="35"/>
  <c r="C34" i="35"/>
  <c r="D34" i="36"/>
  <c r="E34" i="36"/>
  <c r="B34" i="36"/>
  <c r="C34" i="36"/>
  <c r="W34" i="36"/>
  <c r="T34" i="36"/>
  <c r="Q34" i="36"/>
  <c r="R34" i="36"/>
  <c r="G34" i="36"/>
  <c r="H34" i="36"/>
  <c r="X33" i="36"/>
  <c r="S33" i="36"/>
  <c r="N33" i="36"/>
  <c r="I33" i="36"/>
  <c r="X32" i="36"/>
  <c r="S32" i="36"/>
  <c r="N32" i="36"/>
  <c r="I32" i="36"/>
  <c r="X31" i="36"/>
  <c r="S31" i="36"/>
  <c r="N31" i="36"/>
  <c r="I31" i="36"/>
  <c r="X30" i="36"/>
  <c r="S30" i="36"/>
  <c r="N30" i="36"/>
  <c r="I30" i="36"/>
  <c r="X29" i="36"/>
  <c r="S29" i="36"/>
  <c r="N29" i="36"/>
  <c r="X28" i="36"/>
  <c r="S28" i="36"/>
  <c r="N28" i="36"/>
  <c r="I28" i="36"/>
  <c r="X27" i="36"/>
  <c r="S27" i="36"/>
  <c r="N27" i="36"/>
  <c r="I27" i="36"/>
  <c r="X26" i="36"/>
  <c r="S26" i="36"/>
  <c r="N26" i="36"/>
  <c r="I26" i="36"/>
  <c r="X25" i="36"/>
  <c r="S25" i="36"/>
  <c r="N25" i="36"/>
  <c r="I25" i="36"/>
  <c r="X24" i="36"/>
  <c r="S24" i="36"/>
  <c r="N24" i="36"/>
  <c r="I24" i="36"/>
  <c r="IU23" i="36"/>
  <c r="X23" i="36"/>
  <c r="S23" i="36"/>
  <c r="N23" i="36"/>
  <c r="I23" i="36"/>
  <c r="X22" i="36"/>
  <c r="S22" i="36"/>
  <c r="N22" i="36"/>
  <c r="I22" i="36"/>
  <c r="X21" i="36"/>
  <c r="S21" i="36"/>
  <c r="N21" i="36"/>
  <c r="I21" i="36"/>
  <c r="X20" i="36"/>
  <c r="S20" i="36"/>
  <c r="N20" i="36"/>
  <c r="I20" i="36"/>
  <c r="X19" i="36"/>
  <c r="S19" i="36"/>
  <c r="M34" i="36"/>
  <c r="I19" i="36"/>
  <c r="X18" i="36"/>
  <c r="S18" i="36"/>
  <c r="N18" i="36"/>
  <c r="I18" i="36"/>
  <c r="X17" i="36"/>
  <c r="S17" i="36"/>
  <c r="N17" i="36"/>
  <c r="I17" i="36"/>
  <c r="X16" i="36"/>
  <c r="S16" i="36"/>
  <c r="N16" i="36"/>
  <c r="I16" i="36"/>
  <c r="X15" i="36"/>
  <c r="S15" i="36"/>
  <c r="N15" i="36"/>
  <c r="I15" i="36"/>
  <c r="X14" i="36"/>
  <c r="S14" i="36"/>
  <c r="N14" i="36"/>
  <c r="I14" i="36"/>
  <c r="X13" i="36"/>
  <c r="S13" i="36"/>
  <c r="N13" i="36"/>
  <c r="X12" i="36"/>
  <c r="S12" i="36"/>
  <c r="N12" i="36"/>
  <c r="I12" i="36"/>
  <c r="X11" i="36"/>
  <c r="S11" i="36"/>
  <c r="N11" i="36"/>
  <c r="I11" i="36"/>
  <c r="X10" i="36"/>
  <c r="S10" i="36"/>
  <c r="N10" i="36"/>
  <c r="I10" i="36"/>
  <c r="X9" i="36"/>
  <c r="S9" i="36"/>
  <c r="N9" i="36"/>
  <c r="X8" i="36"/>
  <c r="S8" i="36"/>
  <c r="N8" i="36"/>
  <c r="I8" i="36"/>
  <c r="X7" i="36"/>
  <c r="S7" i="36"/>
  <c r="N7" i="36"/>
  <c r="I7" i="36"/>
  <c r="X6" i="36"/>
  <c r="S6" i="36"/>
  <c r="N6" i="36"/>
  <c r="I6" i="36"/>
  <c r="X5" i="36"/>
  <c r="S5" i="36"/>
  <c r="N5" i="36"/>
  <c r="I5" i="36"/>
  <c r="X4" i="36"/>
  <c r="S4" i="36"/>
  <c r="N4" i="36"/>
  <c r="I4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X3" i="36"/>
  <c r="X34" i="36"/>
  <c r="S3" i="36"/>
  <c r="S34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N3" i="36"/>
  <c r="I3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J28" i="35"/>
  <c r="I28" i="35"/>
  <c r="J27" i="35"/>
  <c r="I27" i="35"/>
  <c r="J26" i="35"/>
  <c r="M26" i="35"/>
  <c r="M34" i="35"/>
  <c r="J23" i="35"/>
  <c r="J20" i="35"/>
  <c r="M19" i="35"/>
  <c r="D17" i="35"/>
  <c r="D34" i="35"/>
  <c r="E34" i="35"/>
  <c r="D16" i="35"/>
  <c r="J15" i="35"/>
  <c r="D15" i="35"/>
  <c r="J13" i="35"/>
  <c r="J34" i="35"/>
  <c r="D14" i="35"/>
  <c r="W34" i="35"/>
  <c r="T34" i="35"/>
  <c r="Q34" i="35"/>
  <c r="R34" i="35"/>
  <c r="G34" i="35"/>
  <c r="H34" i="35"/>
  <c r="X33" i="35"/>
  <c r="S33" i="35"/>
  <c r="N33" i="35"/>
  <c r="I33" i="35"/>
  <c r="X32" i="35"/>
  <c r="S32" i="35"/>
  <c r="N32" i="35"/>
  <c r="I32" i="35"/>
  <c r="X31" i="35"/>
  <c r="S31" i="35"/>
  <c r="N31" i="35"/>
  <c r="I31" i="35"/>
  <c r="X30" i="35"/>
  <c r="S30" i="35"/>
  <c r="N30" i="35"/>
  <c r="I30" i="35"/>
  <c r="X29" i="35"/>
  <c r="S29" i="35"/>
  <c r="N29" i="35"/>
  <c r="I29" i="35"/>
  <c r="X28" i="35"/>
  <c r="S28" i="35"/>
  <c r="N28" i="35"/>
  <c r="X27" i="35"/>
  <c r="S27" i="35"/>
  <c r="N27" i="35"/>
  <c r="X26" i="35"/>
  <c r="S26" i="35"/>
  <c r="N26" i="35"/>
  <c r="I26" i="35"/>
  <c r="X25" i="35"/>
  <c r="S25" i="35"/>
  <c r="N25" i="35"/>
  <c r="I25" i="35"/>
  <c r="X24" i="35"/>
  <c r="X34" i="35"/>
  <c r="S24" i="35"/>
  <c r="N24" i="35"/>
  <c r="I24" i="35"/>
  <c r="IU23" i="35"/>
  <c r="X23" i="35"/>
  <c r="S23" i="35"/>
  <c r="N23" i="35"/>
  <c r="I23" i="35"/>
  <c r="X22" i="35"/>
  <c r="S22" i="35"/>
  <c r="N22" i="35"/>
  <c r="I22" i="35"/>
  <c r="X21" i="35"/>
  <c r="S21" i="35"/>
  <c r="N21" i="35"/>
  <c r="I21" i="35"/>
  <c r="X20" i="35"/>
  <c r="S20" i="35"/>
  <c r="N20" i="35"/>
  <c r="I20" i="35"/>
  <c r="X19" i="35"/>
  <c r="S19" i="35"/>
  <c r="N19" i="35"/>
  <c r="I19" i="35"/>
  <c r="X18" i="35"/>
  <c r="S18" i="35"/>
  <c r="N18" i="35"/>
  <c r="I18" i="35"/>
  <c r="X17" i="35"/>
  <c r="S17" i="35"/>
  <c r="N17" i="35"/>
  <c r="I17" i="35"/>
  <c r="X16" i="35"/>
  <c r="S16" i="35"/>
  <c r="N16" i="35"/>
  <c r="I16" i="35"/>
  <c r="X15" i="35"/>
  <c r="S15" i="35"/>
  <c r="N15" i="35"/>
  <c r="I15" i="35"/>
  <c r="X14" i="35"/>
  <c r="S14" i="35"/>
  <c r="N14" i="35"/>
  <c r="I14" i="35"/>
  <c r="X13" i="35"/>
  <c r="S13" i="35"/>
  <c r="N13" i="35"/>
  <c r="I13" i="35"/>
  <c r="X12" i="35"/>
  <c r="S12" i="35"/>
  <c r="N12" i="35"/>
  <c r="I12" i="35"/>
  <c r="X11" i="35"/>
  <c r="S11" i="35"/>
  <c r="N11" i="35"/>
  <c r="I11" i="35"/>
  <c r="X10" i="35"/>
  <c r="S10" i="35"/>
  <c r="N10" i="35"/>
  <c r="I10" i="35"/>
  <c r="X9" i="35"/>
  <c r="S9" i="35"/>
  <c r="N9" i="35"/>
  <c r="I9" i="35"/>
  <c r="X8" i="35"/>
  <c r="S8" i="35"/>
  <c r="N8" i="35"/>
  <c r="I8" i="35"/>
  <c r="X7" i="35"/>
  <c r="S7" i="35"/>
  <c r="N7" i="35"/>
  <c r="I7" i="35"/>
  <c r="X6" i="35"/>
  <c r="S6" i="35"/>
  <c r="N6" i="35"/>
  <c r="I6" i="35"/>
  <c r="X5" i="35"/>
  <c r="S5" i="35"/>
  <c r="S34" i="35"/>
  <c r="I5" i="35"/>
  <c r="X4" i="35"/>
  <c r="S4" i="35"/>
  <c r="N4" i="35"/>
  <c r="I4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X3" i="35"/>
  <c r="S3" i="35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N3" i="35"/>
  <c r="I3" i="35"/>
  <c r="I34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W34" i="34"/>
  <c r="T34" i="34"/>
  <c r="Q34" i="34"/>
  <c r="R34" i="34"/>
  <c r="G34" i="34"/>
  <c r="H34" i="34"/>
  <c r="B34" i="34"/>
  <c r="C34" i="34"/>
  <c r="X33" i="34"/>
  <c r="S33" i="34"/>
  <c r="N33" i="34"/>
  <c r="I33" i="34"/>
  <c r="X32" i="34"/>
  <c r="S32" i="34"/>
  <c r="N32" i="34"/>
  <c r="I32" i="34"/>
  <c r="X31" i="34"/>
  <c r="S31" i="34"/>
  <c r="N31" i="34"/>
  <c r="I31" i="34"/>
  <c r="X30" i="34"/>
  <c r="S30" i="34"/>
  <c r="N30" i="34"/>
  <c r="I30" i="34"/>
  <c r="X29" i="34"/>
  <c r="S29" i="34"/>
  <c r="N29" i="34"/>
  <c r="J29" i="34"/>
  <c r="I29" i="34"/>
  <c r="X28" i="34"/>
  <c r="S28" i="34"/>
  <c r="N28" i="34"/>
  <c r="I28" i="34"/>
  <c r="X27" i="34"/>
  <c r="S27" i="34"/>
  <c r="N27" i="34"/>
  <c r="J27" i="34"/>
  <c r="I27" i="34"/>
  <c r="X26" i="34"/>
  <c r="S26" i="34"/>
  <c r="N26" i="34"/>
  <c r="J26" i="34"/>
  <c r="I26" i="34"/>
  <c r="X25" i="34"/>
  <c r="S25" i="34"/>
  <c r="N25" i="34"/>
  <c r="J25" i="34"/>
  <c r="X24" i="34"/>
  <c r="S24" i="34"/>
  <c r="N24" i="34"/>
  <c r="I24" i="34"/>
  <c r="IU23" i="34"/>
  <c r="X23" i="34"/>
  <c r="S23" i="34"/>
  <c r="N23" i="34"/>
  <c r="I23" i="34"/>
  <c r="X22" i="34"/>
  <c r="S22" i="34"/>
  <c r="S34" i="34"/>
  <c r="N22" i="34"/>
  <c r="I22" i="34"/>
  <c r="D22" i="34"/>
  <c r="X21" i="34"/>
  <c r="X34" i="34"/>
  <c r="S21" i="34"/>
  <c r="N21" i="34"/>
  <c r="I21" i="34"/>
  <c r="D21" i="34"/>
  <c r="D34" i="34"/>
  <c r="E34" i="34"/>
  <c r="X20" i="34"/>
  <c r="S20" i="34"/>
  <c r="N20" i="34"/>
  <c r="I20" i="34"/>
  <c r="X19" i="34"/>
  <c r="S19" i="34"/>
  <c r="N19" i="34"/>
  <c r="I19" i="34"/>
  <c r="X18" i="34"/>
  <c r="S18" i="34"/>
  <c r="N18" i="34"/>
  <c r="I18" i="34"/>
  <c r="X17" i="34"/>
  <c r="S17" i="34"/>
  <c r="N17" i="34"/>
  <c r="I17" i="34"/>
  <c r="X16" i="34"/>
  <c r="S16" i="34"/>
  <c r="N16" i="34"/>
  <c r="I16" i="34"/>
  <c r="X15" i="34"/>
  <c r="S15" i="34"/>
  <c r="N15" i="34"/>
  <c r="I15" i="34"/>
  <c r="X14" i="34"/>
  <c r="S14" i="34"/>
  <c r="N14" i="34"/>
  <c r="I14" i="34"/>
  <c r="X13" i="34"/>
  <c r="S13" i="34"/>
  <c r="N13" i="34"/>
  <c r="I13" i="34"/>
  <c r="X12" i="34"/>
  <c r="S12" i="34"/>
  <c r="N12" i="34"/>
  <c r="I12" i="34"/>
  <c r="X11" i="34"/>
  <c r="S11" i="34"/>
  <c r="N11" i="34"/>
  <c r="I11" i="34"/>
  <c r="X10" i="34"/>
  <c r="S10" i="34"/>
  <c r="M10" i="34"/>
  <c r="I10" i="34"/>
  <c r="X9" i="34"/>
  <c r="S9" i="34"/>
  <c r="N9" i="34"/>
  <c r="I9" i="34"/>
  <c r="X8" i="34"/>
  <c r="S8" i="34"/>
  <c r="N8" i="34"/>
  <c r="I8" i="34"/>
  <c r="X7" i="34"/>
  <c r="S7" i="34"/>
  <c r="N7" i="34"/>
  <c r="I7" i="34"/>
  <c r="X6" i="34"/>
  <c r="S6" i="34"/>
  <c r="N6" i="34"/>
  <c r="I6" i="34"/>
  <c r="X5" i="34"/>
  <c r="S5" i="34"/>
  <c r="N5" i="34"/>
  <c r="I5" i="34"/>
  <c r="X4" i="34"/>
  <c r="S4" i="34"/>
  <c r="N4" i="34"/>
  <c r="I4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X3" i="34"/>
  <c r="S3" i="34"/>
  <c r="R3" i="34"/>
  <c r="R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N3" i="34"/>
  <c r="I3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D33" i="33"/>
  <c r="D32" i="33"/>
  <c r="D31" i="33"/>
  <c r="D30" i="33"/>
  <c r="M5" i="33"/>
  <c r="M34" i="33"/>
  <c r="W34" i="33"/>
  <c r="T34" i="33"/>
  <c r="Q34" i="33"/>
  <c r="R34" i="33"/>
  <c r="G34" i="33"/>
  <c r="H34" i="33"/>
  <c r="B34" i="33"/>
  <c r="C34" i="33"/>
  <c r="X33" i="33"/>
  <c r="S33" i="33"/>
  <c r="N33" i="33"/>
  <c r="I33" i="33"/>
  <c r="X32" i="33"/>
  <c r="S32" i="33"/>
  <c r="N32" i="33"/>
  <c r="I32" i="33"/>
  <c r="X31" i="33"/>
  <c r="S31" i="33"/>
  <c r="N31" i="33"/>
  <c r="J34" i="33"/>
  <c r="I31" i="33"/>
  <c r="X30" i="33"/>
  <c r="S30" i="33"/>
  <c r="N30" i="33"/>
  <c r="I30" i="33"/>
  <c r="X29" i="33"/>
  <c r="S29" i="33"/>
  <c r="N29" i="33"/>
  <c r="I29" i="33"/>
  <c r="X28" i="33"/>
  <c r="S28" i="33"/>
  <c r="N28" i="33"/>
  <c r="I28" i="33"/>
  <c r="D34" i="33"/>
  <c r="E34" i="33"/>
  <c r="X27" i="33"/>
  <c r="S27" i="33"/>
  <c r="N27" i="33"/>
  <c r="I27" i="33"/>
  <c r="X26" i="33"/>
  <c r="S26" i="33"/>
  <c r="N26" i="33"/>
  <c r="I26" i="33"/>
  <c r="X25" i="33"/>
  <c r="S25" i="33"/>
  <c r="N25" i="33"/>
  <c r="I25" i="33"/>
  <c r="X24" i="33"/>
  <c r="S24" i="33"/>
  <c r="N24" i="33"/>
  <c r="I24" i="33"/>
  <c r="IU23" i="33"/>
  <c r="X23" i="33"/>
  <c r="S23" i="33"/>
  <c r="N23" i="33"/>
  <c r="I23" i="33"/>
  <c r="X22" i="33"/>
  <c r="S22" i="33"/>
  <c r="N22" i="33"/>
  <c r="I22" i="33"/>
  <c r="X21" i="33"/>
  <c r="S21" i="33"/>
  <c r="N21" i="33"/>
  <c r="I21" i="33"/>
  <c r="X20" i="33"/>
  <c r="S20" i="33"/>
  <c r="N20" i="33"/>
  <c r="I20" i="33"/>
  <c r="X19" i="33"/>
  <c r="S19" i="33"/>
  <c r="N19" i="33"/>
  <c r="I19" i="33"/>
  <c r="X18" i="33"/>
  <c r="S18" i="33"/>
  <c r="N18" i="33"/>
  <c r="I18" i="33"/>
  <c r="X17" i="33"/>
  <c r="S17" i="33"/>
  <c r="N17" i="33"/>
  <c r="I17" i="33"/>
  <c r="X16" i="33"/>
  <c r="S16" i="33"/>
  <c r="N16" i="33"/>
  <c r="I16" i="33"/>
  <c r="X15" i="33"/>
  <c r="S15" i="33"/>
  <c r="N15" i="33"/>
  <c r="I15" i="33"/>
  <c r="X14" i="33"/>
  <c r="S14" i="33"/>
  <c r="N14" i="33"/>
  <c r="I14" i="33"/>
  <c r="X13" i="33"/>
  <c r="S13" i="33"/>
  <c r="N13" i="33"/>
  <c r="I13" i="33"/>
  <c r="X12" i="33"/>
  <c r="S12" i="33"/>
  <c r="N12" i="33"/>
  <c r="I12" i="33"/>
  <c r="X11" i="33"/>
  <c r="S11" i="33"/>
  <c r="N11" i="33"/>
  <c r="I11" i="33"/>
  <c r="X10" i="33"/>
  <c r="S10" i="33"/>
  <c r="N10" i="33"/>
  <c r="I10" i="33"/>
  <c r="X9" i="33"/>
  <c r="S9" i="33"/>
  <c r="N9" i="33"/>
  <c r="I9" i="33"/>
  <c r="X8" i="33"/>
  <c r="S8" i="33"/>
  <c r="N8" i="33"/>
  <c r="I8" i="33"/>
  <c r="X7" i="33"/>
  <c r="S7" i="33"/>
  <c r="N7" i="33"/>
  <c r="I7" i="33"/>
  <c r="X6" i="33"/>
  <c r="S6" i="33"/>
  <c r="N6" i="33"/>
  <c r="I6" i="33"/>
  <c r="X5" i="33"/>
  <c r="S5" i="33"/>
  <c r="N5" i="33"/>
  <c r="I5" i="33"/>
  <c r="X4" i="33"/>
  <c r="S4" i="33"/>
  <c r="N4" i="33"/>
  <c r="I4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X3" i="33"/>
  <c r="S3" i="33"/>
  <c r="S34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N3" i="33"/>
  <c r="N34" i="33"/>
  <c r="I3" i="33"/>
  <c r="I34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" i="30"/>
  <c r="D3" i="30"/>
  <c r="H3" i="30"/>
  <c r="H4" i="30"/>
  <c r="J33" i="32"/>
  <c r="I33" i="32"/>
  <c r="M33" i="32"/>
  <c r="M34" i="32"/>
  <c r="J32" i="32"/>
  <c r="I32" i="32"/>
  <c r="D32" i="32"/>
  <c r="J31" i="32"/>
  <c r="D31" i="32"/>
  <c r="D30" i="32"/>
  <c r="D29" i="32"/>
  <c r="D28" i="32"/>
  <c r="W34" i="32"/>
  <c r="T34" i="32"/>
  <c r="Q34" i="32"/>
  <c r="R34" i="32"/>
  <c r="G34" i="32"/>
  <c r="H34" i="32"/>
  <c r="B34" i="32"/>
  <c r="C34" i="32"/>
  <c r="X33" i="32"/>
  <c r="S33" i="32"/>
  <c r="N33" i="32"/>
  <c r="X32" i="32"/>
  <c r="S32" i="32"/>
  <c r="N32" i="32"/>
  <c r="X31" i="32"/>
  <c r="S31" i="32"/>
  <c r="N31" i="32"/>
  <c r="I31" i="32"/>
  <c r="X30" i="32"/>
  <c r="S30" i="32"/>
  <c r="N30" i="32"/>
  <c r="I30" i="32"/>
  <c r="X29" i="32"/>
  <c r="S29" i="32"/>
  <c r="N29" i="32"/>
  <c r="I29" i="32"/>
  <c r="X28" i="32"/>
  <c r="S28" i="32"/>
  <c r="N28" i="32"/>
  <c r="I28" i="32"/>
  <c r="X27" i="32"/>
  <c r="S27" i="32"/>
  <c r="N27" i="32"/>
  <c r="I27" i="32"/>
  <c r="X26" i="32"/>
  <c r="S26" i="32"/>
  <c r="N26" i="32"/>
  <c r="I26" i="32"/>
  <c r="X25" i="32"/>
  <c r="S25" i="32"/>
  <c r="N25" i="32"/>
  <c r="I25" i="32"/>
  <c r="X24" i="32"/>
  <c r="S24" i="32"/>
  <c r="N24" i="32"/>
  <c r="I24" i="32"/>
  <c r="IU23" i="32"/>
  <c r="X23" i="32"/>
  <c r="S23" i="32"/>
  <c r="N23" i="32"/>
  <c r="I23" i="32"/>
  <c r="X22" i="32"/>
  <c r="S22" i="32"/>
  <c r="N22" i="32"/>
  <c r="I22" i="32"/>
  <c r="X21" i="32"/>
  <c r="S21" i="32"/>
  <c r="N21" i="32"/>
  <c r="I21" i="32"/>
  <c r="X20" i="32"/>
  <c r="S20" i="32"/>
  <c r="N20" i="32"/>
  <c r="I20" i="32"/>
  <c r="X19" i="32"/>
  <c r="S19" i="32"/>
  <c r="N19" i="32"/>
  <c r="I19" i="32"/>
  <c r="X18" i="32"/>
  <c r="S18" i="32"/>
  <c r="N18" i="32"/>
  <c r="I18" i="32"/>
  <c r="X17" i="32"/>
  <c r="S17" i="32"/>
  <c r="N17" i="32"/>
  <c r="I17" i="32"/>
  <c r="X16" i="32"/>
  <c r="S16" i="32"/>
  <c r="N16" i="32"/>
  <c r="I16" i="32"/>
  <c r="X15" i="32"/>
  <c r="S15" i="32"/>
  <c r="N15" i="32"/>
  <c r="I15" i="32"/>
  <c r="X14" i="32"/>
  <c r="S14" i="32"/>
  <c r="N14" i="32"/>
  <c r="I14" i="32"/>
  <c r="X13" i="32"/>
  <c r="S13" i="32"/>
  <c r="I13" i="32"/>
  <c r="X12" i="32"/>
  <c r="S12" i="32"/>
  <c r="N12" i="32"/>
  <c r="I12" i="32"/>
  <c r="X11" i="32"/>
  <c r="S11" i="32"/>
  <c r="N11" i="32"/>
  <c r="I11" i="32"/>
  <c r="X10" i="32"/>
  <c r="S10" i="32"/>
  <c r="N10" i="32"/>
  <c r="I10" i="32"/>
  <c r="X9" i="32"/>
  <c r="S9" i="32"/>
  <c r="N9" i="32"/>
  <c r="I9" i="32"/>
  <c r="X8" i="32"/>
  <c r="S8" i="32"/>
  <c r="N8" i="32"/>
  <c r="I8" i="32"/>
  <c r="X7" i="32"/>
  <c r="S7" i="32"/>
  <c r="N7" i="32"/>
  <c r="J34" i="32"/>
  <c r="I7" i="32"/>
  <c r="X6" i="32"/>
  <c r="S6" i="32"/>
  <c r="N6" i="32"/>
  <c r="I6" i="32"/>
  <c r="X5" i="32"/>
  <c r="S5" i="32"/>
  <c r="N5" i="32"/>
  <c r="I5" i="32"/>
  <c r="X4" i="32"/>
  <c r="S4" i="32"/>
  <c r="N4" i="32"/>
  <c r="N34" i="32"/>
  <c r="I4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X3" i="32"/>
  <c r="S3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N3" i="32"/>
  <c r="I3" i="32"/>
  <c r="I34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M20" i="31"/>
  <c r="N20" i="31"/>
  <c r="J17" i="31"/>
  <c r="M13" i="31"/>
  <c r="J11" i="31"/>
  <c r="J10" i="31"/>
  <c r="I10" i="31"/>
  <c r="D11" i="31"/>
  <c r="J9" i="31"/>
  <c r="I9" i="31"/>
  <c r="J8" i="31"/>
  <c r="J7" i="31"/>
  <c r="I7" i="31"/>
  <c r="Q34" i="31"/>
  <c r="R34" i="31"/>
  <c r="J34" i="31"/>
  <c r="G34" i="31"/>
  <c r="H34" i="31"/>
  <c r="B34" i="31"/>
  <c r="C34" i="31"/>
  <c r="X33" i="31"/>
  <c r="S33" i="31"/>
  <c r="N33" i="31"/>
  <c r="X32" i="31"/>
  <c r="S32" i="31"/>
  <c r="N32" i="31"/>
  <c r="I32" i="31"/>
  <c r="X31" i="31"/>
  <c r="S31" i="31"/>
  <c r="N31" i="31"/>
  <c r="I31" i="31"/>
  <c r="X30" i="31"/>
  <c r="S30" i="31"/>
  <c r="N30" i="31"/>
  <c r="I30" i="31"/>
  <c r="X29" i="31"/>
  <c r="S29" i="31"/>
  <c r="N29" i="31"/>
  <c r="I29" i="31"/>
  <c r="X28" i="31"/>
  <c r="S28" i="31"/>
  <c r="N28" i="31"/>
  <c r="I28" i="31"/>
  <c r="X27" i="31"/>
  <c r="S27" i="31"/>
  <c r="N27" i="31"/>
  <c r="I27" i="31"/>
  <c r="X26" i="31"/>
  <c r="S26" i="31"/>
  <c r="N26" i="31"/>
  <c r="I26" i="31"/>
  <c r="X25" i="31"/>
  <c r="S25" i="31"/>
  <c r="N25" i="31"/>
  <c r="I25" i="31"/>
  <c r="X24" i="31"/>
  <c r="S24" i="31"/>
  <c r="N24" i="31"/>
  <c r="I24" i="31"/>
  <c r="IU23" i="31"/>
  <c r="X23" i="31"/>
  <c r="S23" i="31"/>
  <c r="N23" i="31"/>
  <c r="I23" i="31"/>
  <c r="X22" i="31"/>
  <c r="S22" i="31"/>
  <c r="N22" i="31"/>
  <c r="I22" i="31"/>
  <c r="X21" i="31"/>
  <c r="S21" i="31"/>
  <c r="N21" i="31"/>
  <c r="I21" i="31"/>
  <c r="X20" i="31"/>
  <c r="S20" i="31"/>
  <c r="I20" i="31"/>
  <c r="X19" i="31"/>
  <c r="S19" i="31"/>
  <c r="N19" i="31"/>
  <c r="I19" i="31"/>
  <c r="X18" i="31"/>
  <c r="S18" i="31"/>
  <c r="N18" i="31"/>
  <c r="I18" i="31"/>
  <c r="X17" i="31"/>
  <c r="S17" i="31"/>
  <c r="N17" i="31"/>
  <c r="I17" i="31"/>
  <c r="X16" i="31"/>
  <c r="S16" i="31"/>
  <c r="N16" i="31"/>
  <c r="I16" i="31"/>
  <c r="X15" i="31"/>
  <c r="S15" i="31"/>
  <c r="N15" i="31"/>
  <c r="I15" i="31"/>
  <c r="X14" i="31"/>
  <c r="S14" i="31"/>
  <c r="N14" i="31"/>
  <c r="I14" i="31"/>
  <c r="X13" i="31"/>
  <c r="S13" i="31"/>
  <c r="I13" i="31"/>
  <c r="X12" i="31"/>
  <c r="S12" i="31"/>
  <c r="N12" i="31"/>
  <c r="I12" i="31"/>
  <c r="X11" i="31"/>
  <c r="S11" i="31"/>
  <c r="N11" i="31"/>
  <c r="I11" i="31"/>
  <c r="X10" i="31"/>
  <c r="S10" i="31"/>
  <c r="N10" i="31"/>
  <c r="X9" i="31"/>
  <c r="S9" i="31"/>
  <c r="N9" i="31"/>
  <c r="X8" i="31"/>
  <c r="S8" i="31"/>
  <c r="N8" i="31"/>
  <c r="I8" i="31"/>
  <c r="X7" i="31"/>
  <c r="S7" i="31"/>
  <c r="N7" i="31"/>
  <c r="X6" i="31"/>
  <c r="W34" i="31"/>
  <c r="S6" i="31"/>
  <c r="N6" i="31"/>
  <c r="I6" i="31"/>
  <c r="X5" i="31"/>
  <c r="S5" i="31"/>
  <c r="N5" i="31"/>
  <c r="I5" i="31"/>
  <c r="X4" i="31"/>
  <c r="S4" i="31"/>
  <c r="N4" i="31"/>
  <c r="I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X3" i="31"/>
  <c r="S3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N3" i="31"/>
  <c r="I3" i="31"/>
  <c r="I34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D34" i="31"/>
  <c r="E34" i="31"/>
  <c r="C3" i="31"/>
  <c r="C4" i="3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4" i="30"/>
  <c r="D25" i="30"/>
  <c r="D26" i="30"/>
  <c r="D27" i="30"/>
  <c r="D29" i="30"/>
  <c r="D30" i="30"/>
  <c r="D31" i="30"/>
  <c r="D32" i="30"/>
  <c r="D33" i="30"/>
  <c r="T33" i="30"/>
  <c r="T32" i="30"/>
  <c r="W32" i="30"/>
  <c r="T31" i="30"/>
  <c r="T30" i="30"/>
  <c r="S30" i="30"/>
  <c r="W29" i="30"/>
  <c r="T26" i="30"/>
  <c r="S26" i="30"/>
  <c r="W26" i="30"/>
  <c r="T25" i="30"/>
  <c r="S25" i="30"/>
  <c r="T24" i="30"/>
  <c r="IU23" i="30"/>
  <c r="T23" i="30"/>
  <c r="W24" i="30"/>
  <c r="T22" i="30"/>
  <c r="W22" i="30"/>
  <c r="T12" i="30"/>
  <c r="T13" i="30"/>
  <c r="S13" i="30"/>
  <c r="T14" i="30"/>
  <c r="T15" i="30"/>
  <c r="S15" i="30"/>
  <c r="T16" i="30"/>
  <c r="T17" i="30"/>
  <c r="S17" i="30"/>
  <c r="T18" i="30"/>
  <c r="T19" i="30"/>
  <c r="S19" i="30"/>
  <c r="T20" i="30"/>
  <c r="T21" i="30"/>
  <c r="S21" i="30"/>
  <c r="W19" i="30"/>
  <c r="W17" i="30"/>
  <c r="W15" i="30"/>
  <c r="W13" i="30"/>
  <c r="W11" i="30"/>
  <c r="T11" i="30"/>
  <c r="S11" i="30"/>
  <c r="T10" i="30"/>
  <c r="W10" i="30"/>
  <c r="X10" i="30"/>
  <c r="T9" i="30"/>
  <c r="W9" i="30"/>
  <c r="X9" i="30"/>
  <c r="T8" i="30"/>
  <c r="T7" i="30"/>
  <c r="S7" i="30"/>
  <c r="T6" i="30"/>
  <c r="W6" i="30"/>
  <c r="W34" i="30"/>
  <c r="T4" i="30"/>
  <c r="T5" i="30"/>
  <c r="S5" i="30"/>
  <c r="T3" i="30"/>
  <c r="Q34" i="29"/>
  <c r="R34" i="29"/>
  <c r="G34" i="29"/>
  <c r="H34" i="29"/>
  <c r="B34" i="29"/>
  <c r="C34" i="29"/>
  <c r="W33" i="29"/>
  <c r="W34" i="29"/>
  <c r="S33" i="29"/>
  <c r="N33" i="29"/>
  <c r="D33" i="29"/>
  <c r="X32" i="29"/>
  <c r="T32" i="29"/>
  <c r="S32" i="29"/>
  <c r="N32" i="29"/>
  <c r="I32" i="29"/>
  <c r="D32" i="29"/>
  <c r="X31" i="29"/>
  <c r="T31" i="29"/>
  <c r="S31" i="29"/>
  <c r="N31" i="29"/>
  <c r="I31" i="29"/>
  <c r="X30" i="29"/>
  <c r="T30" i="29"/>
  <c r="S30" i="29"/>
  <c r="N30" i="29"/>
  <c r="I30" i="29"/>
  <c r="D30" i="29"/>
  <c r="X29" i="29"/>
  <c r="T29" i="29"/>
  <c r="S29" i="29"/>
  <c r="N29" i="29"/>
  <c r="M29" i="29"/>
  <c r="I29" i="29"/>
  <c r="D29" i="29"/>
  <c r="X28" i="29"/>
  <c r="T28" i="29"/>
  <c r="T34" i="29"/>
  <c r="S28" i="29"/>
  <c r="N28" i="29"/>
  <c r="I28" i="29"/>
  <c r="D28" i="29"/>
  <c r="X27" i="29"/>
  <c r="S27" i="29"/>
  <c r="N27" i="29"/>
  <c r="J27" i="29"/>
  <c r="I27" i="29"/>
  <c r="D27" i="29"/>
  <c r="X26" i="29"/>
  <c r="S26" i="29"/>
  <c r="M26" i="29"/>
  <c r="M34" i="29"/>
  <c r="J26" i="29"/>
  <c r="I26" i="29"/>
  <c r="D26" i="29"/>
  <c r="X25" i="29"/>
  <c r="S25" i="29"/>
  <c r="N25" i="29"/>
  <c r="J25" i="29"/>
  <c r="I25" i="29"/>
  <c r="X24" i="29"/>
  <c r="S24" i="29"/>
  <c r="N24" i="29"/>
  <c r="I24" i="29"/>
  <c r="X23" i="29"/>
  <c r="S23" i="29"/>
  <c r="N23" i="29"/>
  <c r="J23" i="29"/>
  <c r="I23" i="29"/>
  <c r="X22" i="29"/>
  <c r="S22" i="29"/>
  <c r="N22" i="29"/>
  <c r="J22" i="29"/>
  <c r="I22" i="29"/>
  <c r="X21" i="29"/>
  <c r="S21" i="29"/>
  <c r="N21" i="29"/>
  <c r="J21" i="29"/>
  <c r="D21" i="29"/>
  <c r="X20" i="29"/>
  <c r="S20" i="29"/>
  <c r="N20" i="29"/>
  <c r="I20" i="29"/>
  <c r="D20" i="29"/>
  <c r="X19" i="29"/>
  <c r="S19" i="29"/>
  <c r="N19" i="29"/>
  <c r="I19" i="29"/>
  <c r="D19" i="29"/>
  <c r="X18" i="29"/>
  <c r="S18" i="29"/>
  <c r="N18" i="29"/>
  <c r="I18" i="29"/>
  <c r="D18" i="29"/>
  <c r="X17" i="29"/>
  <c r="S17" i="29"/>
  <c r="N17" i="29"/>
  <c r="I17" i="29"/>
  <c r="X16" i="29"/>
  <c r="S16" i="29"/>
  <c r="N16" i="29"/>
  <c r="I16" i="29"/>
  <c r="X15" i="29"/>
  <c r="S15" i="29"/>
  <c r="N15" i="29"/>
  <c r="I15" i="29"/>
  <c r="X14" i="29"/>
  <c r="S14" i="29"/>
  <c r="N14" i="29"/>
  <c r="I14" i="29"/>
  <c r="X13" i="29"/>
  <c r="S13" i="29"/>
  <c r="N13" i="29"/>
  <c r="I13" i="29"/>
  <c r="X12" i="29"/>
  <c r="S12" i="29"/>
  <c r="N12" i="29"/>
  <c r="I12" i="29"/>
  <c r="X11" i="29"/>
  <c r="S11" i="29"/>
  <c r="N11" i="29"/>
  <c r="I11" i="29"/>
  <c r="X10" i="29"/>
  <c r="S10" i="29"/>
  <c r="N10" i="29"/>
  <c r="I10" i="29"/>
  <c r="X9" i="29"/>
  <c r="S9" i="29"/>
  <c r="N9" i="29"/>
  <c r="I9" i="29"/>
  <c r="X8" i="29"/>
  <c r="S8" i="29"/>
  <c r="N8" i="29"/>
  <c r="I8" i="29"/>
  <c r="X7" i="29"/>
  <c r="S7" i="29"/>
  <c r="N7" i="29"/>
  <c r="I7" i="29"/>
  <c r="X6" i="29"/>
  <c r="S6" i="29"/>
  <c r="N6" i="29"/>
  <c r="I6" i="29"/>
  <c r="X5" i="29"/>
  <c r="S5" i="29"/>
  <c r="N5" i="29"/>
  <c r="I5" i="29"/>
  <c r="X4" i="29"/>
  <c r="S4" i="29"/>
  <c r="N4" i="29"/>
  <c r="I4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X3" i="29"/>
  <c r="S3" i="29"/>
  <c r="R3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N3" i="29"/>
  <c r="I3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T34" i="30"/>
  <c r="Q34" i="30"/>
  <c r="R34" i="30"/>
  <c r="M34" i="30"/>
  <c r="J34" i="30"/>
  <c r="G34" i="30"/>
  <c r="H34" i="30"/>
  <c r="B34" i="30"/>
  <c r="C34" i="30"/>
  <c r="X33" i="30"/>
  <c r="S33" i="30"/>
  <c r="N33" i="30"/>
  <c r="X32" i="30"/>
  <c r="S32" i="30"/>
  <c r="N32" i="30"/>
  <c r="I32" i="30"/>
  <c r="X31" i="30"/>
  <c r="S31" i="30"/>
  <c r="N31" i="30"/>
  <c r="I31" i="30"/>
  <c r="X30" i="30"/>
  <c r="N30" i="30"/>
  <c r="I30" i="30"/>
  <c r="X29" i="30"/>
  <c r="S29" i="30"/>
  <c r="N29" i="30"/>
  <c r="I29" i="30"/>
  <c r="X28" i="30"/>
  <c r="S28" i="30"/>
  <c r="N28" i="30"/>
  <c r="I28" i="30"/>
  <c r="X27" i="30"/>
  <c r="S27" i="30"/>
  <c r="N27" i="30"/>
  <c r="I27" i="30"/>
  <c r="X26" i="30"/>
  <c r="N26" i="30"/>
  <c r="I26" i="30"/>
  <c r="X25" i="30"/>
  <c r="N25" i="30"/>
  <c r="I25" i="30"/>
  <c r="X24" i="30"/>
  <c r="S24" i="30"/>
  <c r="N24" i="30"/>
  <c r="I24" i="30"/>
  <c r="X23" i="30"/>
  <c r="S23" i="30"/>
  <c r="N23" i="30"/>
  <c r="I23" i="30"/>
  <c r="X22" i="30"/>
  <c r="S22" i="30"/>
  <c r="N22" i="30"/>
  <c r="I22" i="30"/>
  <c r="X21" i="30"/>
  <c r="N21" i="30"/>
  <c r="I21" i="30"/>
  <c r="X20" i="30"/>
  <c r="S20" i="30"/>
  <c r="N20" i="30"/>
  <c r="I20" i="30"/>
  <c r="X19" i="30"/>
  <c r="N19" i="30"/>
  <c r="I19" i="30"/>
  <c r="X18" i="30"/>
  <c r="S18" i="30"/>
  <c r="N18" i="30"/>
  <c r="I18" i="30"/>
  <c r="X17" i="30"/>
  <c r="N17" i="30"/>
  <c r="I17" i="30"/>
  <c r="X16" i="30"/>
  <c r="S16" i="30"/>
  <c r="N16" i="30"/>
  <c r="I16" i="30"/>
  <c r="X15" i="30"/>
  <c r="N15" i="30"/>
  <c r="I15" i="30"/>
  <c r="X14" i="30"/>
  <c r="S14" i="30"/>
  <c r="N14" i="30"/>
  <c r="I14" i="30"/>
  <c r="X13" i="30"/>
  <c r="N13" i="30"/>
  <c r="I13" i="30"/>
  <c r="X12" i="30"/>
  <c r="S12" i="30"/>
  <c r="N12" i="30"/>
  <c r="I12" i="30"/>
  <c r="X11" i="30"/>
  <c r="N11" i="30"/>
  <c r="I11" i="30"/>
  <c r="S10" i="30"/>
  <c r="N10" i="30"/>
  <c r="I10" i="30"/>
  <c r="S9" i="30"/>
  <c r="N9" i="30"/>
  <c r="I9" i="30"/>
  <c r="X8" i="30"/>
  <c r="S8" i="30"/>
  <c r="N8" i="30"/>
  <c r="I8" i="30"/>
  <c r="X7" i="30"/>
  <c r="N7" i="30"/>
  <c r="I7" i="30"/>
  <c r="X6" i="30"/>
  <c r="S6" i="30"/>
  <c r="N6" i="30"/>
  <c r="N34" i="30"/>
  <c r="I6" i="30"/>
  <c r="X5" i="30"/>
  <c r="N5" i="30"/>
  <c r="I5" i="30"/>
  <c r="X4" i="30"/>
  <c r="S4" i="30"/>
  <c r="N4" i="30"/>
  <c r="I4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X3" i="30"/>
  <c r="S3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N3" i="30"/>
  <c r="I3" i="30"/>
  <c r="I3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M17" i="28"/>
  <c r="N17" i="28"/>
  <c r="T10" i="28"/>
  <c r="T9" i="28"/>
  <c r="D8" i="28"/>
  <c r="D4" i="28"/>
  <c r="D3" i="28"/>
  <c r="W34" i="28"/>
  <c r="Q34" i="28"/>
  <c r="R34" i="28"/>
  <c r="J34" i="28"/>
  <c r="G34" i="28"/>
  <c r="H34" i="28"/>
  <c r="B34" i="28"/>
  <c r="C34" i="28"/>
  <c r="S33" i="28"/>
  <c r="N33" i="28"/>
  <c r="X32" i="28"/>
  <c r="S32" i="28"/>
  <c r="N32" i="28"/>
  <c r="I32" i="28"/>
  <c r="X31" i="28"/>
  <c r="S31" i="28"/>
  <c r="N31" i="28"/>
  <c r="I31" i="28"/>
  <c r="X30" i="28"/>
  <c r="S30" i="28"/>
  <c r="N30" i="28"/>
  <c r="I30" i="28"/>
  <c r="X29" i="28"/>
  <c r="S29" i="28"/>
  <c r="N29" i="28"/>
  <c r="I29" i="28"/>
  <c r="X28" i="28"/>
  <c r="S28" i="28"/>
  <c r="N28" i="28"/>
  <c r="I28" i="28"/>
  <c r="X27" i="28"/>
  <c r="S27" i="28"/>
  <c r="N27" i="28"/>
  <c r="I27" i="28"/>
  <c r="X26" i="28"/>
  <c r="S26" i="28"/>
  <c r="N26" i="28"/>
  <c r="I26" i="28"/>
  <c r="X25" i="28"/>
  <c r="S25" i="28"/>
  <c r="N25" i="28"/>
  <c r="I25" i="28"/>
  <c r="X24" i="28"/>
  <c r="S24" i="28"/>
  <c r="N24" i="28"/>
  <c r="I24" i="28"/>
  <c r="X23" i="28"/>
  <c r="N23" i="28"/>
  <c r="I23" i="28"/>
  <c r="X22" i="28"/>
  <c r="S22" i="28"/>
  <c r="N22" i="28"/>
  <c r="I22" i="28"/>
  <c r="X21" i="28"/>
  <c r="S21" i="28"/>
  <c r="N21" i="28"/>
  <c r="I21" i="28"/>
  <c r="X20" i="28"/>
  <c r="S20" i="28"/>
  <c r="N20" i="28"/>
  <c r="I20" i="28"/>
  <c r="X19" i="28"/>
  <c r="S19" i="28"/>
  <c r="N19" i="28"/>
  <c r="I19" i="28"/>
  <c r="X18" i="28"/>
  <c r="S18" i="28"/>
  <c r="N18" i="28"/>
  <c r="I18" i="28"/>
  <c r="X17" i="28"/>
  <c r="S17" i="28"/>
  <c r="I17" i="28"/>
  <c r="X16" i="28"/>
  <c r="S16" i="28"/>
  <c r="N16" i="28"/>
  <c r="I16" i="28"/>
  <c r="X15" i="28"/>
  <c r="S15" i="28"/>
  <c r="N15" i="28"/>
  <c r="I15" i="28"/>
  <c r="X14" i="28"/>
  <c r="S14" i="28"/>
  <c r="N14" i="28"/>
  <c r="I14" i="28"/>
  <c r="X13" i="28"/>
  <c r="S13" i="28"/>
  <c r="N13" i="28"/>
  <c r="I13" i="28"/>
  <c r="X12" i="28"/>
  <c r="S12" i="28"/>
  <c r="N12" i="28"/>
  <c r="I12" i="28"/>
  <c r="X11" i="28"/>
  <c r="S11" i="28"/>
  <c r="N11" i="28"/>
  <c r="I11" i="28"/>
  <c r="X10" i="28"/>
  <c r="S10" i="28"/>
  <c r="N10" i="28"/>
  <c r="I10" i="28"/>
  <c r="X9" i="28"/>
  <c r="N9" i="28"/>
  <c r="I9" i="28"/>
  <c r="X8" i="28"/>
  <c r="S8" i="28"/>
  <c r="N8" i="28"/>
  <c r="I8" i="28"/>
  <c r="X7" i="28"/>
  <c r="S7" i="28"/>
  <c r="N7" i="28"/>
  <c r="I7" i="28"/>
  <c r="X6" i="28"/>
  <c r="S6" i="28"/>
  <c r="N6" i="28"/>
  <c r="I6" i="28"/>
  <c r="X5" i="28"/>
  <c r="S5" i="28"/>
  <c r="N5" i="28"/>
  <c r="N34" i="28"/>
  <c r="I5" i="28"/>
  <c r="X4" i="28"/>
  <c r="X34" i="28"/>
  <c r="S4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N4" i="28"/>
  <c r="I4" i="28"/>
  <c r="I34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X3" i="28"/>
  <c r="S3" i="28"/>
  <c r="R3" i="28"/>
  <c r="N3" i="28"/>
  <c r="I3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E3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M33" i="27"/>
  <c r="N33" i="27"/>
  <c r="D26" i="27"/>
  <c r="T30" i="27"/>
  <c r="M30" i="27"/>
  <c r="N30" i="27"/>
  <c r="T29" i="27"/>
  <c r="T28" i="27"/>
  <c r="T27" i="27"/>
  <c r="M27" i="27"/>
  <c r="T26" i="27"/>
  <c r="T25" i="27"/>
  <c r="D25" i="27"/>
  <c r="T24" i="27"/>
  <c r="D24" i="27"/>
  <c r="T23" i="27"/>
  <c r="Q34" i="27"/>
  <c r="R34" i="27"/>
  <c r="D23" i="27"/>
  <c r="D22" i="27"/>
  <c r="S33" i="27"/>
  <c r="D21" i="27"/>
  <c r="B34" i="27"/>
  <c r="C34" i="27"/>
  <c r="D34" i="27"/>
  <c r="E34" i="27"/>
  <c r="W34" i="27"/>
  <c r="J34" i="27"/>
  <c r="G34" i="27"/>
  <c r="H34" i="27"/>
  <c r="X32" i="27"/>
  <c r="S32" i="27"/>
  <c r="N32" i="27"/>
  <c r="I32" i="27"/>
  <c r="X31" i="27"/>
  <c r="S31" i="27"/>
  <c r="N31" i="27"/>
  <c r="I31" i="27"/>
  <c r="X30" i="27"/>
  <c r="S30" i="27"/>
  <c r="I30" i="27"/>
  <c r="X29" i="27"/>
  <c r="S29" i="27"/>
  <c r="N29" i="27"/>
  <c r="I29" i="27"/>
  <c r="X28" i="27"/>
  <c r="S28" i="27"/>
  <c r="N28" i="27"/>
  <c r="I28" i="27"/>
  <c r="I34" i="27"/>
  <c r="X27" i="27"/>
  <c r="S27" i="27"/>
  <c r="I27" i="27"/>
  <c r="X26" i="27"/>
  <c r="S26" i="27"/>
  <c r="N26" i="27"/>
  <c r="I26" i="27"/>
  <c r="X25" i="27"/>
  <c r="S25" i="27"/>
  <c r="N25" i="27"/>
  <c r="I25" i="27"/>
  <c r="X24" i="27"/>
  <c r="S24" i="27"/>
  <c r="N24" i="27"/>
  <c r="I24" i="27"/>
  <c r="X23" i="27"/>
  <c r="N23" i="27"/>
  <c r="I23" i="27"/>
  <c r="X22" i="27"/>
  <c r="S22" i="27"/>
  <c r="N22" i="27"/>
  <c r="I22" i="27"/>
  <c r="X21" i="27"/>
  <c r="S21" i="27"/>
  <c r="N21" i="27"/>
  <c r="I21" i="27"/>
  <c r="X20" i="27"/>
  <c r="S20" i="27"/>
  <c r="N20" i="27"/>
  <c r="I20" i="27"/>
  <c r="X19" i="27"/>
  <c r="S19" i="27"/>
  <c r="N19" i="27"/>
  <c r="I19" i="27"/>
  <c r="X18" i="27"/>
  <c r="S18" i="27"/>
  <c r="N18" i="27"/>
  <c r="I18" i="27"/>
  <c r="X17" i="27"/>
  <c r="S17" i="27"/>
  <c r="N17" i="27"/>
  <c r="I17" i="27"/>
  <c r="X16" i="27"/>
  <c r="S16" i="27"/>
  <c r="N16" i="27"/>
  <c r="I16" i="27"/>
  <c r="X15" i="27"/>
  <c r="S15" i="27"/>
  <c r="N15" i="27"/>
  <c r="I15" i="27"/>
  <c r="X14" i="27"/>
  <c r="S14" i="27"/>
  <c r="N14" i="27"/>
  <c r="I14" i="27"/>
  <c r="X13" i="27"/>
  <c r="S13" i="27"/>
  <c r="N13" i="27"/>
  <c r="I13" i="27"/>
  <c r="X12" i="27"/>
  <c r="S12" i="27"/>
  <c r="N12" i="27"/>
  <c r="I12" i="27"/>
  <c r="X11" i="27"/>
  <c r="S11" i="27"/>
  <c r="N11" i="27"/>
  <c r="I11" i="27"/>
  <c r="X10" i="27"/>
  <c r="S10" i="27"/>
  <c r="N10" i="27"/>
  <c r="I10" i="27"/>
  <c r="X9" i="27"/>
  <c r="S9" i="27"/>
  <c r="N9" i="27"/>
  <c r="I9" i="27"/>
  <c r="X8" i="27"/>
  <c r="S8" i="27"/>
  <c r="N8" i="27"/>
  <c r="I8" i="27"/>
  <c r="X7" i="27"/>
  <c r="S7" i="27"/>
  <c r="N7" i="27"/>
  <c r="I7" i="27"/>
  <c r="X6" i="27"/>
  <c r="S6" i="27"/>
  <c r="N6" i="27"/>
  <c r="I6" i="27"/>
  <c r="X5" i="27"/>
  <c r="S5" i="27"/>
  <c r="N5" i="27"/>
  <c r="I5" i="27"/>
  <c r="X4" i="27"/>
  <c r="N4" i="27"/>
  <c r="I4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X3" i="27"/>
  <c r="S3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N3" i="27"/>
  <c r="I3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M26" i="26"/>
  <c r="T22" i="26"/>
  <c r="T20" i="26"/>
  <c r="T18" i="26"/>
  <c r="S18" i="26"/>
  <c r="D18" i="26"/>
  <c r="T17" i="26"/>
  <c r="S17" i="26"/>
  <c r="S33" i="26"/>
  <c r="D17" i="26"/>
  <c r="M16" i="26"/>
  <c r="N16" i="26"/>
  <c r="D16" i="26"/>
  <c r="D15" i="26"/>
  <c r="T5" i="26"/>
  <c r="M5" i="26"/>
  <c r="T4" i="26"/>
  <c r="B33" i="26"/>
  <c r="C33" i="26"/>
  <c r="W33" i="26"/>
  <c r="Q33" i="26"/>
  <c r="R33" i="26"/>
  <c r="J33" i="26"/>
  <c r="H33" i="26"/>
  <c r="G33" i="26"/>
  <c r="X32" i="26"/>
  <c r="S32" i="26"/>
  <c r="N32" i="26"/>
  <c r="I32" i="26"/>
  <c r="X31" i="26"/>
  <c r="S31" i="26"/>
  <c r="N31" i="26"/>
  <c r="I31" i="26"/>
  <c r="X30" i="26"/>
  <c r="S30" i="26"/>
  <c r="N30" i="26"/>
  <c r="I30" i="26"/>
  <c r="X29" i="26"/>
  <c r="S29" i="26"/>
  <c r="I29" i="26"/>
  <c r="X28" i="26"/>
  <c r="S28" i="26"/>
  <c r="N28" i="26"/>
  <c r="I28" i="26"/>
  <c r="X27" i="26"/>
  <c r="S27" i="26"/>
  <c r="N27" i="26"/>
  <c r="I27" i="26"/>
  <c r="X26" i="26"/>
  <c r="S26" i="26"/>
  <c r="N26" i="26"/>
  <c r="I26" i="26"/>
  <c r="X25" i="26"/>
  <c r="S25" i="26"/>
  <c r="N25" i="26"/>
  <c r="I25" i="26"/>
  <c r="X24" i="26"/>
  <c r="S24" i="26"/>
  <c r="N24" i="26"/>
  <c r="I24" i="26"/>
  <c r="X23" i="26"/>
  <c r="S23" i="26"/>
  <c r="N23" i="26"/>
  <c r="I23" i="26"/>
  <c r="X22" i="26"/>
  <c r="S22" i="26"/>
  <c r="N22" i="26"/>
  <c r="I22" i="26"/>
  <c r="X21" i="26"/>
  <c r="S21" i="26"/>
  <c r="N21" i="26"/>
  <c r="I21" i="26"/>
  <c r="X20" i="26"/>
  <c r="S20" i="26"/>
  <c r="N20" i="26"/>
  <c r="I20" i="26"/>
  <c r="X19" i="26"/>
  <c r="S19" i="26"/>
  <c r="N19" i="26"/>
  <c r="I19" i="26"/>
  <c r="X18" i="26"/>
  <c r="N18" i="26"/>
  <c r="I18" i="26"/>
  <c r="X17" i="26"/>
  <c r="X33" i="26"/>
  <c r="N17" i="26"/>
  <c r="I17" i="26"/>
  <c r="X16" i="26"/>
  <c r="S16" i="26"/>
  <c r="I16" i="26"/>
  <c r="X15" i="26"/>
  <c r="S15" i="26"/>
  <c r="N15" i="26"/>
  <c r="I15" i="26"/>
  <c r="X14" i="26"/>
  <c r="S14" i="26"/>
  <c r="N14" i="26"/>
  <c r="I14" i="26"/>
  <c r="X13" i="26"/>
  <c r="S13" i="26"/>
  <c r="N13" i="26"/>
  <c r="I13" i="26"/>
  <c r="X12" i="26"/>
  <c r="S12" i="26"/>
  <c r="N12" i="26"/>
  <c r="I12" i="26"/>
  <c r="X11" i="26"/>
  <c r="S11" i="26"/>
  <c r="N11" i="26"/>
  <c r="I11" i="26"/>
  <c r="X10" i="26"/>
  <c r="S10" i="26"/>
  <c r="N10" i="26"/>
  <c r="I10" i="26"/>
  <c r="X9" i="26"/>
  <c r="S9" i="26"/>
  <c r="N9" i="26"/>
  <c r="I9" i="26"/>
  <c r="X8" i="26"/>
  <c r="S8" i="26"/>
  <c r="N8" i="26"/>
  <c r="I8" i="26"/>
  <c r="X7" i="26"/>
  <c r="S7" i="26"/>
  <c r="N7" i="26"/>
  <c r="I7" i="26"/>
  <c r="X6" i="26"/>
  <c r="S6" i="26"/>
  <c r="N6" i="26"/>
  <c r="I6" i="26"/>
  <c r="X5" i="26"/>
  <c r="S5" i="26"/>
  <c r="I5" i="26"/>
  <c r="X4" i="26"/>
  <c r="S4" i="26"/>
  <c r="N4" i="26"/>
  <c r="I4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X3" i="26"/>
  <c r="S3" i="26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N3" i="26"/>
  <c r="I3" i="26"/>
  <c r="I33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E3" i="26"/>
  <c r="E4" i="26"/>
  <c r="E5" i="26"/>
  <c r="E6" i="26"/>
  <c r="E7" i="26"/>
  <c r="E8" i="26"/>
  <c r="E9" i="26"/>
  <c r="E10" i="26"/>
  <c r="E11" i="26"/>
  <c r="E12" i="26"/>
  <c r="E13" i="26"/>
  <c r="E14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N32" i="25"/>
  <c r="M33" i="25"/>
  <c r="S26" i="25"/>
  <c r="S27" i="25"/>
  <c r="S30" i="25"/>
  <c r="S33" i="25"/>
  <c r="T32" i="25"/>
  <c r="S32" i="25"/>
  <c r="T31" i="25"/>
  <c r="S31" i="25"/>
  <c r="D31" i="25"/>
  <c r="M30" i="25"/>
  <c r="N30" i="25"/>
  <c r="T30" i="25"/>
  <c r="D30" i="25"/>
  <c r="T29" i="25"/>
  <c r="S29" i="25"/>
  <c r="D29" i="25"/>
  <c r="M29" i="25"/>
  <c r="M34" i="25"/>
  <c r="T28" i="25"/>
  <c r="T34" i="25"/>
  <c r="D28" i="25"/>
  <c r="D27" i="25"/>
  <c r="D26" i="25"/>
  <c r="D25" i="25"/>
  <c r="D24" i="25"/>
  <c r="D34" i="25"/>
  <c r="E34" i="25"/>
  <c r="B34" i="25"/>
  <c r="C34" i="25"/>
  <c r="W34" i="25"/>
  <c r="Q34" i="25"/>
  <c r="R34" i="25"/>
  <c r="J34" i="25"/>
  <c r="H34" i="25"/>
  <c r="G34" i="25"/>
  <c r="N33" i="25"/>
  <c r="X32" i="25"/>
  <c r="I32" i="25"/>
  <c r="X31" i="25"/>
  <c r="N31" i="25"/>
  <c r="I31" i="25"/>
  <c r="X30" i="25"/>
  <c r="I30" i="25"/>
  <c r="X29" i="25"/>
  <c r="N29" i="25"/>
  <c r="I29" i="25"/>
  <c r="X28" i="25"/>
  <c r="N28" i="25"/>
  <c r="I28" i="25"/>
  <c r="X27" i="25"/>
  <c r="N27" i="25"/>
  <c r="I27" i="25"/>
  <c r="X26" i="25"/>
  <c r="N26" i="25"/>
  <c r="I26" i="25"/>
  <c r="X25" i="25"/>
  <c r="S25" i="25"/>
  <c r="N25" i="25"/>
  <c r="I25" i="25"/>
  <c r="X24" i="25"/>
  <c r="S24" i="25"/>
  <c r="I24" i="25"/>
  <c r="X23" i="25"/>
  <c r="S23" i="25"/>
  <c r="N23" i="25"/>
  <c r="I23" i="25"/>
  <c r="X22" i="25"/>
  <c r="S22" i="25"/>
  <c r="N22" i="25"/>
  <c r="I22" i="25"/>
  <c r="X21" i="25"/>
  <c r="S21" i="25"/>
  <c r="N21" i="25"/>
  <c r="I21" i="25"/>
  <c r="X20" i="25"/>
  <c r="S20" i="25"/>
  <c r="N20" i="25"/>
  <c r="I20" i="25"/>
  <c r="X19" i="25"/>
  <c r="S19" i="25"/>
  <c r="N19" i="25"/>
  <c r="I19" i="25"/>
  <c r="X18" i="25"/>
  <c r="S18" i="25"/>
  <c r="N18" i="25"/>
  <c r="I18" i="25"/>
  <c r="X17" i="25"/>
  <c r="S17" i="25"/>
  <c r="N17" i="25"/>
  <c r="I17" i="25"/>
  <c r="X16" i="25"/>
  <c r="S16" i="25"/>
  <c r="N16" i="25"/>
  <c r="I16" i="25"/>
  <c r="X15" i="25"/>
  <c r="S15" i="25"/>
  <c r="N15" i="25"/>
  <c r="I15" i="25"/>
  <c r="X14" i="25"/>
  <c r="S14" i="25"/>
  <c r="N14" i="25"/>
  <c r="I14" i="25"/>
  <c r="X13" i="25"/>
  <c r="S13" i="25"/>
  <c r="N13" i="25"/>
  <c r="I13" i="25"/>
  <c r="X12" i="25"/>
  <c r="S12" i="25"/>
  <c r="N12" i="25"/>
  <c r="I12" i="25"/>
  <c r="X11" i="25"/>
  <c r="S11" i="25"/>
  <c r="N11" i="25"/>
  <c r="I11" i="25"/>
  <c r="X10" i="25"/>
  <c r="S10" i="25"/>
  <c r="N10" i="25"/>
  <c r="I10" i="25"/>
  <c r="X9" i="25"/>
  <c r="S9" i="25"/>
  <c r="N9" i="25"/>
  <c r="I9" i="25"/>
  <c r="X8" i="25"/>
  <c r="S8" i="25"/>
  <c r="N8" i="25"/>
  <c r="I8" i="25"/>
  <c r="X7" i="25"/>
  <c r="S7" i="25"/>
  <c r="N7" i="25"/>
  <c r="I7" i="25"/>
  <c r="X6" i="25"/>
  <c r="S6" i="25"/>
  <c r="N6" i="25"/>
  <c r="I6" i="25"/>
  <c r="X5" i="25"/>
  <c r="S5" i="25"/>
  <c r="N5" i="25"/>
  <c r="I5" i="25"/>
  <c r="X4" i="25"/>
  <c r="S4" i="25"/>
  <c r="N4" i="25"/>
  <c r="I4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X3" i="25"/>
  <c r="X34" i="25"/>
  <c r="S3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N3" i="25"/>
  <c r="N34" i="25"/>
  <c r="I3" i="25"/>
  <c r="I34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M32" i="24"/>
  <c r="T29" i="24"/>
  <c r="S29" i="24"/>
  <c r="T28" i="24"/>
  <c r="T27" i="24"/>
  <c r="S27" i="24"/>
  <c r="M26" i="24"/>
  <c r="T26" i="24"/>
  <c r="S26" i="24"/>
  <c r="T25" i="24"/>
  <c r="M24" i="24"/>
  <c r="T24" i="24"/>
  <c r="S24" i="24"/>
  <c r="T23" i="24"/>
  <c r="T22" i="24"/>
  <c r="T21" i="24"/>
  <c r="T20" i="24"/>
  <c r="D20" i="24"/>
  <c r="T19" i="24"/>
  <c r="D19" i="24"/>
  <c r="T18" i="24"/>
  <c r="D18" i="24"/>
  <c r="T17" i="24"/>
  <c r="T34" i="24"/>
  <c r="D17" i="24"/>
  <c r="D16" i="24"/>
  <c r="D15" i="24"/>
  <c r="D14" i="24"/>
  <c r="D13" i="24"/>
  <c r="D34" i="24"/>
  <c r="D12" i="24"/>
  <c r="Q34" i="24"/>
  <c r="R34" i="24"/>
  <c r="M34" i="24"/>
  <c r="B34" i="24"/>
  <c r="C34" i="24"/>
  <c r="W34" i="24"/>
  <c r="J34" i="24"/>
  <c r="G34" i="24"/>
  <c r="H34" i="24"/>
  <c r="S33" i="24"/>
  <c r="N33" i="24"/>
  <c r="X32" i="24"/>
  <c r="S32" i="24"/>
  <c r="N32" i="24"/>
  <c r="I32" i="24"/>
  <c r="X31" i="24"/>
  <c r="S31" i="24"/>
  <c r="N31" i="24"/>
  <c r="I31" i="24"/>
  <c r="X30" i="24"/>
  <c r="S30" i="24"/>
  <c r="N30" i="24"/>
  <c r="I30" i="24"/>
  <c r="X29" i="24"/>
  <c r="N29" i="24"/>
  <c r="I29" i="24"/>
  <c r="X28" i="24"/>
  <c r="S28" i="24"/>
  <c r="N28" i="24"/>
  <c r="I28" i="24"/>
  <c r="X27" i="24"/>
  <c r="N27" i="24"/>
  <c r="I27" i="24"/>
  <c r="X26" i="24"/>
  <c r="N26" i="24"/>
  <c r="I26" i="24"/>
  <c r="X25" i="24"/>
  <c r="S25" i="24"/>
  <c r="N25" i="24"/>
  <c r="N34" i="24"/>
  <c r="I25" i="24"/>
  <c r="X24" i="24"/>
  <c r="N24" i="24"/>
  <c r="I24" i="24"/>
  <c r="X23" i="24"/>
  <c r="S23" i="24"/>
  <c r="N23" i="24"/>
  <c r="I23" i="24"/>
  <c r="X22" i="24"/>
  <c r="S22" i="24"/>
  <c r="N22" i="24"/>
  <c r="I22" i="24"/>
  <c r="X21" i="24"/>
  <c r="S21" i="24"/>
  <c r="N21" i="24"/>
  <c r="I21" i="24"/>
  <c r="X20" i="24"/>
  <c r="S20" i="24"/>
  <c r="N20" i="24"/>
  <c r="I20" i="24"/>
  <c r="X19" i="24"/>
  <c r="S19" i="24"/>
  <c r="N19" i="24"/>
  <c r="I19" i="24"/>
  <c r="X18" i="24"/>
  <c r="S18" i="24"/>
  <c r="N18" i="24"/>
  <c r="I18" i="24"/>
  <c r="X17" i="24"/>
  <c r="S17" i="24"/>
  <c r="N17" i="24"/>
  <c r="I17" i="24"/>
  <c r="X16" i="24"/>
  <c r="S16" i="24"/>
  <c r="N16" i="24"/>
  <c r="I16" i="24"/>
  <c r="X15" i="24"/>
  <c r="S15" i="24"/>
  <c r="N15" i="24"/>
  <c r="I15" i="24"/>
  <c r="X14" i="24"/>
  <c r="S14" i="24"/>
  <c r="N14" i="24"/>
  <c r="I14" i="24"/>
  <c r="X13" i="24"/>
  <c r="S13" i="24"/>
  <c r="N13" i="24"/>
  <c r="I13" i="24"/>
  <c r="X12" i="24"/>
  <c r="S12" i="24"/>
  <c r="N12" i="24"/>
  <c r="I12" i="24"/>
  <c r="X11" i="24"/>
  <c r="S11" i="24"/>
  <c r="N11" i="24"/>
  <c r="I11" i="24"/>
  <c r="X10" i="24"/>
  <c r="S10" i="24"/>
  <c r="N10" i="24"/>
  <c r="I10" i="24"/>
  <c r="X9" i="24"/>
  <c r="S9" i="24"/>
  <c r="N9" i="24"/>
  <c r="I9" i="24"/>
  <c r="X8" i="24"/>
  <c r="S8" i="24"/>
  <c r="N8" i="24"/>
  <c r="I8" i="24"/>
  <c r="X7" i="24"/>
  <c r="S7" i="24"/>
  <c r="N7" i="24"/>
  <c r="I7" i="24"/>
  <c r="X6" i="24"/>
  <c r="S6" i="24"/>
  <c r="N6" i="24"/>
  <c r="I6" i="24"/>
  <c r="X5" i="24"/>
  <c r="S5" i="24"/>
  <c r="N5" i="24"/>
  <c r="I5" i="24"/>
  <c r="X4" i="24"/>
  <c r="S4" i="24"/>
  <c r="N4" i="24"/>
  <c r="I4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X3" i="24"/>
  <c r="X34" i="24"/>
  <c r="S3" i="24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N3" i="24"/>
  <c r="I3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M20" i="23"/>
  <c r="T19" i="23"/>
  <c r="S19" i="23"/>
  <c r="T17" i="23"/>
  <c r="T16" i="23"/>
  <c r="S16" i="23"/>
  <c r="M15" i="23"/>
  <c r="T15" i="23"/>
  <c r="S15" i="23"/>
  <c r="T14" i="23"/>
  <c r="T13" i="23"/>
  <c r="S13" i="23"/>
  <c r="M12" i="23"/>
  <c r="T11" i="23"/>
  <c r="T12" i="23"/>
  <c r="S12" i="23"/>
  <c r="T10" i="23"/>
  <c r="T9" i="23"/>
  <c r="S9" i="23"/>
  <c r="D9" i="23"/>
  <c r="D8" i="23"/>
  <c r="D7" i="23"/>
  <c r="T6" i="23"/>
  <c r="S6" i="23"/>
  <c r="D6" i="23"/>
  <c r="D5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D4" i="23"/>
  <c r="D3" i="23"/>
  <c r="D34" i="23"/>
  <c r="W34" i="23"/>
  <c r="Q34" i="23"/>
  <c r="R34" i="23"/>
  <c r="J34" i="23"/>
  <c r="G34" i="23"/>
  <c r="H34" i="23"/>
  <c r="B34" i="23"/>
  <c r="C34" i="23"/>
  <c r="S33" i="23"/>
  <c r="N33" i="23"/>
  <c r="X32" i="23"/>
  <c r="S32" i="23"/>
  <c r="N32" i="23"/>
  <c r="I32" i="23"/>
  <c r="X31" i="23"/>
  <c r="S31" i="23"/>
  <c r="N31" i="23"/>
  <c r="I31" i="23"/>
  <c r="X30" i="23"/>
  <c r="S30" i="23"/>
  <c r="N30" i="23"/>
  <c r="I30" i="23"/>
  <c r="X29" i="23"/>
  <c r="S29" i="23"/>
  <c r="N29" i="23"/>
  <c r="I29" i="23"/>
  <c r="X28" i="23"/>
  <c r="S28" i="23"/>
  <c r="N28" i="23"/>
  <c r="I28" i="23"/>
  <c r="X27" i="23"/>
  <c r="S27" i="23"/>
  <c r="N27" i="23"/>
  <c r="I27" i="23"/>
  <c r="X26" i="23"/>
  <c r="S26" i="23"/>
  <c r="N26" i="23"/>
  <c r="I26" i="23"/>
  <c r="X25" i="23"/>
  <c r="S25" i="23"/>
  <c r="N25" i="23"/>
  <c r="I25" i="23"/>
  <c r="X24" i="23"/>
  <c r="S24" i="23"/>
  <c r="N24" i="23"/>
  <c r="I24" i="23"/>
  <c r="X23" i="23"/>
  <c r="S23" i="23"/>
  <c r="N23" i="23"/>
  <c r="I23" i="23"/>
  <c r="X22" i="23"/>
  <c r="S22" i="23"/>
  <c r="N22" i="23"/>
  <c r="I22" i="23"/>
  <c r="X21" i="23"/>
  <c r="S21" i="23"/>
  <c r="N21" i="23"/>
  <c r="I21" i="23"/>
  <c r="X20" i="23"/>
  <c r="S20" i="23"/>
  <c r="N20" i="23"/>
  <c r="I20" i="23"/>
  <c r="X19" i="23"/>
  <c r="N19" i="23"/>
  <c r="I19" i="23"/>
  <c r="X18" i="23"/>
  <c r="S18" i="23"/>
  <c r="N18" i="23"/>
  <c r="I18" i="23"/>
  <c r="X17" i="23"/>
  <c r="S17" i="23"/>
  <c r="N17" i="23"/>
  <c r="I17" i="23"/>
  <c r="X16" i="23"/>
  <c r="N16" i="23"/>
  <c r="I16" i="23"/>
  <c r="X15" i="23"/>
  <c r="N15" i="23"/>
  <c r="I15" i="23"/>
  <c r="X14" i="23"/>
  <c r="S14" i="23"/>
  <c r="N14" i="23"/>
  <c r="I14" i="23"/>
  <c r="X13" i="23"/>
  <c r="N13" i="23"/>
  <c r="I13" i="23"/>
  <c r="X12" i="23"/>
  <c r="N12" i="23"/>
  <c r="I12" i="23"/>
  <c r="X11" i="23"/>
  <c r="S11" i="23"/>
  <c r="N11" i="23"/>
  <c r="M34" i="23"/>
  <c r="I11" i="23"/>
  <c r="X10" i="23"/>
  <c r="S10" i="23"/>
  <c r="N10" i="23"/>
  <c r="I10" i="23"/>
  <c r="X9" i="23"/>
  <c r="N9" i="23"/>
  <c r="I9" i="23"/>
  <c r="X8" i="23"/>
  <c r="S8" i="23"/>
  <c r="N8" i="23"/>
  <c r="I8" i="23"/>
  <c r="X7" i="23"/>
  <c r="S7" i="23"/>
  <c r="N7" i="23"/>
  <c r="I7" i="23"/>
  <c r="X6" i="23"/>
  <c r="N6" i="23"/>
  <c r="I6" i="23"/>
  <c r="X5" i="23"/>
  <c r="S5" i="23"/>
  <c r="N5" i="23"/>
  <c r="I5" i="23"/>
  <c r="X4" i="23"/>
  <c r="S4" i="23"/>
  <c r="N4" i="23"/>
  <c r="I4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X3" i="23"/>
  <c r="S3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N3" i="23"/>
  <c r="I3" i="23"/>
  <c r="I34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E3" i="23"/>
  <c r="M32" i="22"/>
  <c r="M22" i="22"/>
  <c r="N22" i="22"/>
  <c r="T20" i="22"/>
  <c r="T18" i="22"/>
  <c r="D14" i="22"/>
  <c r="D13" i="22"/>
  <c r="D12" i="22"/>
  <c r="D11" i="22"/>
  <c r="D10" i="22"/>
  <c r="D9" i="22"/>
  <c r="D8" i="22"/>
  <c r="M11" i="22"/>
  <c r="N11" i="22"/>
  <c r="S33" i="22"/>
  <c r="N33" i="22"/>
  <c r="N32" i="22"/>
  <c r="N31" i="22"/>
  <c r="N30" i="22"/>
  <c r="N29" i="22"/>
  <c r="N28" i="22"/>
  <c r="N27" i="22"/>
  <c r="N26" i="22"/>
  <c r="N25" i="22"/>
  <c r="N24" i="22"/>
  <c r="N23" i="22"/>
  <c r="N8" i="22"/>
  <c r="N7" i="22"/>
  <c r="N3" i="22"/>
  <c r="M34" i="22"/>
  <c r="B34" i="22"/>
  <c r="C34" i="22"/>
  <c r="T34" i="22"/>
  <c r="Q34" i="22"/>
  <c r="R34" i="22"/>
  <c r="C34" i="21"/>
  <c r="B34" i="21"/>
  <c r="W34" i="22"/>
  <c r="J34" i="22"/>
  <c r="G34" i="22"/>
  <c r="H34" i="22"/>
  <c r="X32" i="22"/>
  <c r="S32" i="22"/>
  <c r="I32" i="22"/>
  <c r="X31" i="22"/>
  <c r="S31" i="22"/>
  <c r="I31" i="22"/>
  <c r="X30" i="22"/>
  <c r="S30" i="22"/>
  <c r="I30" i="22"/>
  <c r="X29" i="22"/>
  <c r="S29" i="22"/>
  <c r="I29" i="22"/>
  <c r="X28" i="22"/>
  <c r="S28" i="22"/>
  <c r="I28" i="22"/>
  <c r="X27" i="22"/>
  <c r="S27" i="22"/>
  <c r="I27" i="22"/>
  <c r="X26" i="22"/>
  <c r="S26" i="22"/>
  <c r="I26" i="22"/>
  <c r="X25" i="22"/>
  <c r="S25" i="22"/>
  <c r="I25" i="22"/>
  <c r="X24" i="22"/>
  <c r="S24" i="22"/>
  <c r="I24" i="22"/>
  <c r="X23" i="22"/>
  <c r="S23" i="22"/>
  <c r="I23" i="22"/>
  <c r="X22" i="22"/>
  <c r="S22" i="22"/>
  <c r="I22" i="22"/>
  <c r="X21" i="22"/>
  <c r="S21" i="22"/>
  <c r="N21" i="22"/>
  <c r="I21" i="22"/>
  <c r="X20" i="22"/>
  <c r="S20" i="22"/>
  <c r="N20" i="22"/>
  <c r="I20" i="22"/>
  <c r="X19" i="22"/>
  <c r="S19" i="22"/>
  <c r="N19" i="22"/>
  <c r="I19" i="22"/>
  <c r="X18" i="22"/>
  <c r="S18" i="22"/>
  <c r="N18" i="22"/>
  <c r="I18" i="22"/>
  <c r="X17" i="22"/>
  <c r="S17" i="22"/>
  <c r="N17" i="22"/>
  <c r="I17" i="22"/>
  <c r="X16" i="22"/>
  <c r="S16" i="22"/>
  <c r="N16" i="22"/>
  <c r="I16" i="22"/>
  <c r="X15" i="22"/>
  <c r="S15" i="22"/>
  <c r="N15" i="22"/>
  <c r="I15" i="22"/>
  <c r="X14" i="22"/>
  <c r="S14" i="22"/>
  <c r="N14" i="22"/>
  <c r="I14" i="22"/>
  <c r="X13" i="22"/>
  <c r="S13" i="22"/>
  <c r="N13" i="22"/>
  <c r="I13" i="22"/>
  <c r="X12" i="22"/>
  <c r="S12" i="22"/>
  <c r="N12" i="22"/>
  <c r="I12" i="22"/>
  <c r="X11" i="22"/>
  <c r="S11" i="22"/>
  <c r="I11" i="22"/>
  <c r="X10" i="22"/>
  <c r="S10" i="22"/>
  <c r="I10" i="22"/>
  <c r="X9" i="22"/>
  <c r="S9" i="22"/>
  <c r="N9" i="22"/>
  <c r="I9" i="22"/>
  <c r="X8" i="22"/>
  <c r="S8" i="22"/>
  <c r="I8" i="22"/>
  <c r="X7" i="22"/>
  <c r="S7" i="22"/>
  <c r="I7" i="22"/>
  <c r="X6" i="22"/>
  <c r="S6" i="22"/>
  <c r="N6" i="22"/>
  <c r="I6" i="22"/>
  <c r="X5" i="22"/>
  <c r="S5" i="22"/>
  <c r="N5" i="22"/>
  <c r="I5" i="22"/>
  <c r="X4" i="22"/>
  <c r="S4" i="22"/>
  <c r="N4" i="22"/>
  <c r="I4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X3" i="22"/>
  <c r="X34" i="22"/>
  <c r="S3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I3" i="22"/>
  <c r="I34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E3" i="22"/>
  <c r="E4" i="22"/>
  <c r="E5" i="22"/>
  <c r="E6" i="22"/>
  <c r="E7" i="22"/>
  <c r="E8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D33" i="21"/>
  <c r="T32" i="21"/>
  <c r="S32" i="21"/>
  <c r="D32" i="21"/>
  <c r="T31" i="21"/>
  <c r="S31" i="21"/>
  <c r="D31" i="21"/>
  <c r="D28" i="21"/>
  <c r="D27" i="21"/>
  <c r="D26" i="21"/>
  <c r="D34" i="21"/>
  <c r="E34" i="21"/>
  <c r="M16" i="21"/>
  <c r="M10" i="21"/>
  <c r="M34" i="21"/>
  <c r="T3" i="21"/>
  <c r="S25" i="21"/>
  <c r="S24" i="21"/>
  <c r="S23" i="21"/>
  <c r="S22" i="21"/>
  <c r="S21" i="21"/>
  <c r="S20" i="21"/>
  <c r="S19" i="21"/>
  <c r="S18" i="21"/>
  <c r="S17" i="21"/>
  <c r="S16" i="21"/>
  <c r="S15" i="21"/>
  <c r="S14" i="21"/>
  <c r="S13" i="21"/>
  <c r="S12" i="21"/>
  <c r="S11" i="21"/>
  <c r="S10" i="21"/>
  <c r="S9" i="21"/>
  <c r="S8" i="21"/>
  <c r="S7" i="21"/>
  <c r="S6" i="21"/>
  <c r="S5" i="21"/>
  <c r="S4" i="21"/>
  <c r="S3" i="21"/>
  <c r="S34" i="21"/>
  <c r="Q34" i="21"/>
  <c r="R34" i="21"/>
  <c r="J34" i="21"/>
  <c r="G34" i="21"/>
  <c r="H34" i="21"/>
  <c r="X33" i="21"/>
  <c r="S33" i="21"/>
  <c r="N33" i="21"/>
  <c r="I33" i="21"/>
  <c r="X32" i="21"/>
  <c r="N32" i="21"/>
  <c r="I32" i="21"/>
  <c r="X31" i="21"/>
  <c r="X34" i="21"/>
  <c r="N31" i="21"/>
  <c r="I31" i="21"/>
  <c r="X30" i="21"/>
  <c r="S30" i="21"/>
  <c r="N30" i="21"/>
  <c r="I30" i="21"/>
  <c r="X29" i="21"/>
  <c r="S29" i="21"/>
  <c r="N29" i="21"/>
  <c r="I29" i="21"/>
  <c r="X28" i="21"/>
  <c r="S28" i="21"/>
  <c r="N28" i="21"/>
  <c r="I28" i="21"/>
  <c r="X27" i="21"/>
  <c r="S27" i="21"/>
  <c r="N27" i="21"/>
  <c r="I27" i="21"/>
  <c r="X26" i="21"/>
  <c r="S26" i="21"/>
  <c r="N26" i="21"/>
  <c r="I26" i="21"/>
  <c r="X25" i="21"/>
  <c r="N25" i="21"/>
  <c r="I25" i="21"/>
  <c r="X24" i="21"/>
  <c r="N24" i="21"/>
  <c r="I24" i="21"/>
  <c r="X23" i="21"/>
  <c r="N23" i="21"/>
  <c r="I23" i="21"/>
  <c r="X22" i="21"/>
  <c r="N22" i="21"/>
  <c r="I22" i="21"/>
  <c r="X21" i="21"/>
  <c r="N21" i="21"/>
  <c r="I21" i="21"/>
  <c r="X20" i="21"/>
  <c r="N20" i="21"/>
  <c r="I20" i="21"/>
  <c r="X19" i="21"/>
  <c r="N19" i="21"/>
  <c r="I19" i="21"/>
  <c r="X18" i="21"/>
  <c r="N18" i="21"/>
  <c r="I18" i="21"/>
  <c r="X17" i="21"/>
  <c r="N17" i="21"/>
  <c r="I17" i="21"/>
  <c r="X16" i="21"/>
  <c r="N16" i="21"/>
  <c r="I16" i="21"/>
  <c r="X15" i="21"/>
  <c r="N15" i="21"/>
  <c r="I15" i="21"/>
  <c r="X14" i="21"/>
  <c r="N14" i="21"/>
  <c r="I14" i="21"/>
  <c r="X13" i="21"/>
  <c r="N13" i="21"/>
  <c r="I13" i="21"/>
  <c r="X12" i="21"/>
  <c r="N12" i="21"/>
  <c r="I12" i="21"/>
  <c r="X11" i="21"/>
  <c r="N11" i="21"/>
  <c r="I11" i="21"/>
  <c r="X10" i="21"/>
  <c r="I10" i="21"/>
  <c r="X9" i="21"/>
  <c r="N9" i="21"/>
  <c r="I9" i="21"/>
  <c r="X8" i="21"/>
  <c r="N8" i="21"/>
  <c r="I8" i="21"/>
  <c r="X7" i="21"/>
  <c r="W34" i="21"/>
  <c r="N7" i="21"/>
  <c r="I7" i="21"/>
  <c r="X6" i="21"/>
  <c r="N6" i="21"/>
  <c r="I6" i="21"/>
  <c r="X5" i="21"/>
  <c r="N5" i="21"/>
  <c r="I5" i="21"/>
  <c r="X4" i="21"/>
  <c r="N4" i="21"/>
  <c r="I4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X3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N3" i="21"/>
  <c r="I3" i="21"/>
  <c r="I34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T30" i="20"/>
  <c r="S30" i="20"/>
  <c r="T29" i="20"/>
  <c r="S25" i="20"/>
  <c r="S27" i="20"/>
  <c r="S29" i="20"/>
  <c r="M28" i="20"/>
  <c r="W25" i="20"/>
  <c r="X25" i="20"/>
  <c r="W7" i="20"/>
  <c r="T28" i="20"/>
  <c r="S28" i="20"/>
  <c r="T27" i="20"/>
  <c r="T26" i="20"/>
  <c r="S26" i="20"/>
  <c r="T25" i="20"/>
  <c r="D28" i="20"/>
  <c r="D27" i="20"/>
  <c r="D26" i="20"/>
  <c r="D25" i="20"/>
  <c r="T24" i="20"/>
  <c r="S24" i="20"/>
  <c r="D24" i="20"/>
  <c r="D23" i="20"/>
  <c r="T22" i="20"/>
  <c r="D20" i="20"/>
  <c r="D34" i="20"/>
  <c r="E34" i="20"/>
  <c r="Q34" i="20"/>
  <c r="R34" i="20"/>
  <c r="M34" i="20"/>
  <c r="J34" i="20"/>
  <c r="G34" i="20"/>
  <c r="H34" i="20"/>
  <c r="B34" i="20"/>
  <c r="C34" i="20"/>
  <c r="X33" i="20"/>
  <c r="S33" i="20"/>
  <c r="N33" i="20"/>
  <c r="I33" i="20"/>
  <c r="X32" i="20"/>
  <c r="S32" i="20"/>
  <c r="N32" i="20"/>
  <c r="I32" i="20"/>
  <c r="X31" i="20"/>
  <c r="S31" i="20"/>
  <c r="N31" i="20"/>
  <c r="I31" i="20"/>
  <c r="X30" i="20"/>
  <c r="W34" i="20"/>
  <c r="N30" i="20"/>
  <c r="I30" i="20"/>
  <c r="X29" i="20"/>
  <c r="N29" i="20"/>
  <c r="I29" i="20"/>
  <c r="X28" i="20"/>
  <c r="N28" i="20"/>
  <c r="I28" i="20"/>
  <c r="X27" i="20"/>
  <c r="N27" i="20"/>
  <c r="I27" i="20"/>
  <c r="X26" i="20"/>
  <c r="N26" i="20"/>
  <c r="I26" i="20"/>
  <c r="N25" i="20"/>
  <c r="I25" i="20"/>
  <c r="X24" i="20"/>
  <c r="N24" i="20"/>
  <c r="I24" i="20"/>
  <c r="X23" i="20"/>
  <c r="S23" i="20"/>
  <c r="N23" i="20"/>
  <c r="I23" i="20"/>
  <c r="X22" i="20"/>
  <c r="S22" i="20"/>
  <c r="N22" i="20"/>
  <c r="I22" i="20"/>
  <c r="X21" i="20"/>
  <c r="S21" i="20"/>
  <c r="N21" i="20"/>
  <c r="I21" i="20"/>
  <c r="X20" i="20"/>
  <c r="S20" i="20"/>
  <c r="N20" i="20"/>
  <c r="I20" i="20"/>
  <c r="X19" i="20"/>
  <c r="S19" i="20"/>
  <c r="N19" i="20"/>
  <c r="I19" i="20"/>
  <c r="X18" i="20"/>
  <c r="S18" i="20"/>
  <c r="N18" i="20"/>
  <c r="I18" i="20"/>
  <c r="X17" i="20"/>
  <c r="S17" i="20"/>
  <c r="N17" i="20"/>
  <c r="I17" i="20"/>
  <c r="X16" i="20"/>
  <c r="S16" i="20"/>
  <c r="N16" i="20"/>
  <c r="I16" i="20"/>
  <c r="X15" i="20"/>
  <c r="S15" i="20"/>
  <c r="N15" i="20"/>
  <c r="I15" i="20"/>
  <c r="X14" i="20"/>
  <c r="S14" i="20"/>
  <c r="N14" i="20"/>
  <c r="I14" i="20"/>
  <c r="X13" i="20"/>
  <c r="S13" i="20"/>
  <c r="N13" i="20"/>
  <c r="I13" i="20"/>
  <c r="X12" i="20"/>
  <c r="S12" i="20"/>
  <c r="N12" i="20"/>
  <c r="I12" i="20"/>
  <c r="X11" i="20"/>
  <c r="S11" i="20"/>
  <c r="N11" i="20"/>
  <c r="I11" i="20"/>
  <c r="X10" i="20"/>
  <c r="S10" i="20"/>
  <c r="N10" i="20"/>
  <c r="I10" i="20"/>
  <c r="X9" i="20"/>
  <c r="S9" i="20"/>
  <c r="N9" i="20"/>
  <c r="I9" i="20"/>
  <c r="X8" i="20"/>
  <c r="S8" i="20"/>
  <c r="N8" i="20"/>
  <c r="I8" i="20"/>
  <c r="X7" i="20"/>
  <c r="S7" i="20"/>
  <c r="N7" i="20"/>
  <c r="I7" i="20"/>
  <c r="X6" i="20"/>
  <c r="S6" i="20"/>
  <c r="N6" i="20"/>
  <c r="I6" i="20"/>
  <c r="X5" i="20"/>
  <c r="S5" i="20"/>
  <c r="N5" i="20"/>
  <c r="I5" i="20"/>
  <c r="X4" i="20"/>
  <c r="S4" i="20"/>
  <c r="N4" i="20"/>
  <c r="I4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X3" i="20"/>
  <c r="X34" i="20"/>
  <c r="S3" i="20"/>
  <c r="S34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N3" i="20"/>
  <c r="N34" i="20"/>
  <c r="I3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T33" i="19"/>
  <c r="T32" i="19"/>
  <c r="S32" i="19"/>
  <c r="D31" i="19"/>
  <c r="W31" i="19"/>
  <c r="T31" i="19"/>
  <c r="S31" i="19"/>
  <c r="W30" i="19"/>
  <c r="T30" i="19"/>
  <c r="S30" i="19"/>
  <c r="D30" i="19"/>
  <c r="T28" i="19"/>
  <c r="T27" i="19"/>
  <c r="S27" i="19"/>
  <c r="D29" i="19"/>
  <c r="D27" i="19"/>
  <c r="T26" i="19"/>
  <c r="S26" i="19"/>
  <c r="D26" i="19"/>
  <c r="T25" i="19"/>
  <c r="D25" i="19"/>
  <c r="D23" i="19"/>
  <c r="D24" i="19"/>
  <c r="D34" i="19"/>
  <c r="E34" i="19"/>
  <c r="Q34" i="19"/>
  <c r="R34" i="19"/>
  <c r="M34" i="19"/>
  <c r="J34" i="19"/>
  <c r="G34" i="19"/>
  <c r="H34" i="19"/>
  <c r="B34" i="19"/>
  <c r="C34" i="19"/>
  <c r="X33" i="19"/>
  <c r="S33" i="19"/>
  <c r="N33" i="19"/>
  <c r="I33" i="19"/>
  <c r="X32" i="19"/>
  <c r="N32" i="19"/>
  <c r="I32" i="19"/>
  <c r="X31" i="19"/>
  <c r="N31" i="19"/>
  <c r="I31" i="19"/>
  <c r="X30" i="19"/>
  <c r="N30" i="19"/>
  <c r="I30" i="19"/>
  <c r="X29" i="19"/>
  <c r="S29" i="19"/>
  <c r="N29" i="19"/>
  <c r="I29" i="19"/>
  <c r="X28" i="19"/>
  <c r="S28" i="19"/>
  <c r="N28" i="19"/>
  <c r="I28" i="19"/>
  <c r="X27" i="19"/>
  <c r="N27" i="19"/>
  <c r="I27" i="19"/>
  <c r="X26" i="19"/>
  <c r="N26" i="19"/>
  <c r="I26" i="19"/>
  <c r="X25" i="19"/>
  <c r="N25" i="19"/>
  <c r="I25" i="19"/>
  <c r="X24" i="19"/>
  <c r="S24" i="19"/>
  <c r="N24" i="19"/>
  <c r="I24" i="19"/>
  <c r="X23" i="19"/>
  <c r="S23" i="19"/>
  <c r="N23" i="19"/>
  <c r="I23" i="19"/>
  <c r="X22" i="19"/>
  <c r="S22" i="19"/>
  <c r="N22" i="19"/>
  <c r="I22" i="19"/>
  <c r="X21" i="19"/>
  <c r="S21" i="19"/>
  <c r="N21" i="19"/>
  <c r="I21" i="19"/>
  <c r="X20" i="19"/>
  <c r="S20" i="19"/>
  <c r="N20" i="19"/>
  <c r="I20" i="19"/>
  <c r="X19" i="19"/>
  <c r="S19" i="19"/>
  <c r="N19" i="19"/>
  <c r="I19" i="19"/>
  <c r="X18" i="19"/>
  <c r="S18" i="19"/>
  <c r="N18" i="19"/>
  <c r="I18" i="19"/>
  <c r="X17" i="19"/>
  <c r="S17" i="19"/>
  <c r="N17" i="19"/>
  <c r="I17" i="19"/>
  <c r="X16" i="19"/>
  <c r="S16" i="19"/>
  <c r="N16" i="19"/>
  <c r="I16" i="19"/>
  <c r="X15" i="19"/>
  <c r="S15" i="19"/>
  <c r="N15" i="19"/>
  <c r="I15" i="19"/>
  <c r="X14" i="19"/>
  <c r="S14" i="19"/>
  <c r="N14" i="19"/>
  <c r="I14" i="19"/>
  <c r="X13" i="19"/>
  <c r="S13" i="19"/>
  <c r="N13" i="19"/>
  <c r="I13" i="19"/>
  <c r="X12" i="19"/>
  <c r="S12" i="19"/>
  <c r="N12" i="19"/>
  <c r="I12" i="19"/>
  <c r="X11" i="19"/>
  <c r="S11" i="19"/>
  <c r="N11" i="19"/>
  <c r="I11" i="19"/>
  <c r="X10" i="19"/>
  <c r="S10" i="19"/>
  <c r="N10" i="19"/>
  <c r="I10" i="19"/>
  <c r="X9" i="19"/>
  <c r="S9" i="19"/>
  <c r="N9" i="19"/>
  <c r="I9" i="19"/>
  <c r="X8" i="19"/>
  <c r="S8" i="19"/>
  <c r="N8" i="19"/>
  <c r="I8" i="19"/>
  <c r="X7" i="19"/>
  <c r="S7" i="19"/>
  <c r="N7" i="19"/>
  <c r="I7" i="19"/>
  <c r="X6" i="19"/>
  <c r="S6" i="19"/>
  <c r="N6" i="19"/>
  <c r="I6" i="19"/>
  <c r="X5" i="19"/>
  <c r="W34" i="19"/>
  <c r="S5" i="19"/>
  <c r="N5" i="19"/>
  <c r="I5" i="19"/>
  <c r="X4" i="19"/>
  <c r="S4" i="19"/>
  <c r="N4" i="19"/>
  <c r="I4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X3" i="19"/>
  <c r="X34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N3" i="19"/>
  <c r="N34" i="19"/>
  <c r="I3" i="19"/>
  <c r="I34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W30" i="18"/>
  <c r="T29" i="18"/>
  <c r="S29" i="18"/>
  <c r="T30" i="18"/>
  <c r="W29" i="18"/>
  <c r="T27" i="18"/>
  <c r="T26" i="18"/>
  <c r="S26" i="18"/>
  <c r="D26" i="18"/>
  <c r="W26" i="18"/>
  <c r="T25" i="18"/>
  <c r="S25" i="18"/>
  <c r="D25" i="18"/>
  <c r="T24" i="18"/>
  <c r="D24" i="18"/>
  <c r="T23" i="18"/>
  <c r="D23" i="18"/>
  <c r="W23" i="18"/>
  <c r="Q34" i="18"/>
  <c r="R34" i="18"/>
  <c r="B34" i="18"/>
  <c r="C34" i="18"/>
  <c r="T22" i="18"/>
  <c r="S22" i="18"/>
  <c r="D22" i="18"/>
  <c r="T21" i="18"/>
  <c r="S21" i="18"/>
  <c r="D21" i="18"/>
  <c r="T20" i="18"/>
  <c r="S20" i="18"/>
  <c r="D20" i="18"/>
  <c r="D19" i="18"/>
  <c r="W17" i="18"/>
  <c r="T15" i="18"/>
  <c r="S15" i="18"/>
  <c r="T14" i="18"/>
  <c r="W14" i="18"/>
  <c r="T13" i="18"/>
  <c r="T12" i="18"/>
  <c r="D12" i="18"/>
  <c r="W12" i="18"/>
  <c r="X12" i="18"/>
  <c r="T11" i="18"/>
  <c r="D11" i="18"/>
  <c r="T10" i="18"/>
  <c r="D10" i="18"/>
  <c r="W10" i="18"/>
  <c r="T9" i="18"/>
  <c r="D9" i="18"/>
  <c r="T8" i="18"/>
  <c r="S8" i="18"/>
  <c r="D8" i="18"/>
  <c r="W8" i="18"/>
  <c r="X8" i="18"/>
  <c r="T7" i="18"/>
  <c r="D7" i="18"/>
  <c r="W6" i="18"/>
  <c r="T6" i="18"/>
  <c r="S6" i="18"/>
  <c r="D6" i="18"/>
  <c r="T5" i="18"/>
  <c r="S5" i="18"/>
  <c r="D5" i="18"/>
  <c r="W5" i="18"/>
  <c r="W34" i="18"/>
  <c r="T4" i="18"/>
  <c r="T3" i="18"/>
  <c r="T34" i="18"/>
  <c r="D4" i="18"/>
  <c r="D3" i="18"/>
  <c r="I33" i="18"/>
  <c r="N33" i="18"/>
  <c r="S33" i="18"/>
  <c r="X33" i="18"/>
  <c r="J34" i="18"/>
  <c r="H34" i="18"/>
  <c r="G34" i="18"/>
  <c r="X32" i="18"/>
  <c r="S32" i="18"/>
  <c r="N32" i="18"/>
  <c r="I32" i="18"/>
  <c r="X31" i="18"/>
  <c r="S31" i="18"/>
  <c r="N31" i="18"/>
  <c r="I31" i="18"/>
  <c r="X30" i="18"/>
  <c r="S30" i="18"/>
  <c r="N30" i="18"/>
  <c r="I30" i="18"/>
  <c r="X29" i="18"/>
  <c r="N29" i="18"/>
  <c r="I29" i="18"/>
  <c r="X28" i="18"/>
  <c r="S28" i="18"/>
  <c r="N28" i="18"/>
  <c r="I28" i="18"/>
  <c r="X27" i="18"/>
  <c r="S27" i="18"/>
  <c r="N27" i="18"/>
  <c r="I27" i="18"/>
  <c r="X26" i="18"/>
  <c r="N26" i="18"/>
  <c r="I26" i="18"/>
  <c r="X25" i="18"/>
  <c r="N25" i="18"/>
  <c r="I25" i="18"/>
  <c r="X24" i="18"/>
  <c r="S24" i="18"/>
  <c r="N24" i="18"/>
  <c r="I24" i="18"/>
  <c r="X23" i="18"/>
  <c r="S23" i="18"/>
  <c r="N23" i="18"/>
  <c r="I23" i="18"/>
  <c r="X22" i="18"/>
  <c r="N22" i="18"/>
  <c r="I22" i="18"/>
  <c r="X21" i="18"/>
  <c r="N21" i="18"/>
  <c r="I21" i="18"/>
  <c r="X20" i="18"/>
  <c r="N20" i="18"/>
  <c r="I20" i="18"/>
  <c r="X19" i="18"/>
  <c r="S19" i="18"/>
  <c r="N19" i="18"/>
  <c r="I19" i="18"/>
  <c r="X18" i="18"/>
  <c r="S18" i="18"/>
  <c r="N18" i="18"/>
  <c r="I18" i="18"/>
  <c r="X17" i="18"/>
  <c r="S17" i="18"/>
  <c r="N17" i="18"/>
  <c r="I17" i="18"/>
  <c r="X16" i="18"/>
  <c r="S16" i="18"/>
  <c r="N16" i="18"/>
  <c r="I16" i="18"/>
  <c r="X15" i="18"/>
  <c r="N15" i="18"/>
  <c r="I15" i="18"/>
  <c r="X14" i="18"/>
  <c r="S14" i="18"/>
  <c r="N14" i="18"/>
  <c r="I14" i="18"/>
  <c r="X13" i="18"/>
  <c r="S13" i="18"/>
  <c r="N13" i="18"/>
  <c r="I13" i="18"/>
  <c r="S12" i="18"/>
  <c r="N12" i="18"/>
  <c r="I12" i="18"/>
  <c r="X11" i="18"/>
  <c r="S11" i="18"/>
  <c r="N11" i="18"/>
  <c r="I11" i="18"/>
  <c r="X10" i="18"/>
  <c r="S10" i="18"/>
  <c r="N10" i="18"/>
  <c r="I10" i="18"/>
  <c r="X9" i="18"/>
  <c r="S9" i="18"/>
  <c r="N9" i="18"/>
  <c r="I9" i="18"/>
  <c r="N8" i="18"/>
  <c r="I8" i="18"/>
  <c r="S7" i="18"/>
  <c r="N7" i="18"/>
  <c r="I7" i="18"/>
  <c r="X6" i="18"/>
  <c r="N6" i="18"/>
  <c r="I6" i="18"/>
  <c r="X5" i="18"/>
  <c r="N5" i="18"/>
  <c r="I5" i="18"/>
  <c r="X4" i="18"/>
  <c r="S4" i="18"/>
  <c r="M34" i="18"/>
  <c r="I4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X3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N3" i="18"/>
  <c r="N34" i="18"/>
  <c r="I3" i="18"/>
  <c r="I3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T32" i="17"/>
  <c r="D32" i="17"/>
  <c r="W32" i="17"/>
  <c r="D31" i="17"/>
  <c r="T30" i="17"/>
  <c r="D30" i="17"/>
  <c r="T29" i="17"/>
  <c r="D29" i="17"/>
  <c r="T28" i="17"/>
  <c r="D28" i="17"/>
  <c r="Q33" i="17"/>
  <c r="R33" i="17"/>
  <c r="T27" i="17"/>
  <c r="T26" i="17"/>
  <c r="S26" i="17"/>
  <c r="D27" i="17"/>
  <c r="D26" i="17"/>
  <c r="T25" i="17"/>
  <c r="D25" i="17"/>
  <c r="T24" i="17"/>
  <c r="D24" i="17"/>
  <c r="D23" i="17"/>
  <c r="D22" i="17"/>
  <c r="W9" i="17"/>
  <c r="W8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6" i="17"/>
  <c r="X5" i="17"/>
  <c r="X4" i="17"/>
  <c r="X3" i="17"/>
  <c r="X32" i="16"/>
  <c r="X31" i="16"/>
  <c r="X30" i="16"/>
  <c r="X29" i="16"/>
  <c r="X28" i="16"/>
  <c r="X27" i="16"/>
  <c r="X26" i="16"/>
  <c r="X25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W7" i="17"/>
  <c r="X7" i="17"/>
  <c r="T6" i="17"/>
  <c r="T5" i="17"/>
  <c r="T4" i="17"/>
  <c r="T33" i="17"/>
  <c r="M4" i="17"/>
  <c r="G33" i="17"/>
  <c r="H33" i="17"/>
  <c r="B33" i="17"/>
  <c r="C33" i="17"/>
  <c r="S32" i="17"/>
  <c r="N32" i="17"/>
  <c r="I32" i="17"/>
  <c r="S31" i="17"/>
  <c r="N31" i="17"/>
  <c r="I31" i="17"/>
  <c r="S30" i="17"/>
  <c r="N30" i="17"/>
  <c r="I30" i="17"/>
  <c r="S29" i="17"/>
  <c r="N29" i="17"/>
  <c r="I29" i="17"/>
  <c r="S28" i="17"/>
  <c r="N28" i="17"/>
  <c r="I28" i="17"/>
  <c r="S27" i="17"/>
  <c r="N27" i="17"/>
  <c r="I27" i="17"/>
  <c r="N26" i="17"/>
  <c r="I26" i="17"/>
  <c r="S25" i="17"/>
  <c r="N25" i="17"/>
  <c r="I25" i="17"/>
  <c r="S24" i="17"/>
  <c r="N24" i="17"/>
  <c r="I24" i="17"/>
  <c r="S23" i="17"/>
  <c r="N23" i="17"/>
  <c r="I23" i="17"/>
  <c r="S22" i="17"/>
  <c r="N22" i="17"/>
  <c r="I22" i="17"/>
  <c r="S21" i="17"/>
  <c r="N21" i="17"/>
  <c r="I21" i="17"/>
  <c r="S20" i="17"/>
  <c r="N20" i="17"/>
  <c r="I20" i="17"/>
  <c r="S19" i="17"/>
  <c r="N19" i="17"/>
  <c r="I19" i="17"/>
  <c r="N18" i="17"/>
  <c r="I18" i="17"/>
  <c r="S17" i="17"/>
  <c r="N17" i="17"/>
  <c r="I17" i="17"/>
  <c r="S16" i="17"/>
  <c r="N16" i="17"/>
  <c r="I16" i="17"/>
  <c r="S15" i="17"/>
  <c r="N15" i="17"/>
  <c r="I15" i="17"/>
  <c r="S14" i="17"/>
  <c r="N14" i="17"/>
  <c r="I14" i="17"/>
  <c r="S13" i="17"/>
  <c r="N13" i="17"/>
  <c r="I13" i="17"/>
  <c r="S12" i="17"/>
  <c r="N12" i="17"/>
  <c r="I12" i="17"/>
  <c r="S11" i="17"/>
  <c r="N11" i="17"/>
  <c r="I11" i="17"/>
  <c r="S10" i="17"/>
  <c r="N10" i="17"/>
  <c r="I10" i="17"/>
  <c r="S9" i="17"/>
  <c r="N9" i="17"/>
  <c r="I9" i="17"/>
  <c r="D33" i="17"/>
  <c r="E33" i="17"/>
  <c r="S8" i="17"/>
  <c r="N8" i="17"/>
  <c r="I8" i="17"/>
  <c r="S7" i="17"/>
  <c r="N7" i="17"/>
  <c r="I7" i="17"/>
  <c r="S6" i="17"/>
  <c r="N6" i="17"/>
  <c r="I6" i="17"/>
  <c r="S5" i="17"/>
  <c r="N5" i="17"/>
  <c r="I5" i="17"/>
  <c r="S4" i="17"/>
  <c r="N4" i="17"/>
  <c r="I4" i="17"/>
  <c r="I3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S3" i="17"/>
  <c r="S33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M33" i="17"/>
  <c r="J33" i="17"/>
  <c r="I3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T33" i="16"/>
  <c r="W33" i="16"/>
  <c r="X33" i="16"/>
  <c r="T31" i="16"/>
  <c r="J31" i="16"/>
  <c r="I31" i="16"/>
  <c r="J30" i="16"/>
  <c r="J29" i="16"/>
  <c r="I29" i="16"/>
  <c r="M29" i="16"/>
  <c r="F16" i="16"/>
  <c r="J28" i="16"/>
  <c r="D28" i="16"/>
  <c r="M28" i="16"/>
  <c r="D27" i="16"/>
  <c r="E27" i="16"/>
  <c r="E28" i="16"/>
  <c r="E29" i="16"/>
  <c r="E30" i="16"/>
  <c r="E31" i="16"/>
  <c r="W27" i="16"/>
  <c r="J27" i="16"/>
  <c r="I27" i="16"/>
  <c r="D26" i="16"/>
  <c r="J25" i="16"/>
  <c r="I25" i="16"/>
  <c r="S25" i="16"/>
  <c r="D25" i="16"/>
  <c r="T24" i="16"/>
  <c r="D24" i="16"/>
  <c r="W24" i="16"/>
  <c r="X24" i="16"/>
  <c r="T23" i="16"/>
  <c r="S23" i="16"/>
  <c r="D23" i="16"/>
  <c r="D22" i="16"/>
  <c r="D21" i="16"/>
  <c r="T20" i="16"/>
  <c r="S20" i="16"/>
  <c r="D20" i="16"/>
  <c r="T19" i="16"/>
  <c r="T18" i="16"/>
  <c r="S18" i="16"/>
  <c r="D19" i="16"/>
  <c r="D17" i="16"/>
  <c r="D18" i="16"/>
  <c r="S33" i="16"/>
  <c r="S32" i="16"/>
  <c r="S31" i="16"/>
  <c r="S30" i="16"/>
  <c r="S29" i="16"/>
  <c r="S28" i="16"/>
  <c r="S27" i="16"/>
  <c r="S26" i="16"/>
  <c r="S24" i="16"/>
  <c r="S22" i="16"/>
  <c r="S21" i="16"/>
  <c r="S19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4" i="16"/>
  <c r="S3" i="16"/>
  <c r="D16" i="16"/>
  <c r="D15" i="16"/>
  <c r="D14" i="16"/>
  <c r="D13" i="16"/>
  <c r="D12" i="16"/>
  <c r="D11" i="16"/>
  <c r="W34" i="16"/>
  <c r="Q34" i="16"/>
  <c r="R34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D10" i="16"/>
  <c r="D34" i="16"/>
  <c r="E34" i="16"/>
  <c r="D9" i="16"/>
  <c r="M7" i="16"/>
  <c r="G34" i="16"/>
  <c r="H34" i="16"/>
  <c r="B34" i="16"/>
  <c r="C34" i="16"/>
  <c r="C33" i="15"/>
  <c r="B33" i="15"/>
  <c r="J34" i="14"/>
  <c r="J3" i="16"/>
  <c r="J34" i="16"/>
  <c r="M3" i="16"/>
  <c r="M34" i="16"/>
  <c r="I32" i="16"/>
  <c r="N32" i="16"/>
  <c r="N33" i="16"/>
  <c r="I33" i="16"/>
  <c r="N31" i="16"/>
  <c r="N30" i="16"/>
  <c r="I30" i="16"/>
  <c r="N29" i="16"/>
  <c r="N28" i="16"/>
  <c r="I28" i="16"/>
  <c r="N27" i="16"/>
  <c r="N26" i="16"/>
  <c r="I26" i="16"/>
  <c r="N25" i="16"/>
  <c r="N24" i="16"/>
  <c r="I24" i="16"/>
  <c r="N23" i="16"/>
  <c r="I23" i="16"/>
  <c r="N22" i="16"/>
  <c r="I22" i="16"/>
  <c r="N21" i="16"/>
  <c r="I21" i="16"/>
  <c r="N20" i="16"/>
  <c r="I20" i="16"/>
  <c r="N19" i="16"/>
  <c r="I19" i="16"/>
  <c r="N18" i="16"/>
  <c r="I18" i="16"/>
  <c r="N17" i="16"/>
  <c r="I17" i="16"/>
  <c r="N16" i="16"/>
  <c r="I16" i="16"/>
  <c r="N15" i="16"/>
  <c r="I15" i="16"/>
  <c r="N14" i="16"/>
  <c r="I14" i="16"/>
  <c r="N13" i="16"/>
  <c r="I13" i="16"/>
  <c r="N12" i="16"/>
  <c r="I12" i="16"/>
  <c r="N11" i="16"/>
  <c r="I11" i="16"/>
  <c r="N10" i="16"/>
  <c r="I10" i="16"/>
  <c r="N9" i="16"/>
  <c r="I9" i="16"/>
  <c r="N8" i="16"/>
  <c r="I8" i="16"/>
  <c r="N7" i="16"/>
  <c r="I7" i="16"/>
  <c r="N6" i="16"/>
  <c r="I6" i="16"/>
  <c r="N5" i="16"/>
  <c r="I5" i="16"/>
  <c r="N4" i="16"/>
  <c r="I4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N3" i="16"/>
  <c r="N34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J32" i="15"/>
  <c r="M31" i="15"/>
  <c r="J31" i="15"/>
  <c r="J30" i="15"/>
  <c r="M30" i="15"/>
  <c r="N30" i="15"/>
  <c r="M29" i="15"/>
  <c r="J29" i="15"/>
  <c r="J28" i="15"/>
  <c r="D28" i="15"/>
  <c r="J27" i="15"/>
  <c r="D27" i="15"/>
  <c r="D26" i="15"/>
  <c r="D25" i="15"/>
  <c r="J25" i="15"/>
  <c r="J24" i="15"/>
  <c r="D24" i="15"/>
  <c r="M24" i="15"/>
  <c r="M23" i="15"/>
  <c r="N23" i="15"/>
  <c r="J23" i="15"/>
  <c r="D23" i="15"/>
  <c r="D22" i="15"/>
  <c r="J22" i="15"/>
  <c r="J21" i="15"/>
  <c r="I21" i="15"/>
  <c r="D21" i="15"/>
  <c r="M21" i="15"/>
  <c r="J20" i="15"/>
  <c r="D20" i="15"/>
  <c r="J19" i="15"/>
  <c r="M19" i="15"/>
  <c r="D19" i="15"/>
  <c r="J18" i="15"/>
  <c r="I18" i="15"/>
  <c r="J17" i="15"/>
  <c r="I17" i="15"/>
  <c r="D18" i="15"/>
  <c r="D17" i="15"/>
  <c r="M16" i="15"/>
  <c r="N16" i="15"/>
  <c r="J16" i="15"/>
  <c r="D16" i="15"/>
  <c r="D15" i="15"/>
  <c r="J14" i="15"/>
  <c r="I14" i="15"/>
  <c r="D14" i="15"/>
  <c r="M14" i="15"/>
  <c r="J13" i="15"/>
  <c r="I13" i="15"/>
  <c r="D13" i="15"/>
  <c r="D12" i="15"/>
  <c r="M10" i="15"/>
  <c r="D11" i="15"/>
  <c r="J10" i="15"/>
  <c r="D10" i="15"/>
  <c r="E10" i="15"/>
  <c r="J9" i="15"/>
  <c r="I9" i="15"/>
  <c r="D9" i="15"/>
  <c r="J8" i="15"/>
  <c r="I8" i="15"/>
  <c r="D8" i="15"/>
  <c r="N8" i="15"/>
  <c r="M8" i="15"/>
  <c r="J7" i="15"/>
  <c r="I7" i="15"/>
  <c r="D7" i="15"/>
  <c r="M6" i="15"/>
  <c r="D6" i="15"/>
  <c r="J6" i="15"/>
  <c r="J4" i="15"/>
  <c r="J3" i="15"/>
  <c r="D5" i="15"/>
  <c r="D33" i="15"/>
  <c r="E33" i="15"/>
  <c r="G33" i="15"/>
  <c r="H33" i="15"/>
  <c r="N32" i="15"/>
  <c r="I32" i="15"/>
  <c r="N31" i="15"/>
  <c r="I31" i="15"/>
  <c r="I30" i="15"/>
  <c r="N29" i="15"/>
  <c r="I29" i="15"/>
  <c r="N28" i="15"/>
  <c r="I28" i="15"/>
  <c r="N27" i="15"/>
  <c r="I27" i="15"/>
  <c r="N26" i="15"/>
  <c r="I26" i="15"/>
  <c r="N25" i="15"/>
  <c r="I25" i="15"/>
  <c r="N24" i="15"/>
  <c r="I24" i="15"/>
  <c r="N22" i="15"/>
  <c r="I22" i="15"/>
  <c r="N21" i="15"/>
  <c r="N20" i="15"/>
  <c r="I20" i="15"/>
  <c r="I19" i="15"/>
  <c r="N18" i="15"/>
  <c r="N17" i="15"/>
  <c r="I16" i="15"/>
  <c r="N15" i="15"/>
  <c r="I15" i="15"/>
  <c r="N14" i="15"/>
  <c r="N13" i="15"/>
  <c r="N12" i="15"/>
  <c r="I12" i="15"/>
  <c r="N11" i="15"/>
  <c r="I11" i="15"/>
  <c r="N10" i="15"/>
  <c r="I10" i="15"/>
  <c r="N9" i="15"/>
  <c r="N7" i="15"/>
  <c r="N6" i="15"/>
  <c r="N5" i="15"/>
  <c r="I5" i="15"/>
  <c r="N4" i="15"/>
  <c r="I4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N3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E3" i="15"/>
  <c r="E4" i="15"/>
  <c r="E5" i="15"/>
  <c r="E6" i="15"/>
  <c r="E7" i="15"/>
  <c r="E8" i="15"/>
  <c r="E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J33" i="14"/>
  <c r="D33" i="14"/>
  <c r="M33" i="14"/>
  <c r="N33" i="14"/>
  <c r="J32" i="14"/>
  <c r="M30" i="14"/>
  <c r="J31" i="14"/>
  <c r="D31" i="14"/>
  <c r="J30" i="14"/>
  <c r="D30" i="14"/>
  <c r="N32" i="14"/>
  <c r="M29" i="14"/>
  <c r="D29" i="14"/>
  <c r="D28" i="14"/>
  <c r="J27" i="14"/>
  <c r="D27" i="14"/>
  <c r="D26" i="14"/>
  <c r="D25" i="14"/>
  <c r="J24" i="14"/>
  <c r="D24" i="14"/>
  <c r="J23" i="14"/>
  <c r="I23" i="14"/>
  <c r="D23" i="14"/>
  <c r="D22" i="14"/>
  <c r="D34" i="14"/>
  <c r="E34" i="14"/>
  <c r="D21" i="14"/>
  <c r="M19" i="14"/>
  <c r="G34" i="14"/>
  <c r="H34" i="14"/>
  <c r="B34" i="14"/>
  <c r="C34" i="14"/>
  <c r="I33" i="14"/>
  <c r="I32" i="14"/>
  <c r="N31" i="14"/>
  <c r="I31" i="14"/>
  <c r="N30" i="14"/>
  <c r="I30" i="14"/>
  <c r="N29" i="14"/>
  <c r="I29" i="14"/>
  <c r="N28" i="14"/>
  <c r="I28" i="14"/>
  <c r="N27" i="14"/>
  <c r="I27" i="14"/>
  <c r="N26" i="14"/>
  <c r="I26" i="14"/>
  <c r="N25" i="14"/>
  <c r="I25" i="14"/>
  <c r="N24" i="14"/>
  <c r="I24" i="14"/>
  <c r="N23" i="14"/>
  <c r="N22" i="14"/>
  <c r="I22" i="14"/>
  <c r="N21" i="14"/>
  <c r="I21" i="14"/>
  <c r="N20" i="14"/>
  <c r="I20" i="14"/>
  <c r="I19" i="14"/>
  <c r="N18" i="14"/>
  <c r="I18" i="14"/>
  <c r="N17" i="14"/>
  <c r="I17" i="14"/>
  <c r="N16" i="14"/>
  <c r="I16" i="14"/>
  <c r="N15" i="14"/>
  <c r="I15" i="14"/>
  <c r="N14" i="14"/>
  <c r="I14" i="14"/>
  <c r="N13" i="14"/>
  <c r="I13" i="14"/>
  <c r="N12" i="14"/>
  <c r="I12" i="14"/>
  <c r="N11" i="14"/>
  <c r="I11" i="14"/>
  <c r="N10" i="14"/>
  <c r="I10" i="14"/>
  <c r="N9" i="14"/>
  <c r="I9" i="14"/>
  <c r="N8" i="14"/>
  <c r="I8" i="14"/>
  <c r="N7" i="14"/>
  <c r="I7" i="14"/>
  <c r="N6" i="14"/>
  <c r="I6" i="14"/>
  <c r="N5" i="14"/>
  <c r="I5" i="14"/>
  <c r="N4" i="14"/>
  <c r="I4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N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E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D22" i="13"/>
  <c r="D21" i="13"/>
  <c r="D19" i="13"/>
  <c r="M15" i="13"/>
  <c r="J12" i="13"/>
  <c r="J11" i="13"/>
  <c r="M11" i="13"/>
  <c r="D9" i="13"/>
  <c r="J8" i="13"/>
  <c r="J7" i="13"/>
  <c r="J6" i="13"/>
  <c r="J5" i="13"/>
  <c r="J4" i="13"/>
  <c r="I4" i="13"/>
  <c r="I34" i="13"/>
  <c r="M6" i="13"/>
  <c r="D8" i="13"/>
  <c r="D7" i="13"/>
  <c r="D6" i="13"/>
  <c r="D5" i="13"/>
  <c r="D4" i="13"/>
  <c r="E4" i="13"/>
  <c r="D32" i="12"/>
  <c r="D31" i="12"/>
  <c r="B33" i="12"/>
  <c r="C33" i="12"/>
  <c r="D33" i="12"/>
  <c r="E33" i="12"/>
  <c r="G34" i="13"/>
  <c r="H34" i="13"/>
  <c r="B34" i="13"/>
  <c r="C34" i="13"/>
  <c r="J3" i="13"/>
  <c r="I32" i="13"/>
  <c r="N33" i="13"/>
  <c r="I33" i="13"/>
  <c r="N31" i="13"/>
  <c r="I31" i="13"/>
  <c r="N30" i="13"/>
  <c r="I30" i="13"/>
  <c r="N29" i="13"/>
  <c r="I29" i="13"/>
  <c r="N28" i="13"/>
  <c r="I28" i="13"/>
  <c r="N27" i="13"/>
  <c r="I27" i="13"/>
  <c r="N26" i="13"/>
  <c r="I26" i="13"/>
  <c r="N25" i="13"/>
  <c r="I25" i="13"/>
  <c r="N24" i="13"/>
  <c r="I24" i="13"/>
  <c r="N23" i="13"/>
  <c r="I23" i="13"/>
  <c r="N22" i="13"/>
  <c r="I22" i="13"/>
  <c r="N21" i="13"/>
  <c r="I21" i="13"/>
  <c r="N20" i="13"/>
  <c r="I20" i="13"/>
  <c r="N19" i="13"/>
  <c r="I19" i="13"/>
  <c r="N18" i="13"/>
  <c r="I18" i="13"/>
  <c r="N17" i="13"/>
  <c r="I17" i="13"/>
  <c r="N16" i="13"/>
  <c r="I16" i="13"/>
  <c r="I15" i="13"/>
  <c r="N14" i="13"/>
  <c r="I14" i="13"/>
  <c r="N13" i="13"/>
  <c r="I13" i="13"/>
  <c r="N12" i="13"/>
  <c r="I12" i="13"/>
  <c r="N11" i="13"/>
  <c r="I11" i="13"/>
  <c r="N10" i="13"/>
  <c r="I10" i="13"/>
  <c r="N9" i="13"/>
  <c r="I9" i="13"/>
  <c r="N8" i="13"/>
  <c r="I8" i="13"/>
  <c r="N7" i="13"/>
  <c r="I7" i="13"/>
  <c r="N6" i="13"/>
  <c r="I6" i="13"/>
  <c r="N5" i="13"/>
  <c r="I5" i="13"/>
  <c r="N4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N3" i="13"/>
  <c r="I3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E3" i="13"/>
  <c r="E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M32" i="12"/>
  <c r="J31" i="12"/>
  <c r="M31" i="12"/>
  <c r="J30" i="12"/>
  <c r="D30" i="12"/>
  <c r="M30" i="12"/>
  <c r="N30" i="12"/>
  <c r="J29" i="12"/>
  <c r="D29" i="12"/>
  <c r="M29" i="12"/>
  <c r="J28" i="12"/>
  <c r="D28" i="12"/>
  <c r="M28" i="12"/>
  <c r="N28" i="12"/>
  <c r="J27" i="12"/>
  <c r="D27" i="12"/>
  <c r="M27" i="12"/>
  <c r="J26" i="12"/>
  <c r="D26" i="12"/>
  <c r="J25" i="12"/>
  <c r="D25" i="12"/>
  <c r="D24" i="12"/>
  <c r="D23" i="12"/>
  <c r="M22" i="12"/>
  <c r="N22" i="12"/>
  <c r="D22" i="12"/>
  <c r="D21" i="12"/>
  <c r="D20" i="12"/>
  <c r="J19" i="12"/>
  <c r="J33" i="12"/>
  <c r="D19" i="12"/>
  <c r="D18" i="12"/>
  <c r="D17" i="12"/>
  <c r="G33" i="12"/>
  <c r="H33" i="12"/>
  <c r="D16" i="12"/>
  <c r="I4" i="12"/>
  <c r="I33" i="12"/>
  <c r="D32" i="11"/>
  <c r="D31" i="11"/>
  <c r="D33" i="11"/>
  <c r="J33" i="11"/>
  <c r="I33" i="11"/>
  <c r="N32" i="12"/>
  <c r="I32" i="12"/>
  <c r="N31" i="12"/>
  <c r="I31" i="12"/>
  <c r="I30" i="12"/>
  <c r="N29" i="12"/>
  <c r="I29" i="12"/>
  <c r="I28" i="12"/>
  <c r="N27" i="12"/>
  <c r="I27" i="12"/>
  <c r="N26" i="12"/>
  <c r="I26" i="12"/>
  <c r="N25" i="12"/>
  <c r="I25" i="12"/>
  <c r="N24" i="12"/>
  <c r="I24" i="12"/>
  <c r="N23" i="12"/>
  <c r="I23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N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N3" i="12"/>
  <c r="N33" i="12"/>
  <c r="I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M32" i="11"/>
  <c r="J31" i="11"/>
  <c r="I31" i="11"/>
  <c r="M31" i="11"/>
  <c r="J30" i="11"/>
  <c r="I30" i="11"/>
  <c r="D30" i="11"/>
  <c r="J29" i="11"/>
  <c r="D29" i="11"/>
  <c r="D28" i="11"/>
  <c r="J28" i="11"/>
  <c r="I28" i="11"/>
  <c r="J27" i="11"/>
  <c r="D26" i="11"/>
  <c r="D27" i="11"/>
  <c r="J26" i="11"/>
  <c r="I26" i="11"/>
  <c r="I27" i="11"/>
  <c r="D25" i="11"/>
  <c r="J25" i="11"/>
  <c r="J24" i="11"/>
  <c r="I24" i="11"/>
  <c r="D24" i="11"/>
  <c r="M23" i="11"/>
  <c r="N23" i="11"/>
  <c r="J23" i="11"/>
  <c r="J22" i="11"/>
  <c r="I21" i="11"/>
  <c r="J20" i="11"/>
  <c r="I20" i="11"/>
  <c r="J19" i="11"/>
  <c r="J18" i="11"/>
  <c r="I18" i="11"/>
  <c r="J17" i="11"/>
  <c r="M16" i="11"/>
  <c r="J15" i="11"/>
  <c r="J13" i="11"/>
  <c r="I13" i="11"/>
  <c r="D12" i="11"/>
  <c r="G34" i="11"/>
  <c r="D10" i="11"/>
  <c r="D9" i="11"/>
  <c r="D8" i="11"/>
  <c r="D7" i="11"/>
  <c r="D6" i="11"/>
  <c r="D5" i="11"/>
  <c r="D4" i="11"/>
  <c r="D3" i="11"/>
  <c r="E3" i="11"/>
  <c r="E4" i="11"/>
  <c r="B34" i="11"/>
  <c r="J9" i="11"/>
  <c r="I9" i="11"/>
  <c r="J8" i="11"/>
  <c r="J7" i="11"/>
  <c r="I7" i="11"/>
  <c r="M7" i="11"/>
  <c r="J6" i="11"/>
  <c r="J5" i="11"/>
  <c r="H34" i="11"/>
  <c r="C34" i="11"/>
  <c r="N32" i="11"/>
  <c r="I32" i="11"/>
  <c r="N31" i="11"/>
  <c r="N30" i="11"/>
  <c r="N29" i="11"/>
  <c r="I29" i="11"/>
  <c r="N28" i="11"/>
  <c r="N27" i="11"/>
  <c r="N26" i="11"/>
  <c r="N25" i="11"/>
  <c r="I25" i="11"/>
  <c r="N24" i="11"/>
  <c r="I23" i="11"/>
  <c r="N22" i="11"/>
  <c r="I22" i="11"/>
  <c r="N21" i="11"/>
  <c r="N20" i="11"/>
  <c r="N19" i="11"/>
  <c r="I19" i="11"/>
  <c r="N18" i="11"/>
  <c r="N17" i="11"/>
  <c r="I17" i="11"/>
  <c r="N16" i="11"/>
  <c r="I16" i="11"/>
  <c r="N15" i="11"/>
  <c r="I15" i="11"/>
  <c r="N14" i="11"/>
  <c r="I14" i="11"/>
  <c r="N13" i="11"/>
  <c r="N12" i="11"/>
  <c r="I12" i="11"/>
  <c r="N11" i="11"/>
  <c r="I11" i="11"/>
  <c r="N10" i="11"/>
  <c r="I10" i="11"/>
  <c r="N9" i="11"/>
  <c r="N8" i="11"/>
  <c r="N7" i="11"/>
  <c r="N6" i="11"/>
  <c r="N34" i="11"/>
  <c r="N5" i="11"/>
  <c r="I5" i="11"/>
  <c r="N4" i="11"/>
  <c r="I4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N3" i="11"/>
  <c r="I3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J31" i="10"/>
  <c r="I31" i="10"/>
  <c r="D30" i="10"/>
  <c r="D29" i="10"/>
  <c r="D28" i="10"/>
  <c r="D27" i="10"/>
  <c r="D26" i="10"/>
  <c r="J22" i="10"/>
  <c r="I22" i="10"/>
  <c r="M16" i="10"/>
  <c r="J11" i="10"/>
  <c r="J33" i="10"/>
  <c r="J8" i="10"/>
  <c r="D9" i="10"/>
  <c r="D8" i="10"/>
  <c r="D7" i="10"/>
  <c r="D33" i="9"/>
  <c r="D6" i="10"/>
  <c r="D5" i="10"/>
  <c r="D4" i="10"/>
  <c r="D33" i="10"/>
  <c r="E33" i="10"/>
  <c r="G33" i="10"/>
  <c r="H33" i="10"/>
  <c r="B33" i="10"/>
  <c r="C33" i="10"/>
  <c r="N32" i="10"/>
  <c r="I32" i="10"/>
  <c r="N31" i="10"/>
  <c r="N30" i="10"/>
  <c r="I30" i="10"/>
  <c r="N29" i="10"/>
  <c r="I29" i="10"/>
  <c r="N28" i="10"/>
  <c r="I28" i="10"/>
  <c r="N27" i="10"/>
  <c r="I27" i="10"/>
  <c r="N26" i="10"/>
  <c r="I26" i="10"/>
  <c r="N25" i="10"/>
  <c r="I25" i="10"/>
  <c r="N24" i="10"/>
  <c r="I24" i="10"/>
  <c r="N23" i="10"/>
  <c r="I23" i="10"/>
  <c r="N22" i="10"/>
  <c r="N21" i="10"/>
  <c r="I21" i="10"/>
  <c r="N20" i="10"/>
  <c r="I20" i="10"/>
  <c r="N19" i="10"/>
  <c r="I19" i="10"/>
  <c r="N18" i="10"/>
  <c r="I18" i="10"/>
  <c r="N17" i="10"/>
  <c r="I17" i="10"/>
  <c r="N16" i="10"/>
  <c r="I16" i="10"/>
  <c r="M33" i="10"/>
  <c r="I15" i="10"/>
  <c r="N14" i="10"/>
  <c r="I14" i="10"/>
  <c r="N13" i="10"/>
  <c r="I13" i="10"/>
  <c r="N12" i="10"/>
  <c r="I12" i="10"/>
  <c r="N11" i="10"/>
  <c r="N10" i="10"/>
  <c r="I10" i="10"/>
  <c r="N9" i="10"/>
  <c r="I9" i="10"/>
  <c r="N8" i="10"/>
  <c r="I8" i="10"/>
  <c r="N7" i="10"/>
  <c r="I7" i="10"/>
  <c r="N6" i="10"/>
  <c r="I6" i="10"/>
  <c r="N5" i="10"/>
  <c r="I5" i="10"/>
  <c r="N4" i="10"/>
  <c r="N33" i="10"/>
  <c r="I4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N3" i="10"/>
  <c r="I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E3" i="10"/>
  <c r="E4" i="10"/>
  <c r="E5" i="10"/>
  <c r="E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5" i="9"/>
  <c r="M34" i="9"/>
  <c r="J34" i="9"/>
  <c r="G34" i="9"/>
  <c r="D34" i="9"/>
  <c r="E34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D27" i="8"/>
  <c r="D29" i="8"/>
  <c r="D28" i="8"/>
  <c r="D31" i="8"/>
  <c r="D30" i="8"/>
  <c r="D26" i="8"/>
  <c r="D25" i="8"/>
  <c r="D24" i="8"/>
  <c r="D23" i="8"/>
  <c r="N33" i="9"/>
  <c r="N32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34" i="9"/>
  <c r="B34" i="9"/>
  <c r="C34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4" i="9"/>
  <c r="N13" i="9"/>
  <c r="N12" i="9"/>
  <c r="N11" i="9"/>
  <c r="N10" i="9"/>
  <c r="N9" i="9"/>
  <c r="N8" i="9"/>
  <c r="N7" i="9"/>
  <c r="N6" i="9"/>
  <c r="N5" i="9"/>
  <c r="N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N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L32" i="8"/>
  <c r="M32" i="8"/>
  <c r="D22" i="8"/>
  <c r="D21" i="8"/>
  <c r="B3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V32" i="8"/>
  <c r="T32" i="8"/>
  <c r="R32" i="8"/>
  <c r="G32" i="8"/>
  <c r="H32" i="8"/>
  <c r="C32" i="8"/>
  <c r="W31" i="8"/>
  <c r="S31" i="8"/>
  <c r="N31" i="8"/>
  <c r="W30" i="8"/>
  <c r="S30" i="8"/>
  <c r="N30" i="8"/>
  <c r="W29" i="8"/>
  <c r="S29" i="8"/>
  <c r="N29" i="8"/>
  <c r="W28" i="8"/>
  <c r="S28" i="8"/>
  <c r="N28" i="8"/>
  <c r="W27" i="8"/>
  <c r="S27" i="8"/>
  <c r="N27" i="8"/>
  <c r="W26" i="8"/>
  <c r="S26" i="8"/>
  <c r="N26" i="8"/>
  <c r="W25" i="8"/>
  <c r="S25" i="8"/>
  <c r="N25" i="8"/>
  <c r="W24" i="8"/>
  <c r="S24" i="8"/>
  <c r="N24" i="8"/>
  <c r="W23" i="8"/>
  <c r="S23" i="8"/>
  <c r="N23" i="8"/>
  <c r="W22" i="8"/>
  <c r="S22" i="8"/>
  <c r="O32" i="8"/>
  <c r="N32" i="8"/>
  <c r="W21" i="8"/>
  <c r="S21" i="8"/>
  <c r="N21" i="8"/>
  <c r="W20" i="8"/>
  <c r="S20" i="8"/>
  <c r="N20" i="8"/>
  <c r="W19" i="8"/>
  <c r="S19" i="8"/>
  <c r="N19" i="8"/>
  <c r="W18" i="8"/>
  <c r="S18" i="8"/>
  <c r="N18" i="8"/>
  <c r="W17" i="8"/>
  <c r="S17" i="8"/>
  <c r="N17" i="8"/>
  <c r="W16" i="8"/>
  <c r="S16" i="8"/>
  <c r="N16" i="8"/>
  <c r="W15" i="8"/>
  <c r="S15" i="8"/>
  <c r="N15" i="8"/>
  <c r="W14" i="8"/>
  <c r="S14" i="8"/>
  <c r="N14" i="8"/>
  <c r="W13" i="8"/>
  <c r="S13" i="8"/>
  <c r="N13" i="8"/>
  <c r="W12" i="8"/>
  <c r="S12" i="8"/>
  <c r="N12" i="8"/>
  <c r="W11" i="8"/>
  <c r="S11" i="8"/>
  <c r="N11" i="8"/>
  <c r="W10" i="8"/>
  <c r="S10" i="8"/>
  <c r="N10" i="8"/>
  <c r="W9" i="8"/>
  <c r="S9" i="8"/>
  <c r="N9" i="8"/>
  <c r="W8" i="8"/>
  <c r="S8" i="8"/>
  <c r="N8" i="8"/>
  <c r="W7" i="8"/>
  <c r="S7" i="8"/>
  <c r="N7" i="8"/>
  <c r="W6" i="8"/>
  <c r="S6" i="8"/>
  <c r="N6" i="8"/>
  <c r="W5" i="8"/>
  <c r="S5" i="8"/>
  <c r="N5" i="8"/>
  <c r="W4" i="8"/>
  <c r="W32" i="8"/>
  <c r="S4" i="8"/>
  <c r="S32" i="8"/>
  <c r="N4" i="8"/>
  <c r="J32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W3" i="8"/>
  <c r="S3" i="8"/>
  <c r="N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D31" i="7"/>
  <c r="O27" i="7"/>
  <c r="O26" i="7"/>
  <c r="O25" i="7"/>
  <c r="O24" i="7"/>
  <c r="O23" i="7"/>
  <c r="O22" i="7"/>
  <c r="J21" i="7"/>
  <c r="D30" i="7"/>
  <c r="D29" i="7"/>
  <c r="D27" i="7"/>
  <c r="D26" i="7"/>
  <c r="D25" i="7"/>
  <c r="D24" i="7"/>
  <c r="D23" i="7"/>
  <c r="D22" i="7"/>
  <c r="D21" i="7"/>
  <c r="D20" i="7"/>
  <c r="D19" i="7"/>
  <c r="J14" i="7"/>
  <c r="I14" i="7"/>
  <c r="J13" i="7"/>
  <c r="J12" i="7"/>
  <c r="I12" i="7"/>
  <c r="J11" i="7"/>
  <c r="J10" i="7"/>
  <c r="I10" i="7"/>
  <c r="D10" i="7"/>
  <c r="J9" i="7"/>
  <c r="D9" i="7"/>
  <c r="J8" i="7"/>
  <c r="I8" i="7"/>
  <c r="D8" i="7"/>
  <c r="J7" i="7"/>
  <c r="D7" i="7"/>
  <c r="J6" i="7"/>
  <c r="I6" i="7"/>
  <c r="D6" i="7"/>
  <c r="J4" i="7"/>
  <c r="I4" i="7"/>
  <c r="D5" i="7"/>
  <c r="D34" i="7"/>
  <c r="E34" i="7"/>
  <c r="D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34" i="7"/>
  <c r="W4" i="7"/>
  <c r="W3" i="7"/>
  <c r="V34" i="7"/>
  <c r="S7" i="7"/>
  <c r="S6" i="7"/>
  <c r="S5" i="7"/>
  <c r="S4" i="7"/>
  <c r="S3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L34" i="7"/>
  <c r="O34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M34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R34" i="7"/>
  <c r="S34" i="7"/>
  <c r="T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3" i="7"/>
  <c r="I11" i="7"/>
  <c r="I9" i="7"/>
  <c r="I7" i="7"/>
  <c r="I5" i="7"/>
  <c r="I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G34" i="7"/>
  <c r="H34" i="7"/>
  <c r="B34" i="7"/>
  <c r="C34" i="7"/>
  <c r="J34" i="7"/>
  <c r="N22" i="8"/>
  <c r="I32" i="8"/>
  <c r="N15" i="10"/>
  <c r="I8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I5" i="12"/>
  <c r="I3" i="14"/>
  <c r="I34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N19" i="15"/>
  <c r="N33" i="15"/>
  <c r="I23" i="15"/>
  <c r="I3" i="15"/>
  <c r="I33" i="15"/>
  <c r="I6" i="15"/>
  <c r="I3" i="16"/>
  <c r="I34" i="16"/>
  <c r="T34" i="16"/>
  <c r="S18" i="17"/>
  <c r="N3" i="17"/>
  <c r="N33" i="17"/>
  <c r="N4" i="18"/>
  <c r="X7" i="18"/>
  <c r="S3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N10" i="22"/>
  <c r="S34" i="22"/>
  <c r="N34" i="22"/>
  <c r="D34" i="22"/>
  <c r="E4" i="23"/>
  <c r="E5" i="23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N24" i="25"/>
  <c r="N29" i="26"/>
  <c r="T33" i="26"/>
  <c r="S4" i="27"/>
  <c r="D34" i="28"/>
  <c r="E34" i="28"/>
  <c r="M34" i="28"/>
  <c r="S23" i="28"/>
  <c r="X34" i="29"/>
  <c r="N26" i="29"/>
  <c r="N34" i="29"/>
  <c r="X33" i="29"/>
  <c r="X34" i="31"/>
  <c r="T34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N13" i="32"/>
  <c r="I25" i="34"/>
  <c r="I34" i="34"/>
  <c r="N5" i="35"/>
  <c r="N34" i="35"/>
  <c r="I13" i="36"/>
  <c r="N19" i="36"/>
  <c r="N34" i="36"/>
  <c r="I9" i="36"/>
  <c r="I34" i="36"/>
  <c r="J34" i="38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H33" i="7"/>
  <c r="H32" i="7"/>
  <c r="E29" i="7"/>
  <c r="E30" i="7"/>
  <c r="E31" i="7"/>
  <c r="E32" i="7"/>
  <c r="E33" i="7"/>
  <c r="C33" i="14"/>
  <c r="C32" i="14"/>
  <c r="E14" i="15"/>
  <c r="E15" i="15"/>
  <c r="E16" i="15"/>
  <c r="E17" i="15"/>
  <c r="E18" i="15"/>
  <c r="E19" i="15"/>
  <c r="E20" i="15"/>
  <c r="E21" i="15"/>
  <c r="E22" i="15"/>
  <c r="C33" i="16"/>
  <c r="C32" i="16"/>
  <c r="H32" i="16"/>
  <c r="H33" i="16"/>
  <c r="R33" i="16"/>
  <c r="R32" i="16"/>
  <c r="E32" i="16"/>
  <c r="E33" i="16"/>
  <c r="X34" i="16"/>
  <c r="S34" i="25"/>
  <c r="S35" i="25"/>
  <c r="E33" i="14"/>
  <c r="E32" i="14"/>
  <c r="I34" i="7"/>
  <c r="M32" i="7"/>
  <c r="M33" i="7"/>
  <c r="E21" i="8"/>
  <c r="E22" i="8"/>
  <c r="E23" i="8"/>
  <c r="E24" i="8"/>
  <c r="E25" i="8"/>
  <c r="E26" i="8"/>
  <c r="E27" i="8"/>
  <c r="E28" i="8"/>
  <c r="E29" i="8"/>
  <c r="E30" i="8"/>
  <c r="E31" i="8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C32" i="13"/>
  <c r="C33" i="13"/>
  <c r="H33" i="13"/>
  <c r="H32" i="13"/>
  <c r="H33" i="14"/>
  <c r="H32" i="14"/>
  <c r="E25" i="19"/>
  <c r="E26" i="19"/>
  <c r="E27" i="19"/>
  <c r="E28" i="19"/>
  <c r="E29" i="19"/>
  <c r="E30" i="19"/>
  <c r="E31" i="19"/>
  <c r="E32" i="19"/>
  <c r="E33" i="19"/>
  <c r="S34" i="23"/>
  <c r="S34" i="24"/>
  <c r="J34" i="11"/>
  <c r="I6" i="11"/>
  <c r="I3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11" i="15"/>
  <c r="E12" i="15"/>
  <c r="E13" i="15"/>
  <c r="E23" i="15"/>
  <c r="E24" i="15"/>
  <c r="E25" i="15"/>
  <c r="E26" i="15"/>
  <c r="E27" i="15"/>
  <c r="E28" i="15"/>
  <c r="E29" i="15"/>
  <c r="E30" i="15"/>
  <c r="E31" i="15"/>
  <c r="E32" i="15"/>
  <c r="X34" i="18"/>
  <c r="D34" i="18"/>
  <c r="E34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T34" i="21"/>
  <c r="M33" i="26"/>
  <c r="N5" i="26"/>
  <c r="N33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D33" i="26"/>
  <c r="E33" i="26"/>
  <c r="M34" i="31"/>
  <c r="N13" i="31"/>
  <c r="D34" i="38"/>
  <c r="E3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24"/>
  <c r="E26" i="21"/>
  <c r="E27" i="21"/>
  <c r="E28" i="21"/>
  <c r="E29" i="21"/>
  <c r="E30" i="21"/>
  <c r="E31" i="21"/>
  <c r="E32" i="21"/>
  <c r="E33" i="21"/>
  <c r="D34" i="13"/>
  <c r="E34" i="13"/>
  <c r="D32" i="8"/>
  <c r="E32" i="8"/>
  <c r="N15" i="9"/>
  <c r="N34" i="9"/>
  <c r="I11" i="10"/>
  <c r="I33" i="10"/>
  <c r="D34" i="11"/>
  <c r="E34" i="11"/>
  <c r="M34" i="11"/>
  <c r="J34" i="13"/>
  <c r="M33" i="12"/>
  <c r="M34" i="13"/>
  <c r="N15" i="13"/>
  <c r="N34" i="13"/>
  <c r="M34" i="14"/>
  <c r="N19" i="14"/>
  <c r="N34" i="14"/>
  <c r="J33" i="15"/>
  <c r="M33" i="15"/>
  <c r="X8" i="17"/>
  <c r="X33" i="17"/>
  <c r="W33" i="17"/>
  <c r="S3" i="18"/>
  <c r="S34" i="18"/>
  <c r="S25" i="19"/>
  <c r="S34" i="19"/>
  <c r="T34" i="19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I34" i="20"/>
  <c r="T34" i="20"/>
  <c r="N10" i="21"/>
  <c r="N34" i="21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N34" i="23"/>
  <c r="X34" i="23"/>
  <c r="T34" i="23"/>
  <c r="I34" i="24"/>
  <c r="S28" i="25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T34" i="28"/>
  <c r="S9" i="28"/>
  <c r="S34" i="28"/>
  <c r="X34" i="30"/>
  <c r="J34" i="29"/>
  <c r="I21" i="29"/>
  <c r="S34" i="31"/>
  <c r="N34" i="31"/>
  <c r="S34" i="32"/>
  <c r="E32" i="32"/>
  <c r="E33" i="32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D34" i="30"/>
  <c r="E34" i="30"/>
  <c r="M34" i="37"/>
  <c r="N3" i="37"/>
  <c r="N34" i="37"/>
  <c r="X34" i="27"/>
  <c r="T34" i="27"/>
  <c r="S23" i="27"/>
  <c r="S34" i="27"/>
  <c r="M34" i="27"/>
  <c r="N27" i="27"/>
  <c r="N34" i="27"/>
  <c r="S34" i="30"/>
  <c r="I34" i="29"/>
  <c r="S34" i="29"/>
  <c r="D34" i="29"/>
  <c r="E34" i="29"/>
  <c r="E27" i="29"/>
  <c r="E28" i="29"/>
  <c r="E29" i="29"/>
  <c r="E30" i="29"/>
  <c r="E31" i="29"/>
  <c r="E32" i="29"/>
  <c r="E33" i="29"/>
  <c r="X34" i="32"/>
  <c r="D34" i="32"/>
  <c r="E34" i="32"/>
  <c r="N34" i="34"/>
  <c r="N10" i="34"/>
  <c r="M34" i="34"/>
  <c r="X34" i="33"/>
  <c r="J34" i="34"/>
  <c r="D34" i="37"/>
  <c r="E34" i="37"/>
  <c r="E26" i="37"/>
  <c r="E27" i="37"/>
  <c r="E28" i="37"/>
  <c r="E29" i="37"/>
  <c r="E30" i="37"/>
  <c r="E31" i="37"/>
  <c r="E32" i="37"/>
  <c r="E33" i="37"/>
  <c r="S34" i="38"/>
  <c r="X34" i="38"/>
  <c r="E32" i="13"/>
  <c r="E33" i="13"/>
  <c r="E34" i="22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N34" i="41"/>
  <c r="D34" i="41"/>
  <c r="E34" i="41"/>
  <c r="I30" i="41"/>
  <c r="I34" i="41"/>
  <c r="S34" i="42"/>
  <c r="N34" i="42"/>
  <c r="I3" i="42"/>
  <c r="I34" i="42"/>
  <c r="J34" i="42"/>
  <c r="X34" i="43"/>
  <c r="I18" i="43"/>
  <c r="I9" i="43"/>
  <c r="E26" i="46"/>
  <c r="E27" i="46"/>
  <c r="E28" i="46"/>
  <c r="E29" i="46"/>
  <c r="E30" i="46"/>
  <c r="E31" i="46"/>
  <c r="E32" i="46"/>
  <c r="E33" i="46"/>
  <c r="M34" i="46"/>
  <c r="M35" i="44"/>
  <c r="S35" i="44" l="1"/>
  <c r="N35" i="44"/>
  <c r="I35" i="44"/>
</calcChain>
</file>

<file path=xl/comments1.xml><?xml version="1.0" encoding="utf-8"?>
<comments xmlns="http://schemas.openxmlformats.org/spreadsheetml/2006/main">
  <authors>
    <author>rajeev</author>
  </authors>
  <commentList>
    <comment ref="F21" authorId="0">
      <text>
        <r>
          <rPr>
            <b/>
            <sz val="8"/>
            <color indexed="81"/>
            <rFont val="Tahoma"/>
            <family val="2"/>
          </rPr>
          <t>4pack=4.666Mt,
3pack=3.321Mt.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rajeev:</t>
        </r>
        <r>
          <rPr>
            <sz val="8"/>
            <color indexed="81"/>
            <rFont val="Tahoma"/>
            <family val="2"/>
          </rPr>
          <t xml:space="preserve">
3 PACK START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rajeev:</t>
        </r>
        <r>
          <rPr>
            <sz val="8"/>
            <color indexed="81"/>
            <rFont val="Tahoma"/>
            <family val="2"/>
          </rPr>
          <t xml:space="preserve">
640 Box 01/12
530 Box 02/12
</t>
        </r>
      </text>
    </comment>
  </commentList>
</comments>
</file>

<file path=xl/comments10.xml><?xml version="1.0" encoding="utf-8"?>
<comments xmlns="http://schemas.openxmlformats.org/spreadsheetml/2006/main">
  <authors>
    <author>Raghubir</author>
  </authors>
  <commentList>
    <comment ref="D26" authorId="0">
      <text>
        <r>
          <rPr>
            <sz val="8"/>
            <color indexed="81"/>
            <rFont val="Tahoma"/>
            <family val="2"/>
          </rPr>
          <t xml:space="preserve">1065 BOX - 07/13 PKD
925 BOX -08/13 PKD
</t>
        </r>
      </text>
    </comment>
  </commentList>
</comments>
</file>

<file path=xl/comments11.xml><?xml version="1.0" encoding="utf-8"?>
<comments xmlns="http://schemas.openxmlformats.org/spreadsheetml/2006/main">
  <authors>
    <author>Raghubir</author>
  </authors>
  <commentList>
    <comment ref="D15" authorId="0">
      <text>
        <r>
          <rPr>
            <sz val="8"/>
            <color indexed="81"/>
            <rFont val="Tahoma"/>
            <family val="2"/>
          </rPr>
          <t xml:space="preserve">845 BOX is - 08/13 PKD
215 BOX is - 09/13 PKD.
</t>
        </r>
      </text>
    </comment>
  </commentList>
</comments>
</file>

<file path=xl/comments12.xml><?xml version="1.0" encoding="utf-8"?>
<comments xmlns="http://schemas.openxmlformats.org/spreadsheetml/2006/main">
  <authors>
    <author>Raghubir</author>
  </authors>
  <commentList>
    <comment ref="D21" authorId="0">
      <text>
        <r>
          <rPr>
            <sz val="9"/>
            <color indexed="81"/>
            <rFont val="Tahoma"/>
            <family val="2"/>
          </rPr>
          <t xml:space="preserve">Produced 280 BOX with New HBD carton
</t>
        </r>
      </text>
    </comment>
  </commentList>
</comments>
</file>

<file path=xl/comments2.xml><?xml version="1.0" encoding="utf-8"?>
<comments xmlns="http://schemas.openxmlformats.org/spreadsheetml/2006/main">
  <authors>
    <author>Bharat</author>
  </authors>
  <commentList>
    <comment ref="J12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927 Box 04/12 PKD</t>
        </r>
      </text>
    </comment>
    <comment ref="J13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572 Box 04/12 PKD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</commentList>
</comments>
</file>

<file path=xl/comments3.xml><?xml version="1.0" encoding="utf-8"?>
<comments xmlns="http://schemas.openxmlformats.org/spreadsheetml/2006/main">
  <authors>
    <author>Bharat</author>
  </authors>
  <commentList>
    <comment ref="O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</commentList>
</comments>
</file>

<file path=xl/comments4.xml><?xml version="1.0" encoding="utf-8"?>
<comments xmlns="http://schemas.openxmlformats.org/spreadsheetml/2006/main">
  <authors>
    <author>Bharat</author>
  </authors>
  <commentList>
    <comment ref="O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</commentList>
</comments>
</file>

<file path=xl/comments5.xml><?xml version="1.0" encoding="utf-8"?>
<comments xmlns="http://schemas.openxmlformats.org/spreadsheetml/2006/main">
  <authors>
    <author>Bharat</author>
  </authors>
  <commentList>
    <comment ref="O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</commentList>
</comments>
</file>

<file path=xl/comments6.xml><?xml version="1.0" encoding="utf-8"?>
<comments xmlns="http://schemas.openxmlformats.org/spreadsheetml/2006/main">
  <authors>
    <author>Bharat</author>
  </authors>
  <commentList>
    <comment ref="O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</commentList>
</comments>
</file>

<file path=xl/comments7.xml><?xml version="1.0" encoding="utf-8"?>
<comments xmlns="http://schemas.openxmlformats.org/spreadsheetml/2006/main">
  <authors>
    <author>Bharat</author>
  </authors>
  <commentList>
    <comment ref="Y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</commentList>
</comments>
</file>

<file path=xl/comments8.xml><?xml version="1.0" encoding="utf-8"?>
<comments xmlns="http://schemas.openxmlformats.org/spreadsheetml/2006/main">
  <authors>
    <author>Bharat</author>
    <author>colahuja</author>
  </authors>
  <commentList>
    <comment ref="Y16" authorId="0">
      <text>
        <r>
          <rPr>
            <b/>
            <sz val="8"/>
            <color indexed="81"/>
            <rFont val="Tahoma"/>
            <family val="2"/>
          </rPr>
          <t>Bharat:</t>
        </r>
        <r>
          <rPr>
            <sz val="8"/>
            <color indexed="81"/>
            <rFont val="Tahoma"/>
            <family val="2"/>
          </rPr>
          <t xml:space="preserve">
1192 BOX 04/12 PKD
</t>
        </r>
      </text>
    </comment>
    <comment ref="D27" authorId="1">
      <text>
        <r>
          <rPr>
            <sz val="8"/>
            <color indexed="81"/>
            <rFont val="Tahoma"/>
            <family val="2"/>
          </rPr>
          <t xml:space="preserve"> 205 Box 11/12
</t>
        </r>
      </text>
    </comment>
  </commentList>
</comments>
</file>

<file path=xl/comments9.xml><?xml version="1.0" encoding="utf-8"?>
<comments xmlns="http://schemas.openxmlformats.org/spreadsheetml/2006/main">
  <authors>
    <author>colahuja</author>
  </authors>
  <commentList>
    <comment ref="T22" authorId="0">
      <text>
        <r>
          <rPr>
            <sz val="8"/>
            <color indexed="81"/>
            <rFont val="Tahoma"/>
            <family val="2"/>
          </rPr>
          <t xml:space="preserve"> Persona 75 gm x 4 pack
</t>
        </r>
      </text>
    </comment>
  </commentList>
</comments>
</file>

<file path=xl/sharedStrings.xml><?xml version="1.0" encoding="utf-8"?>
<sst xmlns="http://schemas.openxmlformats.org/spreadsheetml/2006/main" count="1462" uniqueCount="110">
  <si>
    <t>CARTONING ON LINE H5</t>
  </si>
  <si>
    <t>Date</t>
  </si>
  <si>
    <t>Line Plan</t>
  </si>
  <si>
    <t>Cummulative</t>
  </si>
  <si>
    <t>Qty (In MT)</t>
  </si>
  <si>
    <t>Remarks</t>
  </si>
  <si>
    <t>Sleeving Plan</t>
  </si>
  <si>
    <t>In Cases</t>
  </si>
  <si>
    <t>Total</t>
  </si>
  <si>
    <t>RELEASED BY AMWAY</t>
  </si>
  <si>
    <t>MT</t>
  </si>
  <si>
    <t>PKD</t>
  </si>
  <si>
    <t>3 PACK</t>
  </si>
  <si>
    <t>4 PACK</t>
  </si>
  <si>
    <t>OFF  LINE  SLEEVING</t>
  </si>
  <si>
    <t xml:space="preserve">                OFF  LINE  SLEEVING </t>
  </si>
  <si>
    <t>4 pack</t>
  </si>
  <si>
    <t xml:space="preserve">              3 PACK</t>
  </si>
  <si>
    <t xml:space="preserve">                4 PACK</t>
  </si>
  <si>
    <t>3 pack</t>
  </si>
  <si>
    <t>4 pack &amp; 3pack</t>
  </si>
  <si>
    <t>3- pack</t>
  </si>
  <si>
    <t>OFF  LINE  SLEEVING 3 Pack</t>
  </si>
  <si>
    <t>03/12.</t>
  </si>
  <si>
    <t>04/12.</t>
  </si>
  <si>
    <t>05/12.</t>
  </si>
  <si>
    <t>07/12.</t>
  </si>
  <si>
    <t>09/12.</t>
  </si>
  <si>
    <t>4PACK START.</t>
  </si>
  <si>
    <t>OFF  LINE  SLEEVING 4 Pack</t>
  </si>
  <si>
    <t xml:space="preserve">              4 PACK</t>
  </si>
  <si>
    <t>11/12 Pkd</t>
  </si>
  <si>
    <t xml:space="preserve">                                                                                                                                                                  </t>
  </si>
  <si>
    <t>OFF  LINE  SLEEVING 3/4 Pack</t>
  </si>
  <si>
    <t>3 Pack</t>
  </si>
  <si>
    <t>4 Pack</t>
  </si>
  <si>
    <t>06/13 PKD</t>
  </si>
  <si>
    <t>07/13 PKD</t>
  </si>
  <si>
    <t>08/13 PKD</t>
  </si>
  <si>
    <t>09/13 PKD</t>
  </si>
  <si>
    <t>3 &amp; 4 Pack</t>
  </si>
  <si>
    <t>3 PKD</t>
  </si>
  <si>
    <t>CARTONING ON LINE H7</t>
  </si>
  <si>
    <t>12/14.</t>
  </si>
  <si>
    <t>New MRP.144</t>
  </si>
  <si>
    <t>Billing Document</t>
  </si>
  <si>
    <t>Ship to Party Desc</t>
  </si>
  <si>
    <t>City1(Ship To Party)</t>
  </si>
  <si>
    <t>PO Number</t>
  </si>
  <si>
    <t>LR.No.</t>
  </si>
  <si>
    <t>Ammount</t>
  </si>
  <si>
    <t>Qty.in BOX</t>
  </si>
  <si>
    <t>Qty.in MT</t>
  </si>
  <si>
    <t>New Formulation Soap</t>
  </si>
  <si>
    <t>Remarks/Batch No.</t>
  </si>
  <si>
    <t>Material Description</t>
  </si>
  <si>
    <t>05.05.2015</t>
  </si>
  <si>
    <t>AMWAY INDIA ENTP PVT LTD-NDC4</t>
  </si>
  <si>
    <t>DIST SONIPAT</t>
  </si>
  <si>
    <t>14000391 OU</t>
  </si>
  <si>
    <t>New Persona Soap ( Pack of 3)</t>
  </si>
  <si>
    <t>26573 DT 5.5.2015</t>
  </si>
  <si>
    <t>06.05.2015</t>
  </si>
  <si>
    <t>26842  DT-06.05.2015</t>
  </si>
  <si>
    <t>26876  DT-06.05.2015</t>
  </si>
  <si>
    <t>May'15</t>
  </si>
  <si>
    <t>32554  DT-14.05.2015</t>
  </si>
  <si>
    <t>14.05.2015</t>
  </si>
  <si>
    <t>32676  DT-14.05.2015</t>
  </si>
  <si>
    <t>PERSONA MOISUTURIZING CREAM SOAP  75 gm</t>
  </si>
  <si>
    <t xml:space="preserve">OFF  LINE  (FINAL PACKING WITH DISPLAY CARTON) 3 PacK </t>
  </si>
  <si>
    <t>PRODUCT</t>
  </si>
  <si>
    <t xml:space="preserve"> ON LINE H7 (STAMPING &amp; Pouching)</t>
  </si>
  <si>
    <t>29.05.2015</t>
  </si>
  <si>
    <t>43982  DT-29.05.2015</t>
  </si>
  <si>
    <t>30.05.2015</t>
  </si>
  <si>
    <t>45262 DT 30.05.2015</t>
  </si>
  <si>
    <t>45328 DT 30.05.2015</t>
  </si>
  <si>
    <t>OFF  LINE  (FINAL PACKING WITH DISPLAY CARTON) 3 Pack</t>
  </si>
  <si>
    <t>OFF  LINE  (FINAL PACKING WITH DISPLAY CARTON) 3+1 Pack</t>
  </si>
  <si>
    <t>RELEASED BY AMWAY 75 gm x 3+1</t>
  </si>
  <si>
    <t>PERSONA MOISUTURIZING CREAM SOAP  75 gm x 3 Pack</t>
  </si>
  <si>
    <t>FEB'15</t>
  </si>
  <si>
    <t>RELEASED BY AMWAY 75 gm x 3 Pack</t>
  </si>
  <si>
    <t>CARTONING ON LINE H6</t>
  </si>
  <si>
    <t>No/Production</t>
  </si>
  <si>
    <t>nos</t>
  </si>
  <si>
    <t>2016212VBE3</t>
  </si>
  <si>
    <t>2016213VBE4</t>
  </si>
  <si>
    <t>2016214VBE5</t>
  </si>
  <si>
    <t>2016215VBE6</t>
  </si>
  <si>
    <t>2016216VBE7</t>
  </si>
  <si>
    <t>ON LINE  (SOAP STAMPING &amp; POUCHING) 3 Pack</t>
  </si>
  <si>
    <t>7060VBEF</t>
  </si>
  <si>
    <t>7060VBEF-91
7061VBEG-180</t>
  </si>
  <si>
    <t>7061VBEG=524 Box</t>
  </si>
  <si>
    <t>7061VBEG=316 Box</t>
  </si>
  <si>
    <t>7061VBEG=405 Box</t>
  </si>
  <si>
    <t>7061VBEG</t>
  </si>
  <si>
    <t>7061VBEG=412 Box</t>
  </si>
  <si>
    <t>7061VBEG=192 Box</t>
  </si>
  <si>
    <t>7081VBEH=960 Box</t>
  </si>
  <si>
    <t>7081VBEH</t>
  </si>
  <si>
    <t>7081VBEH=335 Box
7082VBEK=780 Box</t>
  </si>
  <si>
    <t>7082VBEK=1020 Box</t>
  </si>
  <si>
    <t>7082VBEK=151 Box</t>
  </si>
  <si>
    <t>7082VBEK</t>
  </si>
  <si>
    <t>7082VBEK=518 Box</t>
  </si>
  <si>
    <t>Small qty clubed with 18th April</t>
  </si>
  <si>
    <t>Despatched system screen shot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</si>
</sst>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000"/>
    <numFmt numFmtId="166" formatCode="m/d;@"/>
    <numFmt numFmtId="167" formatCode="0.000"/>
    <numFmt numFmtId="168" formatCode="0.0"/>
  </numFmts>
  <fonts count="21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</font>
    <font>
      <b/>
      <sz val="9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39">
    <xf numFmtId="0" fontId="0" fillId="0" borderId="0" xfId="0"/>
    <xf numFmtId="0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6" fontId="6" fillId="0" borderId="6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7" fillId="2" borderId="10" xfId="0" applyNumberFormat="1" applyFont="1" applyFill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3" borderId="15" xfId="0" applyFont="1" applyFill="1" applyBorder="1" applyAlignment="1">
      <alignment horizontal="center" wrapText="1"/>
    </xf>
    <xf numFmtId="0" fontId="6" fillId="0" borderId="0" xfId="0" applyFont="1"/>
    <xf numFmtId="166" fontId="6" fillId="0" borderId="1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1" fontId="2" fillId="0" borderId="16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 vertical="center" wrapText="1"/>
    </xf>
    <xf numFmtId="2" fontId="13" fillId="6" borderId="18" xfId="1" applyNumberFormat="1" applyFont="1" applyFill="1" applyBorder="1" applyAlignment="1">
      <alignment vertical="center" wrapText="1"/>
    </xf>
    <xf numFmtId="2" fontId="13" fillId="6" borderId="19" xfId="1" applyNumberFormat="1" applyFont="1" applyFill="1" applyBorder="1" applyAlignment="1">
      <alignment vertical="center" wrapText="1"/>
    </xf>
    <xf numFmtId="16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 wrapText="1"/>
    </xf>
    <xf numFmtId="16" fontId="3" fillId="0" borderId="17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16" fontId="3" fillId="0" borderId="2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15" fillId="0" borderId="6" xfId="0" applyNumberFormat="1" applyFont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/>
    </xf>
    <xf numFmtId="167" fontId="6" fillId="0" borderId="23" xfId="0" applyNumberFormat="1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16" fontId="3" fillId="0" borderId="2" xfId="0" quotePrefix="1" applyNumberFormat="1" applyFont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9" fontId="0" fillId="0" borderId="0" xfId="2" applyFont="1"/>
    <xf numFmtId="2" fontId="7" fillId="0" borderId="25" xfId="0" applyNumberFormat="1" applyFont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" fontId="1" fillId="2" borderId="26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/>
    </xf>
    <xf numFmtId="2" fontId="2" fillId="0" borderId="28" xfId="0" applyNumberFormat="1" applyFont="1" applyFill="1" applyBorder="1" applyAlignment="1">
      <alignment horizontal="center"/>
    </xf>
    <xf numFmtId="167" fontId="0" fillId="0" borderId="0" xfId="0" applyNumberFormat="1"/>
    <xf numFmtId="0" fontId="5" fillId="0" borderId="29" xfId="0" applyFont="1" applyBorder="1" applyAlignment="1">
      <alignment horizontal="center" wrapText="1"/>
    </xf>
    <xf numFmtId="167" fontId="7" fillId="0" borderId="25" xfId="0" applyNumberFormat="1" applyFont="1" applyBorder="1" applyAlignment="1">
      <alignment horizontal="center"/>
    </xf>
    <xf numFmtId="16" fontId="6" fillId="7" borderId="6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6" fontId="3" fillId="7" borderId="2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166" fontId="6" fillId="7" borderId="2" xfId="0" applyNumberFormat="1" applyFont="1" applyFill="1" applyBorder="1" applyAlignment="1">
      <alignment horizontal="center"/>
    </xf>
    <xf numFmtId="0" fontId="0" fillId="7" borderId="0" xfId="0" applyFill="1"/>
    <xf numFmtId="0" fontId="15" fillId="7" borderId="6" xfId="0" applyNumberFormat="1" applyFont="1" applyFill="1" applyBorder="1" applyAlignment="1">
      <alignment horizontal="center" vertical="center" wrapText="1"/>
    </xf>
    <xf numFmtId="0" fontId="15" fillId="7" borderId="2" xfId="0" applyNumberFormat="1" applyFont="1" applyFill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/>
    </xf>
    <xf numFmtId="9" fontId="3" fillId="0" borderId="2" xfId="2" applyFont="1" applyBorder="1" applyAlignment="1">
      <alignment horizontal="center" vertical="center" wrapText="1"/>
    </xf>
    <xf numFmtId="167" fontId="7" fillId="0" borderId="10" xfId="0" applyNumberFormat="1" applyFont="1" applyBorder="1" applyAlignment="1">
      <alignment horizontal="center"/>
    </xf>
    <xf numFmtId="165" fontId="0" fillId="0" borderId="0" xfId="0" applyNumberFormat="1"/>
    <xf numFmtId="0" fontId="6" fillId="2" borderId="4" xfId="0" applyFont="1" applyFill="1" applyBorder="1" applyAlignment="1">
      <alignment horizontal="center" wrapText="1"/>
    </xf>
    <xf numFmtId="167" fontId="2" fillId="0" borderId="1" xfId="0" applyNumberFormat="1" applyFont="1" applyFill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167" fontId="6" fillId="0" borderId="0" xfId="0" applyNumberFormat="1" applyFont="1"/>
    <xf numFmtId="0" fontId="0" fillId="0" borderId="1" xfId="0" applyBorder="1"/>
    <xf numFmtId="2" fontId="0" fillId="0" borderId="1" xfId="0" applyNumberFormat="1" applyBorder="1"/>
    <xf numFmtId="0" fontId="17" fillId="8" borderId="1" xfId="0" applyFont="1" applyFill="1" applyBorder="1"/>
    <xf numFmtId="0" fontId="0" fillId="8" borderId="1" xfId="0" applyFill="1" applyBorder="1"/>
    <xf numFmtId="2" fontId="17" fillId="8" borderId="1" xfId="0" applyNumberFormat="1" applyFont="1" applyFill="1" applyBorder="1"/>
    <xf numFmtId="167" fontId="0" fillId="0" borderId="1" xfId="0" applyNumberFormat="1" applyBorder="1"/>
    <xf numFmtId="0" fontId="17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9" borderId="1" xfId="0" applyFont="1" applyFill="1" applyBorder="1" applyAlignment="1"/>
    <xf numFmtId="0" fontId="15" fillId="9" borderId="2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/>
    </xf>
    <xf numFmtId="167" fontId="17" fillId="8" borderId="1" xfId="0" applyNumberFormat="1" applyFont="1" applyFill="1" applyBorder="1"/>
    <xf numFmtId="0" fontId="18" fillId="0" borderId="1" xfId="0" applyFont="1" applyBorder="1" applyAlignment="1">
      <alignment horizontal="left"/>
    </xf>
    <xf numFmtId="167" fontId="18" fillId="0" borderId="1" xfId="0" applyNumberFormat="1" applyFont="1" applyBorder="1" applyAlignment="1">
      <alignment horizontal="center"/>
    </xf>
    <xf numFmtId="0" fontId="19" fillId="9" borderId="13" xfId="0" applyFont="1" applyFill="1" applyBorder="1"/>
    <xf numFmtId="0" fontId="19" fillId="9" borderId="35" xfId="0" applyFont="1" applyFill="1" applyBorder="1"/>
    <xf numFmtId="0" fontId="0" fillId="9" borderId="35" xfId="0" applyFill="1" applyBorder="1"/>
    <xf numFmtId="0" fontId="0" fillId="9" borderId="19" xfId="0" applyFill="1" applyBorder="1"/>
    <xf numFmtId="167" fontId="18" fillId="0" borderId="1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/>
    </xf>
    <xf numFmtId="16" fontId="3" fillId="0" borderId="13" xfId="0" applyNumberFormat="1" applyFont="1" applyBorder="1" applyAlignment="1">
      <alignment horizontal="center" vertical="center" wrapText="1"/>
    </xf>
    <xf numFmtId="16" fontId="3" fillId="0" borderId="12" xfId="0" applyNumberFormat="1" applyFont="1" applyBorder="1" applyAlignment="1">
      <alignment horizontal="center" vertical="center" wrapText="1"/>
    </xf>
    <xf numFmtId="168" fontId="0" fillId="0" borderId="0" xfId="0" applyNumberFormat="1"/>
    <xf numFmtId="0" fontId="15" fillId="0" borderId="1" xfId="0" applyFont="1" applyBorder="1" applyAlignment="1" applyProtection="1">
      <alignment horizontal="center"/>
    </xf>
    <xf numFmtId="167" fontId="2" fillId="0" borderId="1" xfId="0" applyNumberFormat="1" applyFont="1" applyBorder="1" applyAlignment="1">
      <alignment horizontal="center" vertical="center"/>
    </xf>
    <xf numFmtId="0" fontId="10" fillId="3" borderId="39" xfId="0" applyFont="1" applyFill="1" applyBorder="1" applyAlignment="1">
      <alignment horizontal="center" wrapText="1"/>
    </xf>
    <xf numFmtId="0" fontId="4" fillId="3" borderId="4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2" fontId="7" fillId="0" borderId="42" xfId="0" applyNumberFormat="1" applyFont="1" applyBorder="1" applyAlignment="1">
      <alignment horizontal="center"/>
    </xf>
    <xf numFmtId="167" fontId="7" fillId="0" borderId="43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0" fillId="9" borderId="0" xfId="0" applyFill="1"/>
    <xf numFmtId="0" fontId="5" fillId="0" borderId="8" xfId="0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6" fontId="6" fillId="0" borderId="29" xfId="0" applyNumberFormat="1" applyFont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1" fillId="2" borderId="10" xfId="0" applyNumberFormat="1" applyFont="1" applyFill="1" applyBorder="1" applyAlignment="1">
      <alignment horizontal="center"/>
    </xf>
    <xf numFmtId="167" fontId="1" fillId="2" borderId="10" xfId="0" applyNumberFormat="1" applyFont="1" applyFill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Fill="1" applyBorder="1" applyAlignment="1"/>
    <xf numFmtId="0" fontId="19" fillId="9" borderId="37" xfId="0" applyFont="1" applyFill="1" applyBorder="1"/>
    <xf numFmtId="0" fontId="19" fillId="9" borderId="38" xfId="0" applyFont="1" applyFill="1" applyBorder="1"/>
    <xf numFmtId="0" fontId="0" fillId="9" borderId="38" xfId="0" applyFill="1" applyBorder="1"/>
    <xf numFmtId="0" fontId="0" fillId="9" borderId="36" xfId="0" applyFill="1" applyBorder="1"/>
    <xf numFmtId="16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" fontId="0" fillId="0" borderId="0" xfId="0" applyNumberFormat="1"/>
    <xf numFmtId="0" fontId="15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" fontId="20" fillId="9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66" fontId="15" fillId="0" borderId="1" xfId="0" applyNumberFormat="1" applyFont="1" applyBorder="1" applyAlignment="1">
      <alignment horizontal="center" wrapText="1"/>
    </xf>
    <xf numFmtId="0" fontId="0" fillId="9" borderId="1" xfId="0" applyFill="1" applyBorder="1"/>
    <xf numFmtId="0" fontId="0" fillId="11" borderId="1" xfId="0" applyFill="1" applyBorder="1"/>
    <xf numFmtId="0" fontId="6" fillId="11" borderId="1" xfId="0" applyFont="1" applyFill="1" applyBorder="1"/>
    <xf numFmtId="0" fontId="2" fillId="0" borderId="0" xfId="0" applyFont="1"/>
    <xf numFmtId="167" fontId="6" fillId="11" borderId="1" xfId="0" applyNumberFormat="1" applyFont="1" applyFill="1" applyBorder="1"/>
    <xf numFmtId="0" fontId="19" fillId="2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6" fontId="19" fillId="10" borderId="1" xfId="0" applyNumberFormat="1" applyFont="1" applyFill="1" applyBorder="1" applyAlignment="1">
      <alignment horizontal="center"/>
    </xf>
    <xf numFmtId="0" fontId="19" fillId="10" borderId="1" xfId="0" applyNumberFormat="1" applyFont="1" applyFill="1" applyBorder="1" applyAlignment="1">
      <alignment horizontal="center"/>
    </xf>
    <xf numFmtId="167" fontId="19" fillId="10" borderId="1" xfId="0" applyNumberFormat="1" applyFont="1" applyFill="1" applyBorder="1" applyAlignment="1">
      <alignment horizontal="center"/>
    </xf>
    <xf numFmtId="165" fontId="19" fillId="10" borderId="1" xfId="0" applyNumberFormat="1" applyFont="1" applyFill="1" applyBorder="1" applyAlignment="1">
      <alignment horizontal="center"/>
    </xf>
    <xf numFmtId="1" fontId="19" fillId="10" borderId="1" xfId="0" applyNumberFormat="1" applyFont="1" applyFill="1" applyBorder="1" applyAlignment="1">
      <alignment horizontal="center"/>
    </xf>
    <xf numFmtId="0" fontId="19" fillId="10" borderId="1" xfId="0" applyFont="1" applyFill="1" applyBorder="1" applyAlignment="1"/>
    <xf numFmtId="2" fontId="19" fillId="10" borderId="1" xfId="0" applyNumberFormat="1" applyFont="1" applyFill="1" applyBorder="1" applyAlignment="1">
      <alignment horizontal="center"/>
    </xf>
    <xf numFmtId="16" fontId="15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32" xfId="0" applyFont="1" applyBorder="1" applyAlignment="1">
      <alignment horizontal="left"/>
    </xf>
    <xf numFmtId="0" fontId="1" fillId="10" borderId="33" xfId="0" applyFont="1" applyFill="1" applyBorder="1" applyAlignment="1">
      <alignment horizontal="center"/>
    </xf>
    <xf numFmtId="0" fontId="1" fillId="10" borderId="32" xfId="0" applyFont="1" applyFill="1" applyBorder="1" applyAlignment="1">
      <alignment horizontal="center"/>
    </xf>
    <xf numFmtId="0" fontId="1" fillId="10" borderId="34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5" fillId="9" borderId="32" xfId="0" applyFont="1" applyFill="1" applyBorder="1" applyAlignment="1">
      <alignment horizontal="center"/>
    </xf>
    <xf numFmtId="0" fontId="5" fillId="9" borderId="26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mruColors>
      <color rgb="FFEC6A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294057</xdr:colOff>
      <xdr:row>82</xdr:row>
      <xdr:rowOff>27661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43775"/>
          <a:ext cx="9752382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T23" sqref="T23"/>
    </sheetView>
  </sheetViews>
  <sheetFormatPr defaultRowHeight="12.75" x14ac:dyDescent="0.2"/>
  <cols>
    <col min="3" max="3" width="9.85546875" bestFit="1" customWidth="1"/>
    <col min="4" max="4" width="10.7109375" bestFit="1" customWidth="1"/>
    <col min="5" max="5" width="13.140625" bestFit="1" customWidth="1"/>
    <col min="7" max="7" width="11.85546875" customWidth="1"/>
    <col min="8" max="8" width="9.85546875" bestFit="1" customWidth="1"/>
    <col min="9" max="9" width="10.42578125" customWidth="1"/>
    <col min="16" max="16" width="10.85546875" customWidth="1"/>
    <col min="17" max="17" width="10" customWidth="1"/>
    <col min="18" max="18" width="14" customWidth="1"/>
    <col min="24" max="24" width="10.140625" bestFit="1" customWidth="1"/>
  </cols>
  <sheetData>
    <row r="1" spans="1:24" ht="16.5" thickBot="1" x14ac:dyDescent="0.3">
      <c r="A1" s="218" t="s">
        <v>0</v>
      </c>
      <c r="B1" s="219"/>
      <c r="C1" s="219"/>
      <c r="D1" s="219"/>
      <c r="E1" s="219"/>
      <c r="F1" s="220"/>
      <c r="G1" s="219" t="s">
        <v>14</v>
      </c>
      <c r="H1" s="219"/>
      <c r="I1" s="219"/>
      <c r="J1" s="219"/>
      <c r="K1" s="220"/>
      <c r="L1" s="219" t="s">
        <v>15</v>
      </c>
      <c r="M1" s="219"/>
      <c r="N1" s="219"/>
      <c r="O1" s="219"/>
      <c r="P1" s="220"/>
      <c r="Q1" s="31"/>
      <c r="R1" s="37" t="s">
        <v>17</v>
      </c>
      <c r="V1" s="37" t="s">
        <v>18</v>
      </c>
    </row>
    <row r="2" spans="1:24" ht="45.75" customHeight="1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19" t="s">
        <v>6</v>
      </c>
      <c r="M2" s="19" t="s">
        <v>3</v>
      </c>
      <c r="N2" s="15" t="s">
        <v>4</v>
      </c>
      <c r="O2" s="15" t="s">
        <v>7</v>
      </c>
      <c r="P2" s="21" t="s">
        <v>5</v>
      </c>
      <c r="Q2" s="32"/>
      <c r="R2" s="36" t="s">
        <v>9</v>
      </c>
      <c r="S2" s="10" t="s">
        <v>10</v>
      </c>
      <c r="T2" s="10" t="s">
        <v>11</v>
      </c>
      <c r="V2" s="36" t="s">
        <v>9</v>
      </c>
      <c r="W2" s="10" t="s">
        <v>10</v>
      </c>
      <c r="X2" s="10" t="s">
        <v>11</v>
      </c>
    </row>
    <row r="3" spans="1:24" ht="15" x14ac:dyDescent="0.2">
      <c r="A3" s="11">
        <v>40909</v>
      </c>
      <c r="B3" s="1">
        <v>0</v>
      </c>
      <c r="C3" s="2">
        <f>B3</f>
        <v>0</v>
      </c>
      <c r="D3" s="3">
        <v>0</v>
      </c>
      <c r="E3" s="3">
        <f>D3</f>
        <v>0</v>
      </c>
      <c r="F3" s="4" t="s">
        <v>16</v>
      </c>
      <c r="G3" s="1">
        <v>10</v>
      </c>
      <c r="H3" s="2">
        <f>G3</f>
        <v>10</v>
      </c>
      <c r="I3" s="3">
        <f>J3*9.6/1000</f>
        <v>3.024</v>
      </c>
      <c r="J3" s="5">
        <v>315</v>
      </c>
      <c r="K3" s="4" t="s">
        <v>13</v>
      </c>
      <c r="L3" s="1"/>
      <c r="M3" s="2">
        <f>L3</f>
        <v>0</v>
      </c>
      <c r="N3" s="3">
        <f>O3*7.2/1000</f>
        <v>0</v>
      </c>
      <c r="O3" s="5"/>
      <c r="P3" s="4"/>
      <c r="Q3" s="33"/>
      <c r="R3" s="30"/>
      <c r="S3" s="29">
        <f t="shared" ref="S3:S8" si="0">+R3*7.2/1000</f>
        <v>0</v>
      </c>
      <c r="T3" s="29"/>
      <c r="V3" s="30"/>
      <c r="W3" s="29">
        <f>+V3*9.6/1000</f>
        <v>0</v>
      </c>
      <c r="X3" s="29"/>
    </row>
    <row r="4" spans="1:24" x14ac:dyDescent="0.2">
      <c r="A4" s="11">
        <f t="shared" ref="A4:A32" si="1">A3+1</f>
        <v>40910</v>
      </c>
      <c r="B4" s="1">
        <v>11</v>
      </c>
      <c r="C4" s="2">
        <f t="shared" ref="C4:C32" si="2">B4+C3</f>
        <v>11</v>
      </c>
      <c r="D4" s="6">
        <f>1090*10.8/1000</f>
        <v>11.772</v>
      </c>
      <c r="E4" s="3">
        <f t="shared" ref="E4:E33" si="3">D4+E3</f>
        <v>11.772</v>
      </c>
      <c r="F4" s="4" t="s">
        <v>16</v>
      </c>
      <c r="G4" s="1">
        <v>10</v>
      </c>
      <c r="H4" s="2">
        <f t="shared" ref="H4:H32" si="4">H3+G4</f>
        <v>20</v>
      </c>
      <c r="I4" s="3">
        <f t="shared" ref="I4:I33" si="5">J4*9.6/1000</f>
        <v>6.0768000000000004</v>
      </c>
      <c r="J4" s="5">
        <f>253+380</f>
        <v>633</v>
      </c>
      <c r="K4" s="4" t="s">
        <v>13</v>
      </c>
      <c r="L4" s="1"/>
      <c r="M4" s="2">
        <f t="shared" ref="M4:M32" si="6">M3+L4</f>
        <v>0</v>
      </c>
      <c r="N4" s="3">
        <f t="shared" ref="N4:N34" si="7">O4*7.2/1000</f>
        <v>0</v>
      </c>
      <c r="O4" s="5"/>
      <c r="P4" s="4"/>
      <c r="Q4" s="34"/>
      <c r="R4" s="15"/>
      <c r="S4" s="29">
        <f t="shared" si="0"/>
        <v>0</v>
      </c>
      <c r="T4" s="29"/>
      <c r="V4" s="15"/>
      <c r="W4" s="29">
        <f t="shared" ref="W4:W33" si="8">+V4*9.6/1000</f>
        <v>0</v>
      </c>
      <c r="X4" s="38"/>
    </row>
    <row r="5" spans="1:24" ht="15" x14ac:dyDescent="0.25">
      <c r="A5" s="11">
        <f t="shared" si="1"/>
        <v>40911</v>
      </c>
      <c r="B5" s="1">
        <v>11</v>
      </c>
      <c r="C5" s="2">
        <f t="shared" si="2"/>
        <v>22</v>
      </c>
      <c r="D5" s="6">
        <f>1085*10.8/1000</f>
        <v>11.718</v>
      </c>
      <c r="E5" s="3">
        <f t="shared" si="3"/>
        <v>23.490000000000002</v>
      </c>
      <c r="F5" s="4" t="s">
        <v>16</v>
      </c>
      <c r="G5" s="1">
        <v>10</v>
      </c>
      <c r="H5" s="2">
        <f t="shared" si="4"/>
        <v>30</v>
      </c>
      <c r="I5" s="3">
        <f t="shared" si="5"/>
        <v>5.8079999999999998</v>
      </c>
      <c r="J5" s="5">
        <v>605</v>
      </c>
      <c r="K5" s="4" t="s">
        <v>13</v>
      </c>
      <c r="L5" s="1"/>
      <c r="M5" s="2">
        <f t="shared" si="6"/>
        <v>0</v>
      </c>
      <c r="N5" s="3">
        <f t="shared" si="7"/>
        <v>0</v>
      </c>
      <c r="O5" s="5"/>
      <c r="P5" s="4"/>
      <c r="Q5" s="33"/>
      <c r="R5" s="13"/>
      <c r="S5" s="29">
        <f t="shared" si="0"/>
        <v>0</v>
      </c>
      <c r="T5" s="29"/>
      <c r="V5" s="15">
        <v>2390</v>
      </c>
      <c r="W5" s="29">
        <f t="shared" si="8"/>
        <v>22.943999999999999</v>
      </c>
      <c r="X5" s="38">
        <v>41254</v>
      </c>
    </row>
    <row r="6" spans="1:24" ht="15" x14ac:dyDescent="0.25">
      <c r="A6" s="11">
        <f t="shared" si="1"/>
        <v>40912</v>
      </c>
      <c r="B6" s="1">
        <v>11</v>
      </c>
      <c r="C6" s="2">
        <f t="shared" si="2"/>
        <v>33</v>
      </c>
      <c r="D6" s="3">
        <f>980*10.8/1000</f>
        <v>10.584</v>
      </c>
      <c r="E6" s="3">
        <f t="shared" si="3"/>
        <v>34.073999999999998</v>
      </c>
      <c r="F6" s="4" t="s">
        <v>16</v>
      </c>
      <c r="G6" s="1">
        <v>10</v>
      </c>
      <c r="H6" s="2">
        <f t="shared" si="4"/>
        <v>40</v>
      </c>
      <c r="I6" s="3">
        <f t="shared" si="5"/>
        <v>12.7296</v>
      </c>
      <c r="J6" s="5">
        <f>1130+196</f>
        <v>1326</v>
      </c>
      <c r="K6" s="4" t="s">
        <v>13</v>
      </c>
      <c r="L6" s="1"/>
      <c r="M6" s="2">
        <f t="shared" si="6"/>
        <v>0</v>
      </c>
      <c r="N6" s="3">
        <f t="shared" si="7"/>
        <v>0</v>
      </c>
      <c r="O6" s="5"/>
      <c r="P6" s="4"/>
      <c r="Q6" s="33"/>
      <c r="R6" s="13"/>
      <c r="S6" s="29">
        <f t="shared" si="0"/>
        <v>0</v>
      </c>
      <c r="T6" s="29"/>
      <c r="V6" s="13"/>
      <c r="W6" s="29">
        <f t="shared" si="8"/>
        <v>0</v>
      </c>
      <c r="X6" s="29"/>
    </row>
    <row r="7" spans="1:24" ht="15" x14ac:dyDescent="0.25">
      <c r="A7" s="11">
        <f t="shared" si="1"/>
        <v>40913</v>
      </c>
      <c r="B7" s="1">
        <v>11</v>
      </c>
      <c r="C7" s="2">
        <f t="shared" si="2"/>
        <v>44</v>
      </c>
      <c r="D7" s="3">
        <f>1140*10.8/1000</f>
        <v>12.311999999999999</v>
      </c>
      <c r="E7" s="3">
        <f t="shared" si="3"/>
        <v>46.385999999999996</v>
      </c>
      <c r="F7" s="4" t="s">
        <v>16</v>
      </c>
      <c r="G7" s="1">
        <v>12</v>
      </c>
      <c r="H7" s="2">
        <f t="shared" si="4"/>
        <v>52</v>
      </c>
      <c r="I7" s="3">
        <f t="shared" si="5"/>
        <v>14.5344</v>
      </c>
      <c r="J7" s="5">
        <f>1140+374</f>
        <v>1514</v>
      </c>
      <c r="K7" s="4" t="s">
        <v>13</v>
      </c>
      <c r="L7" s="1"/>
      <c r="M7" s="2">
        <f t="shared" si="6"/>
        <v>0</v>
      </c>
      <c r="N7" s="3">
        <f t="shared" si="7"/>
        <v>0</v>
      </c>
      <c r="O7" s="5"/>
      <c r="P7" s="4"/>
      <c r="Q7" s="33"/>
      <c r="R7" s="13"/>
      <c r="S7" s="29">
        <f t="shared" si="0"/>
        <v>0</v>
      </c>
      <c r="T7" s="29"/>
      <c r="V7" s="13">
        <v>2285</v>
      </c>
      <c r="W7" s="29">
        <f t="shared" si="8"/>
        <v>21.936</v>
      </c>
      <c r="X7" s="38">
        <v>41254</v>
      </c>
    </row>
    <row r="8" spans="1:24" ht="15" x14ac:dyDescent="0.25">
      <c r="A8" s="11">
        <f t="shared" si="1"/>
        <v>40914</v>
      </c>
      <c r="B8" s="1">
        <v>11</v>
      </c>
      <c r="C8" s="2">
        <f t="shared" si="2"/>
        <v>55</v>
      </c>
      <c r="D8" s="3">
        <f>975*10.8/1000</f>
        <v>10.53</v>
      </c>
      <c r="E8" s="3">
        <f t="shared" si="3"/>
        <v>56.915999999999997</v>
      </c>
      <c r="F8" s="4" t="s">
        <v>16</v>
      </c>
      <c r="G8" s="1">
        <v>12</v>
      </c>
      <c r="H8" s="2">
        <f t="shared" si="4"/>
        <v>64</v>
      </c>
      <c r="I8" s="3">
        <f t="shared" si="5"/>
        <v>14.332799999999999</v>
      </c>
      <c r="J8" s="5">
        <f>1146+347</f>
        <v>1493</v>
      </c>
      <c r="K8" s="4" t="s">
        <v>13</v>
      </c>
      <c r="L8" s="1"/>
      <c r="M8" s="2">
        <f t="shared" si="6"/>
        <v>0</v>
      </c>
      <c r="N8" s="3">
        <f t="shared" si="7"/>
        <v>0</v>
      </c>
      <c r="O8" s="5"/>
      <c r="P8" s="4"/>
      <c r="Q8" s="33"/>
      <c r="R8" s="30"/>
      <c r="S8" s="29">
        <f t="shared" si="0"/>
        <v>0</v>
      </c>
      <c r="T8" s="14"/>
      <c r="V8" s="12"/>
      <c r="W8" s="29">
        <f t="shared" si="8"/>
        <v>0</v>
      </c>
      <c r="X8" s="14"/>
    </row>
    <row r="9" spans="1:24" ht="15" x14ac:dyDescent="0.25">
      <c r="A9" s="11">
        <f t="shared" si="1"/>
        <v>40915</v>
      </c>
      <c r="B9" s="1">
        <v>11</v>
      </c>
      <c r="C9" s="2">
        <f t="shared" si="2"/>
        <v>66</v>
      </c>
      <c r="D9" s="3">
        <f>980*10.8/1000</f>
        <v>10.584</v>
      </c>
      <c r="E9" s="3">
        <f t="shared" si="3"/>
        <v>67.5</v>
      </c>
      <c r="F9" s="4" t="s">
        <v>16</v>
      </c>
      <c r="G9" s="1">
        <v>12</v>
      </c>
      <c r="H9" s="2">
        <f t="shared" si="4"/>
        <v>76</v>
      </c>
      <c r="I9" s="3">
        <f t="shared" si="5"/>
        <v>14.745599999999998</v>
      </c>
      <c r="J9" s="5">
        <f>414+1122</f>
        <v>1536</v>
      </c>
      <c r="K9" s="4" t="s">
        <v>13</v>
      </c>
      <c r="L9" s="1"/>
      <c r="M9" s="2">
        <f t="shared" si="6"/>
        <v>0</v>
      </c>
      <c r="N9" s="3">
        <f t="shared" si="7"/>
        <v>0</v>
      </c>
      <c r="O9" s="5"/>
      <c r="P9" s="4"/>
      <c r="Q9" s="33"/>
      <c r="R9" s="12"/>
      <c r="S9" s="29">
        <f t="shared" ref="S9:S33" si="9">+R9*7.2/1000</f>
        <v>0</v>
      </c>
      <c r="T9" s="29"/>
      <c r="V9" s="12">
        <v>3258</v>
      </c>
      <c r="W9" s="29">
        <f t="shared" si="8"/>
        <v>31.276799999999998</v>
      </c>
      <c r="X9" s="38">
        <v>41254</v>
      </c>
    </row>
    <row r="10" spans="1:24" ht="15" x14ac:dyDescent="0.25">
      <c r="A10" s="11">
        <f t="shared" si="1"/>
        <v>40916</v>
      </c>
      <c r="B10" s="1">
        <v>11</v>
      </c>
      <c r="C10" s="2">
        <f t="shared" si="2"/>
        <v>77</v>
      </c>
      <c r="D10" s="3">
        <f>464*10.8/1000</f>
        <v>5.0112000000000005</v>
      </c>
      <c r="E10" s="3">
        <f t="shared" si="3"/>
        <v>72.511200000000002</v>
      </c>
      <c r="F10" s="4" t="s">
        <v>16</v>
      </c>
      <c r="G10" s="1">
        <v>12</v>
      </c>
      <c r="H10" s="2">
        <f t="shared" si="4"/>
        <v>88</v>
      </c>
      <c r="I10" s="3">
        <f t="shared" si="5"/>
        <v>15.753599999999999</v>
      </c>
      <c r="J10" s="5">
        <f>386+1255</f>
        <v>1641</v>
      </c>
      <c r="K10" s="4" t="s">
        <v>13</v>
      </c>
      <c r="L10" s="1"/>
      <c r="M10" s="2">
        <f t="shared" si="6"/>
        <v>0</v>
      </c>
      <c r="N10" s="3">
        <f t="shared" si="7"/>
        <v>0</v>
      </c>
      <c r="O10" s="5"/>
      <c r="P10" s="4"/>
      <c r="Q10" s="33"/>
      <c r="R10" s="13"/>
      <c r="S10" s="29">
        <f t="shared" si="9"/>
        <v>0</v>
      </c>
      <c r="T10" s="29"/>
      <c r="V10" s="13"/>
      <c r="W10" s="29">
        <f t="shared" si="8"/>
        <v>0</v>
      </c>
      <c r="X10" s="29"/>
    </row>
    <row r="11" spans="1:24" ht="15" x14ac:dyDescent="0.25">
      <c r="A11" s="11">
        <f t="shared" si="1"/>
        <v>40917</v>
      </c>
      <c r="B11" s="1"/>
      <c r="C11" s="2">
        <f t="shared" si="2"/>
        <v>77</v>
      </c>
      <c r="D11" s="3"/>
      <c r="E11" s="3">
        <f t="shared" si="3"/>
        <v>72.511200000000002</v>
      </c>
      <c r="F11" s="4"/>
      <c r="G11" s="1">
        <v>12</v>
      </c>
      <c r="H11" s="2">
        <f t="shared" si="4"/>
        <v>100</v>
      </c>
      <c r="I11" s="3">
        <f t="shared" si="5"/>
        <v>17.568000000000001</v>
      </c>
      <c r="J11" s="5">
        <f>1410+420</f>
        <v>1830</v>
      </c>
      <c r="K11" s="4" t="s">
        <v>13</v>
      </c>
      <c r="L11" s="1"/>
      <c r="M11" s="2">
        <f t="shared" si="6"/>
        <v>0</v>
      </c>
      <c r="N11" s="3">
        <f t="shared" si="7"/>
        <v>0</v>
      </c>
      <c r="O11" s="5"/>
      <c r="P11" s="4"/>
      <c r="Q11" s="33"/>
      <c r="R11" s="13"/>
      <c r="S11" s="29">
        <f t="shared" si="9"/>
        <v>0</v>
      </c>
      <c r="T11" s="29"/>
      <c r="V11" s="13"/>
      <c r="W11" s="29">
        <f t="shared" si="8"/>
        <v>0</v>
      </c>
      <c r="X11" s="29"/>
    </row>
    <row r="12" spans="1:24" ht="15" x14ac:dyDescent="0.2">
      <c r="A12" s="11">
        <f t="shared" si="1"/>
        <v>40918</v>
      </c>
      <c r="B12" s="1"/>
      <c r="C12" s="2">
        <f t="shared" si="2"/>
        <v>77</v>
      </c>
      <c r="D12" s="3"/>
      <c r="E12" s="3">
        <f t="shared" si="3"/>
        <v>72.511200000000002</v>
      </c>
      <c r="F12" s="4"/>
      <c r="G12" s="1">
        <v>12</v>
      </c>
      <c r="H12" s="2">
        <f t="shared" si="4"/>
        <v>112</v>
      </c>
      <c r="I12" s="3">
        <f t="shared" si="5"/>
        <v>17.664000000000001</v>
      </c>
      <c r="J12" s="5">
        <f>1555+285</f>
        <v>1840</v>
      </c>
      <c r="K12" s="4" t="s">
        <v>13</v>
      </c>
      <c r="L12" s="1"/>
      <c r="M12" s="2">
        <f t="shared" si="6"/>
        <v>0</v>
      </c>
      <c r="N12" s="3">
        <f t="shared" si="7"/>
        <v>0</v>
      </c>
      <c r="O12" s="5"/>
      <c r="P12" s="4"/>
      <c r="Q12" s="33"/>
      <c r="R12" s="30"/>
      <c r="S12" s="29">
        <f t="shared" si="9"/>
        <v>0</v>
      </c>
      <c r="T12" s="29"/>
      <c r="V12" s="30">
        <v>3145</v>
      </c>
      <c r="W12" s="29">
        <f t="shared" si="8"/>
        <v>30.192</v>
      </c>
      <c r="X12" s="38">
        <v>41254</v>
      </c>
    </row>
    <row r="13" spans="1:24" ht="15" x14ac:dyDescent="0.25">
      <c r="A13" s="11">
        <f t="shared" si="1"/>
        <v>40919</v>
      </c>
      <c r="B13" s="1"/>
      <c r="C13" s="2">
        <f t="shared" si="2"/>
        <v>77</v>
      </c>
      <c r="D13" s="3"/>
      <c r="E13" s="3">
        <f t="shared" si="3"/>
        <v>72.511200000000002</v>
      </c>
      <c r="F13" s="4"/>
      <c r="G13" s="1">
        <v>12</v>
      </c>
      <c r="H13" s="2">
        <f t="shared" si="4"/>
        <v>124</v>
      </c>
      <c r="I13" s="3">
        <f t="shared" si="5"/>
        <v>11.904</v>
      </c>
      <c r="J13" s="5">
        <f>1005+235</f>
        <v>1240</v>
      </c>
      <c r="K13" s="4" t="s">
        <v>13</v>
      </c>
      <c r="L13" s="1"/>
      <c r="M13" s="2">
        <f t="shared" si="6"/>
        <v>0</v>
      </c>
      <c r="N13" s="3">
        <f t="shared" si="7"/>
        <v>0</v>
      </c>
      <c r="O13" s="5"/>
      <c r="P13" s="4"/>
      <c r="Q13" s="33"/>
      <c r="R13" s="13"/>
      <c r="S13" s="29">
        <f t="shared" si="9"/>
        <v>0</v>
      </c>
      <c r="T13" s="29"/>
      <c r="V13" s="13"/>
      <c r="W13" s="29">
        <f t="shared" si="8"/>
        <v>0</v>
      </c>
      <c r="X13" s="29"/>
    </row>
    <row r="14" spans="1:24" ht="15" x14ac:dyDescent="0.25">
      <c r="A14" s="11">
        <f t="shared" si="1"/>
        <v>40920</v>
      </c>
      <c r="B14" s="1"/>
      <c r="C14" s="2">
        <f t="shared" si="2"/>
        <v>77</v>
      </c>
      <c r="D14" s="3"/>
      <c r="E14" s="3">
        <f t="shared" si="3"/>
        <v>72.511200000000002</v>
      </c>
      <c r="F14" s="4"/>
      <c r="G14" s="1">
        <v>12</v>
      </c>
      <c r="H14" s="2">
        <f t="shared" si="4"/>
        <v>136</v>
      </c>
      <c r="I14" s="3">
        <f t="shared" si="5"/>
        <v>13.3248</v>
      </c>
      <c r="J14" s="5">
        <f>1265+123</f>
        <v>1388</v>
      </c>
      <c r="K14" s="4" t="s">
        <v>13</v>
      </c>
      <c r="L14" s="1"/>
      <c r="M14" s="2">
        <f t="shared" si="6"/>
        <v>0</v>
      </c>
      <c r="N14" s="3">
        <f t="shared" si="7"/>
        <v>0</v>
      </c>
      <c r="O14" s="5"/>
      <c r="P14" s="4"/>
      <c r="Q14" s="33"/>
      <c r="R14" s="13"/>
      <c r="S14" s="29">
        <f t="shared" si="9"/>
        <v>0</v>
      </c>
      <c r="T14" s="29"/>
      <c r="V14" s="13">
        <v>3540</v>
      </c>
      <c r="W14" s="29">
        <f t="shared" si="8"/>
        <v>33.984000000000002</v>
      </c>
      <c r="X14" s="38">
        <v>41254</v>
      </c>
    </row>
    <row r="15" spans="1:24" ht="15" x14ac:dyDescent="0.25">
      <c r="A15" s="11">
        <f t="shared" si="1"/>
        <v>40921</v>
      </c>
      <c r="B15" s="1"/>
      <c r="C15" s="2">
        <f t="shared" si="2"/>
        <v>77</v>
      </c>
      <c r="D15" s="3"/>
      <c r="E15" s="3">
        <f t="shared" si="3"/>
        <v>72.511200000000002</v>
      </c>
      <c r="F15" s="4"/>
      <c r="G15" s="1">
        <v>12</v>
      </c>
      <c r="H15" s="2">
        <f t="shared" si="4"/>
        <v>148</v>
      </c>
      <c r="I15" s="3">
        <f t="shared" si="5"/>
        <v>10.195199999999998</v>
      </c>
      <c r="J15" s="5">
        <v>1062</v>
      </c>
      <c r="K15" s="4" t="s">
        <v>13</v>
      </c>
      <c r="L15" s="1"/>
      <c r="M15" s="2">
        <f t="shared" si="6"/>
        <v>0</v>
      </c>
      <c r="N15" s="3">
        <f t="shared" si="7"/>
        <v>0</v>
      </c>
      <c r="O15" s="5"/>
      <c r="P15" s="4"/>
      <c r="Q15" s="33"/>
      <c r="R15" s="13"/>
      <c r="S15" s="29">
        <f t="shared" si="9"/>
        <v>0</v>
      </c>
      <c r="T15" s="29"/>
      <c r="V15" s="13">
        <v>2372</v>
      </c>
      <c r="W15" s="29">
        <f t="shared" si="8"/>
        <v>22.7712</v>
      </c>
      <c r="X15" s="38">
        <v>41254</v>
      </c>
    </row>
    <row r="16" spans="1:24" ht="15" x14ac:dyDescent="0.25">
      <c r="A16" s="11">
        <f t="shared" si="1"/>
        <v>40922</v>
      </c>
      <c r="B16" s="1"/>
      <c r="C16" s="2">
        <f t="shared" si="2"/>
        <v>77</v>
      </c>
      <c r="D16" s="3"/>
      <c r="E16" s="3">
        <f t="shared" si="3"/>
        <v>72.511200000000002</v>
      </c>
      <c r="F16" s="4"/>
      <c r="G16" s="1">
        <v>12</v>
      </c>
      <c r="H16" s="2">
        <f t="shared" si="4"/>
        <v>160</v>
      </c>
      <c r="I16" s="3">
        <f t="shared" si="5"/>
        <v>5.5295999999999994</v>
      </c>
      <c r="J16" s="5">
        <v>576</v>
      </c>
      <c r="K16" s="4" t="s">
        <v>13</v>
      </c>
      <c r="L16" s="1"/>
      <c r="M16" s="2">
        <f t="shared" si="6"/>
        <v>0</v>
      </c>
      <c r="N16" s="3">
        <f t="shared" si="7"/>
        <v>0</v>
      </c>
      <c r="O16" s="5"/>
      <c r="P16" s="4"/>
      <c r="Q16" s="33"/>
      <c r="R16" s="13"/>
      <c r="S16" s="29">
        <f t="shared" si="9"/>
        <v>0</v>
      </c>
      <c r="T16" s="29"/>
      <c r="V16" s="13"/>
      <c r="W16" s="29">
        <f t="shared" si="8"/>
        <v>0</v>
      </c>
      <c r="X16" s="14"/>
    </row>
    <row r="17" spans="1:24" ht="15" x14ac:dyDescent="0.25">
      <c r="A17" s="11">
        <f t="shared" si="1"/>
        <v>40923</v>
      </c>
      <c r="B17" s="1"/>
      <c r="C17" s="2">
        <f t="shared" si="2"/>
        <v>77</v>
      </c>
      <c r="D17" s="6"/>
      <c r="E17" s="6">
        <f t="shared" si="3"/>
        <v>72.511200000000002</v>
      </c>
      <c r="F17" s="4"/>
      <c r="G17" s="1">
        <v>5</v>
      </c>
      <c r="H17" s="2">
        <f t="shared" si="4"/>
        <v>165</v>
      </c>
      <c r="I17" s="3">
        <f t="shared" si="5"/>
        <v>0</v>
      </c>
      <c r="J17" s="5"/>
      <c r="K17" s="4" t="s">
        <v>13</v>
      </c>
      <c r="L17" s="1"/>
      <c r="M17" s="2">
        <f t="shared" si="6"/>
        <v>0</v>
      </c>
      <c r="N17" s="3">
        <f t="shared" si="7"/>
        <v>0</v>
      </c>
      <c r="O17" s="5"/>
      <c r="P17" s="4"/>
      <c r="Q17" s="33"/>
      <c r="R17" s="13"/>
      <c r="S17" s="29">
        <f t="shared" si="9"/>
        <v>0</v>
      </c>
      <c r="T17" s="29"/>
      <c r="V17" s="13"/>
      <c r="W17" s="29">
        <f t="shared" si="8"/>
        <v>0</v>
      </c>
      <c r="X17" s="29"/>
    </row>
    <row r="18" spans="1:24" ht="15" x14ac:dyDescent="0.25">
      <c r="A18" s="11">
        <f t="shared" si="1"/>
        <v>40924</v>
      </c>
      <c r="B18" s="1"/>
      <c r="C18" s="2">
        <f t="shared" si="2"/>
        <v>77</v>
      </c>
      <c r="D18" s="3"/>
      <c r="E18" s="3">
        <f t="shared" si="3"/>
        <v>72.511200000000002</v>
      </c>
      <c r="F18" s="4"/>
      <c r="G18" s="1"/>
      <c r="H18" s="2">
        <f t="shared" si="4"/>
        <v>165</v>
      </c>
      <c r="I18" s="3">
        <f t="shared" si="5"/>
        <v>0</v>
      </c>
      <c r="J18" s="5"/>
      <c r="K18" s="4"/>
      <c r="L18" s="1"/>
      <c r="M18" s="2">
        <f t="shared" si="6"/>
        <v>0</v>
      </c>
      <c r="N18" s="3">
        <f t="shared" si="7"/>
        <v>0</v>
      </c>
      <c r="O18" s="5"/>
      <c r="P18" s="4"/>
      <c r="Q18" s="33"/>
      <c r="R18" s="13"/>
      <c r="S18" s="29">
        <f t="shared" si="9"/>
        <v>0</v>
      </c>
      <c r="T18" s="29"/>
      <c r="V18" s="13">
        <v>1576</v>
      </c>
      <c r="W18" s="29">
        <f t="shared" si="8"/>
        <v>15.129599999999998</v>
      </c>
      <c r="X18" s="38">
        <v>41254</v>
      </c>
    </row>
    <row r="19" spans="1:24" ht="15" x14ac:dyDescent="0.25">
      <c r="A19" s="11">
        <f t="shared" si="1"/>
        <v>40925</v>
      </c>
      <c r="B19" s="1"/>
      <c r="C19" s="2">
        <f t="shared" si="2"/>
        <v>77</v>
      </c>
      <c r="D19" s="3">
        <f>85*10.8/1000</f>
        <v>0.91800000000000015</v>
      </c>
      <c r="E19" s="3">
        <f t="shared" si="3"/>
        <v>73.429200000000009</v>
      </c>
      <c r="F19" s="4" t="s">
        <v>16</v>
      </c>
      <c r="G19" s="1"/>
      <c r="H19" s="2">
        <f t="shared" si="4"/>
        <v>165</v>
      </c>
      <c r="I19" s="3">
        <f t="shared" si="5"/>
        <v>0</v>
      </c>
      <c r="J19" s="5"/>
      <c r="K19" s="4"/>
      <c r="L19" s="1"/>
      <c r="M19" s="2">
        <f t="shared" si="6"/>
        <v>0</v>
      </c>
      <c r="N19" s="3">
        <f t="shared" si="7"/>
        <v>0</v>
      </c>
      <c r="O19" s="5"/>
      <c r="P19" s="4"/>
      <c r="Q19" s="33"/>
      <c r="R19" s="13"/>
      <c r="S19" s="29">
        <f t="shared" si="9"/>
        <v>0</v>
      </c>
      <c r="T19" s="29"/>
      <c r="V19" s="13"/>
      <c r="W19" s="29">
        <f t="shared" si="8"/>
        <v>0</v>
      </c>
      <c r="X19" s="14"/>
    </row>
    <row r="20" spans="1:24" ht="15" x14ac:dyDescent="0.25">
      <c r="A20" s="11">
        <f t="shared" si="1"/>
        <v>40926</v>
      </c>
      <c r="B20" s="1"/>
      <c r="C20" s="2">
        <f t="shared" si="2"/>
        <v>77</v>
      </c>
      <c r="D20" s="3">
        <f>856*10.8/1000</f>
        <v>9.2448000000000015</v>
      </c>
      <c r="E20" s="3">
        <f t="shared" si="3"/>
        <v>82.674000000000007</v>
      </c>
      <c r="F20" s="4" t="s">
        <v>16</v>
      </c>
      <c r="G20" s="1"/>
      <c r="H20" s="2">
        <f t="shared" si="4"/>
        <v>165</v>
      </c>
      <c r="I20" s="3">
        <f t="shared" si="5"/>
        <v>2.6880000000000002</v>
      </c>
      <c r="J20" s="5">
        <v>280</v>
      </c>
      <c r="K20" s="4" t="s">
        <v>13</v>
      </c>
      <c r="L20" s="1"/>
      <c r="M20" s="2">
        <f t="shared" si="6"/>
        <v>0</v>
      </c>
      <c r="N20" s="3">
        <f t="shared" si="7"/>
        <v>0</v>
      </c>
      <c r="O20" s="5"/>
      <c r="P20" s="4"/>
      <c r="Q20" s="33"/>
      <c r="R20" s="13"/>
      <c r="S20" s="29">
        <f t="shared" si="9"/>
        <v>0</v>
      </c>
      <c r="T20" s="29"/>
      <c r="V20" s="13"/>
      <c r="W20" s="29">
        <f t="shared" si="8"/>
        <v>0</v>
      </c>
      <c r="X20" s="29"/>
    </row>
    <row r="21" spans="1:24" ht="22.5" x14ac:dyDescent="0.25">
      <c r="A21" s="11">
        <f t="shared" si="1"/>
        <v>40927</v>
      </c>
      <c r="B21" s="1"/>
      <c r="C21" s="2">
        <f t="shared" si="2"/>
        <v>77</v>
      </c>
      <c r="D21" s="3">
        <f>(432*10.8/1000)+(410*8.1/1000)</f>
        <v>7.986600000000001</v>
      </c>
      <c r="E21" s="3">
        <f t="shared" si="3"/>
        <v>90.660600000000002</v>
      </c>
      <c r="F21" s="39" t="s">
        <v>20</v>
      </c>
      <c r="G21" s="1"/>
      <c r="H21" s="2">
        <f t="shared" si="4"/>
        <v>165</v>
      </c>
      <c r="I21" s="3">
        <f t="shared" si="5"/>
        <v>11.788799999999998</v>
      </c>
      <c r="J21" s="5">
        <f>(488+740)</f>
        <v>1228</v>
      </c>
      <c r="K21" s="4" t="s">
        <v>13</v>
      </c>
      <c r="L21" s="1"/>
      <c r="M21" s="2">
        <f t="shared" si="6"/>
        <v>0</v>
      </c>
      <c r="N21" s="3">
        <f t="shared" si="7"/>
        <v>0</v>
      </c>
      <c r="O21" s="5"/>
      <c r="P21" s="4"/>
      <c r="Q21" s="33"/>
      <c r="R21" s="13"/>
      <c r="S21" s="29">
        <f t="shared" si="9"/>
        <v>0</v>
      </c>
      <c r="T21" s="29"/>
      <c r="V21" s="13"/>
      <c r="W21" s="29">
        <f t="shared" si="8"/>
        <v>0</v>
      </c>
      <c r="X21" s="29"/>
    </row>
    <row r="22" spans="1:24" ht="15" x14ac:dyDescent="0.25">
      <c r="A22" s="11">
        <f t="shared" si="1"/>
        <v>40928</v>
      </c>
      <c r="B22" s="1"/>
      <c r="C22" s="2">
        <f t="shared" si="2"/>
        <v>77</v>
      </c>
      <c r="D22" s="3">
        <f>1140*8.1/1000</f>
        <v>9.234</v>
      </c>
      <c r="E22" s="3">
        <f t="shared" si="3"/>
        <v>99.894599999999997</v>
      </c>
      <c r="F22" s="4"/>
      <c r="G22" s="1"/>
      <c r="H22" s="2">
        <f t="shared" si="4"/>
        <v>165</v>
      </c>
      <c r="I22" s="3">
        <f t="shared" si="5"/>
        <v>0</v>
      </c>
      <c r="J22" s="5"/>
      <c r="K22" s="4"/>
      <c r="L22" s="1"/>
      <c r="M22" s="2">
        <f t="shared" si="6"/>
        <v>0</v>
      </c>
      <c r="N22" s="3">
        <f t="shared" si="7"/>
        <v>5.4720000000000004</v>
      </c>
      <c r="O22" s="5">
        <f>(460+300)</f>
        <v>760</v>
      </c>
      <c r="P22" s="4" t="s">
        <v>12</v>
      </c>
      <c r="Q22" s="33"/>
      <c r="R22" s="13"/>
      <c r="S22" s="29">
        <f t="shared" si="9"/>
        <v>0</v>
      </c>
      <c r="T22" s="14"/>
      <c r="V22" s="13"/>
      <c r="W22" s="29">
        <f t="shared" si="8"/>
        <v>0</v>
      </c>
      <c r="X22" s="14"/>
    </row>
    <row r="23" spans="1:24" ht="15" x14ac:dyDescent="0.25">
      <c r="A23" s="11">
        <f t="shared" si="1"/>
        <v>40929</v>
      </c>
      <c r="B23" s="1"/>
      <c r="C23" s="2">
        <f t="shared" si="2"/>
        <v>77</v>
      </c>
      <c r="D23" s="3">
        <f>1410*8.1/1000</f>
        <v>11.420999999999999</v>
      </c>
      <c r="E23" s="3">
        <f t="shared" si="3"/>
        <v>111.31559999999999</v>
      </c>
      <c r="F23" s="4"/>
      <c r="G23" s="1"/>
      <c r="H23" s="2">
        <f t="shared" si="4"/>
        <v>165</v>
      </c>
      <c r="I23" s="3">
        <f t="shared" si="5"/>
        <v>0</v>
      </c>
      <c r="J23" s="5"/>
      <c r="K23" s="4"/>
      <c r="L23" s="1"/>
      <c r="M23" s="2">
        <f t="shared" si="6"/>
        <v>0</v>
      </c>
      <c r="N23" s="3">
        <f t="shared" si="7"/>
        <v>8.1720000000000006</v>
      </c>
      <c r="O23" s="5">
        <f>(540+595)</f>
        <v>1135</v>
      </c>
      <c r="P23" s="4" t="s">
        <v>12</v>
      </c>
      <c r="Q23" s="33"/>
      <c r="R23" s="13">
        <v>1740</v>
      </c>
      <c r="S23" s="29">
        <f t="shared" si="9"/>
        <v>12.528</v>
      </c>
      <c r="T23" s="38">
        <v>40920</v>
      </c>
      <c r="V23" s="13"/>
      <c r="W23" s="29">
        <f t="shared" si="8"/>
        <v>0</v>
      </c>
      <c r="X23" s="14"/>
    </row>
    <row r="24" spans="1:24" ht="15" x14ac:dyDescent="0.25">
      <c r="A24" s="11">
        <f t="shared" si="1"/>
        <v>40930</v>
      </c>
      <c r="B24" s="1">
        <v>5</v>
      </c>
      <c r="C24" s="2">
        <f t="shared" si="2"/>
        <v>82</v>
      </c>
      <c r="D24" s="3">
        <f>1340*8.1/1000</f>
        <v>10.853999999999999</v>
      </c>
      <c r="E24" s="3">
        <f t="shared" si="3"/>
        <v>122.16959999999999</v>
      </c>
      <c r="F24" s="4" t="s">
        <v>19</v>
      </c>
      <c r="G24" s="1"/>
      <c r="H24" s="2">
        <f t="shared" si="4"/>
        <v>165</v>
      </c>
      <c r="I24" s="3">
        <f t="shared" si="5"/>
        <v>0</v>
      </c>
      <c r="J24" s="5"/>
      <c r="K24" s="4"/>
      <c r="L24" s="1"/>
      <c r="M24" s="2">
        <f t="shared" si="6"/>
        <v>0</v>
      </c>
      <c r="N24" s="3">
        <f t="shared" si="7"/>
        <v>7.74</v>
      </c>
      <c r="O24" s="5">
        <f>(360+715)</f>
        <v>1075</v>
      </c>
      <c r="P24" s="4" t="s">
        <v>12</v>
      </c>
      <c r="Q24" s="33"/>
      <c r="R24" s="13"/>
      <c r="S24" s="29">
        <f t="shared" si="9"/>
        <v>0</v>
      </c>
      <c r="T24" s="29"/>
      <c r="V24" s="13"/>
      <c r="W24" s="29">
        <f t="shared" si="8"/>
        <v>0</v>
      </c>
      <c r="X24" s="14"/>
    </row>
    <row r="25" spans="1:24" ht="15" x14ac:dyDescent="0.25">
      <c r="A25" s="11">
        <f t="shared" si="1"/>
        <v>40931</v>
      </c>
      <c r="B25" s="1">
        <v>11</v>
      </c>
      <c r="C25" s="2">
        <f t="shared" si="2"/>
        <v>93</v>
      </c>
      <c r="D25" s="3">
        <f>1345*8.1/1000</f>
        <v>10.894500000000001</v>
      </c>
      <c r="E25" s="3">
        <f t="shared" si="3"/>
        <v>133.0641</v>
      </c>
      <c r="F25" s="4" t="s">
        <v>19</v>
      </c>
      <c r="G25" s="1"/>
      <c r="H25" s="2">
        <f t="shared" si="4"/>
        <v>165</v>
      </c>
      <c r="I25" s="3">
        <f t="shared" si="5"/>
        <v>0</v>
      </c>
      <c r="J25" s="5"/>
      <c r="K25" s="4"/>
      <c r="L25" s="1">
        <v>7</v>
      </c>
      <c r="M25" s="2">
        <f t="shared" si="6"/>
        <v>7</v>
      </c>
      <c r="N25" s="3">
        <f t="shared" si="7"/>
        <v>11.484</v>
      </c>
      <c r="O25" s="5">
        <f>(595+1000)</f>
        <v>1595</v>
      </c>
      <c r="P25" s="4" t="s">
        <v>12</v>
      </c>
      <c r="Q25" s="33"/>
      <c r="R25" s="13">
        <v>3090</v>
      </c>
      <c r="S25" s="29">
        <f t="shared" si="9"/>
        <v>22.248000000000001</v>
      </c>
      <c r="T25" s="38">
        <v>40920</v>
      </c>
      <c r="V25" s="13"/>
      <c r="W25" s="29">
        <f t="shared" si="8"/>
        <v>0</v>
      </c>
      <c r="X25" s="14"/>
    </row>
    <row r="26" spans="1:24" ht="15" x14ac:dyDescent="0.25">
      <c r="A26" s="11">
        <f t="shared" si="1"/>
        <v>40932</v>
      </c>
      <c r="B26" s="1">
        <v>11</v>
      </c>
      <c r="C26" s="2">
        <f t="shared" si="2"/>
        <v>104</v>
      </c>
      <c r="D26" s="3">
        <f>(640+530)*8.1/1000</f>
        <v>9.4770000000000003</v>
      </c>
      <c r="E26" s="3">
        <f t="shared" si="3"/>
        <v>142.5411</v>
      </c>
      <c r="F26" s="4" t="s">
        <v>19</v>
      </c>
      <c r="G26" s="1"/>
      <c r="H26" s="2">
        <f t="shared" si="4"/>
        <v>165</v>
      </c>
      <c r="I26" s="3">
        <f t="shared" si="5"/>
        <v>0</v>
      </c>
      <c r="J26" s="5"/>
      <c r="K26" s="4"/>
      <c r="L26" s="1">
        <v>8</v>
      </c>
      <c r="M26" s="2">
        <f t="shared" si="6"/>
        <v>15</v>
      </c>
      <c r="N26" s="3">
        <f t="shared" si="7"/>
        <v>7.0919999999999996</v>
      </c>
      <c r="O26" s="5">
        <f>(480+505)</f>
        <v>985</v>
      </c>
      <c r="P26" s="4" t="s">
        <v>12</v>
      </c>
      <c r="Q26" s="33"/>
      <c r="R26" s="13"/>
      <c r="S26" s="29">
        <f t="shared" si="9"/>
        <v>0</v>
      </c>
      <c r="T26" s="29"/>
      <c r="V26" s="13"/>
      <c r="W26" s="29">
        <f t="shared" si="8"/>
        <v>0</v>
      </c>
      <c r="X26" s="14"/>
    </row>
    <row r="27" spans="1:24" ht="15" x14ac:dyDescent="0.25">
      <c r="A27" s="11">
        <f t="shared" si="1"/>
        <v>40933</v>
      </c>
      <c r="B27" s="1">
        <v>11</v>
      </c>
      <c r="C27" s="2">
        <f t="shared" si="2"/>
        <v>115</v>
      </c>
      <c r="D27" s="3">
        <f>1285*8.1/1000</f>
        <v>10.4085</v>
      </c>
      <c r="E27" s="3">
        <f t="shared" si="3"/>
        <v>152.9496</v>
      </c>
      <c r="F27" s="4" t="s">
        <v>19</v>
      </c>
      <c r="G27" s="1"/>
      <c r="H27" s="2">
        <f t="shared" si="4"/>
        <v>165</v>
      </c>
      <c r="I27" s="3">
        <f t="shared" si="5"/>
        <v>0</v>
      </c>
      <c r="J27" s="5"/>
      <c r="K27" s="4"/>
      <c r="L27" s="1">
        <v>8</v>
      </c>
      <c r="M27" s="2">
        <f t="shared" si="6"/>
        <v>23</v>
      </c>
      <c r="N27" s="3">
        <f t="shared" si="7"/>
        <v>9.6696000000000009</v>
      </c>
      <c r="O27" s="5">
        <f>(276+1067)</f>
        <v>1343</v>
      </c>
      <c r="P27" s="4" t="s">
        <v>12</v>
      </c>
      <c r="Q27" s="33"/>
      <c r="R27" s="13"/>
      <c r="S27" s="29">
        <f t="shared" si="9"/>
        <v>0</v>
      </c>
      <c r="T27" s="29"/>
      <c r="V27" s="13"/>
      <c r="W27" s="29">
        <f t="shared" si="8"/>
        <v>0</v>
      </c>
      <c r="X27" s="29"/>
    </row>
    <row r="28" spans="1:24" ht="15" x14ac:dyDescent="0.25">
      <c r="A28" s="11">
        <f t="shared" si="1"/>
        <v>40934</v>
      </c>
      <c r="B28" s="1">
        <v>11</v>
      </c>
      <c r="C28" s="2">
        <f t="shared" si="2"/>
        <v>126</v>
      </c>
      <c r="D28" s="3"/>
      <c r="E28" s="3">
        <f t="shared" si="3"/>
        <v>152.9496</v>
      </c>
      <c r="F28" s="4" t="s">
        <v>19</v>
      </c>
      <c r="G28" s="1"/>
      <c r="H28" s="2">
        <f t="shared" si="4"/>
        <v>165</v>
      </c>
      <c r="I28" s="3">
        <f t="shared" si="5"/>
        <v>0</v>
      </c>
      <c r="J28" s="5"/>
      <c r="K28" s="4"/>
      <c r="L28" s="1">
        <v>8</v>
      </c>
      <c r="M28" s="2">
        <f t="shared" si="6"/>
        <v>31</v>
      </c>
      <c r="N28" s="3">
        <f t="shared" si="7"/>
        <v>0</v>
      </c>
      <c r="O28" s="5"/>
      <c r="P28" s="4" t="s">
        <v>12</v>
      </c>
      <c r="Q28" s="33"/>
      <c r="R28" s="13"/>
      <c r="S28" s="29">
        <f t="shared" si="9"/>
        <v>0</v>
      </c>
      <c r="T28" s="29"/>
      <c r="V28" s="13"/>
      <c r="W28" s="29">
        <f t="shared" si="8"/>
        <v>0</v>
      </c>
      <c r="X28" s="14"/>
    </row>
    <row r="29" spans="1:24" ht="15" x14ac:dyDescent="0.25">
      <c r="A29" s="11">
        <f t="shared" si="1"/>
        <v>40935</v>
      </c>
      <c r="B29" s="1">
        <v>11</v>
      </c>
      <c r="C29" s="2">
        <f t="shared" si="2"/>
        <v>137</v>
      </c>
      <c r="D29" s="3">
        <f>1080*8.1/1000</f>
        <v>8.7479999999999993</v>
      </c>
      <c r="E29" s="3">
        <f t="shared" si="3"/>
        <v>161.69759999999999</v>
      </c>
      <c r="F29" s="4" t="s">
        <v>19</v>
      </c>
      <c r="G29" s="1"/>
      <c r="H29" s="2">
        <f t="shared" si="4"/>
        <v>165</v>
      </c>
      <c r="I29" s="3">
        <f t="shared" si="5"/>
        <v>0</v>
      </c>
      <c r="J29" s="5"/>
      <c r="K29" s="4"/>
      <c r="L29" s="1">
        <v>9</v>
      </c>
      <c r="M29" s="2">
        <f t="shared" si="6"/>
        <v>40</v>
      </c>
      <c r="N29" s="3">
        <f t="shared" si="7"/>
        <v>0</v>
      </c>
      <c r="O29" s="5"/>
      <c r="P29" s="4" t="s">
        <v>12</v>
      </c>
      <c r="Q29" s="33"/>
      <c r="R29" s="13"/>
      <c r="S29" s="29">
        <f t="shared" si="9"/>
        <v>0</v>
      </c>
      <c r="T29" s="29"/>
      <c r="V29" s="13"/>
      <c r="W29" s="29">
        <f t="shared" si="8"/>
        <v>0</v>
      </c>
      <c r="X29" s="29"/>
    </row>
    <row r="30" spans="1:24" ht="15" x14ac:dyDescent="0.25">
      <c r="A30" s="11">
        <f t="shared" si="1"/>
        <v>40936</v>
      </c>
      <c r="B30" s="1">
        <v>11</v>
      </c>
      <c r="C30" s="2">
        <f t="shared" si="2"/>
        <v>148</v>
      </c>
      <c r="D30" s="3">
        <f>1455*8.1/1000</f>
        <v>11.785500000000001</v>
      </c>
      <c r="E30" s="3">
        <f t="shared" si="3"/>
        <v>173.48310000000001</v>
      </c>
      <c r="F30" s="4" t="s">
        <v>19</v>
      </c>
      <c r="G30" s="1"/>
      <c r="H30" s="2">
        <f t="shared" si="4"/>
        <v>165</v>
      </c>
      <c r="I30" s="3">
        <f t="shared" si="5"/>
        <v>0</v>
      </c>
      <c r="J30" s="5"/>
      <c r="K30" s="4"/>
      <c r="L30" s="1">
        <v>9</v>
      </c>
      <c r="M30" s="2">
        <f t="shared" si="6"/>
        <v>49</v>
      </c>
      <c r="N30" s="3">
        <f t="shared" si="7"/>
        <v>0</v>
      </c>
      <c r="O30" s="5"/>
      <c r="P30" s="4" t="s">
        <v>12</v>
      </c>
      <c r="Q30" s="33"/>
      <c r="R30" s="13"/>
      <c r="S30" s="29">
        <f t="shared" si="9"/>
        <v>0</v>
      </c>
      <c r="T30" s="14"/>
      <c r="V30" s="13"/>
      <c r="W30" s="29">
        <f t="shared" si="8"/>
        <v>0</v>
      </c>
      <c r="X30" s="14"/>
    </row>
    <row r="31" spans="1:24" ht="15" x14ac:dyDescent="0.25">
      <c r="A31" s="11">
        <f t="shared" si="1"/>
        <v>40937</v>
      </c>
      <c r="B31" s="1">
        <v>4</v>
      </c>
      <c r="C31" s="2">
        <f t="shared" si="2"/>
        <v>152</v>
      </c>
      <c r="D31" s="7">
        <f>205*8.1/1000</f>
        <v>1.6605000000000001</v>
      </c>
      <c r="E31" s="3">
        <f t="shared" si="3"/>
        <v>175.14360000000002</v>
      </c>
      <c r="F31" s="4" t="s">
        <v>19</v>
      </c>
      <c r="G31" s="1"/>
      <c r="H31" s="2">
        <f t="shared" si="4"/>
        <v>165</v>
      </c>
      <c r="I31" s="3">
        <f t="shared" si="5"/>
        <v>0</v>
      </c>
      <c r="J31" s="8"/>
      <c r="K31" s="4"/>
      <c r="L31" s="1">
        <v>9</v>
      </c>
      <c r="M31" s="2">
        <f t="shared" si="6"/>
        <v>58</v>
      </c>
      <c r="N31" s="3">
        <f t="shared" si="7"/>
        <v>0</v>
      </c>
      <c r="O31" s="8"/>
      <c r="P31" s="4" t="s">
        <v>12</v>
      </c>
      <c r="Q31" s="33"/>
      <c r="R31" s="13"/>
      <c r="S31" s="29">
        <f t="shared" si="9"/>
        <v>0</v>
      </c>
      <c r="T31" s="29"/>
      <c r="V31" s="13"/>
      <c r="W31" s="29">
        <f t="shared" si="8"/>
        <v>0</v>
      </c>
      <c r="X31" s="14"/>
    </row>
    <row r="32" spans="1:24" ht="15" x14ac:dyDescent="0.25">
      <c r="A32" s="11">
        <f t="shared" si="1"/>
        <v>40938</v>
      </c>
      <c r="B32" s="1"/>
      <c r="C32" s="2">
        <f t="shared" si="2"/>
        <v>152</v>
      </c>
      <c r="D32" s="7"/>
      <c r="E32" s="3">
        <f t="shared" si="3"/>
        <v>175.14360000000002</v>
      </c>
      <c r="F32" s="4"/>
      <c r="G32" s="1"/>
      <c r="H32" s="2">
        <f t="shared" si="4"/>
        <v>165</v>
      </c>
      <c r="I32" s="3">
        <f t="shared" si="5"/>
        <v>0</v>
      </c>
      <c r="J32" s="8"/>
      <c r="K32" s="4"/>
      <c r="L32" s="1">
        <v>9</v>
      </c>
      <c r="M32" s="2">
        <f t="shared" si="6"/>
        <v>67</v>
      </c>
      <c r="N32" s="3">
        <f t="shared" si="7"/>
        <v>0</v>
      </c>
      <c r="O32" s="8"/>
      <c r="P32" s="4" t="s">
        <v>12</v>
      </c>
      <c r="Q32" s="33"/>
      <c r="R32" s="13"/>
      <c r="S32" s="29">
        <f t="shared" si="9"/>
        <v>0</v>
      </c>
      <c r="T32" s="29"/>
      <c r="V32" s="13"/>
      <c r="W32" s="29">
        <f t="shared" si="8"/>
        <v>0</v>
      </c>
      <c r="X32" s="29"/>
    </row>
    <row r="33" spans="1:24" ht="15.75" thickBot="1" x14ac:dyDescent="0.3">
      <c r="A33" s="11">
        <f>A32+1</f>
        <v>40939</v>
      </c>
      <c r="B33" s="1"/>
      <c r="C33" s="2">
        <f>B33+C32</f>
        <v>152</v>
      </c>
      <c r="D33" s="7"/>
      <c r="E33" s="3">
        <f t="shared" si="3"/>
        <v>175.14360000000002</v>
      </c>
      <c r="F33" s="4"/>
      <c r="G33" s="1"/>
      <c r="H33" s="2">
        <f>H31+G33</f>
        <v>165</v>
      </c>
      <c r="I33" s="3">
        <f t="shared" si="5"/>
        <v>0</v>
      </c>
      <c r="J33" s="8"/>
      <c r="K33" s="4"/>
      <c r="L33" s="1">
        <v>8</v>
      </c>
      <c r="M33" s="2">
        <f>M31+L33</f>
        <v>66</v>
      </c>
      <c r="N33" s="3">
        <f t="shared" si="7"/>
        <v>0</v>
      </c>
      <c r="O33" s="8"/>
      <c r="P33" s="4" t="s">
        <v>12</v>
      </c>
      <c r="Q33" s="34"/>
      <c r="R33" s="9"/>
      <c r="S33" s="29">
        <f t="shared" si="9"/>
        <v>0</v>
      </c>
      <c r="T33" s="29"/>
      <c r="V33" s="9"/>
      <c r="W33" s="29">
        <f t="shared" si="8"/>
        <v>0</v>
      </c>
      <c r="X33" s="14"/>
    </row>
    <row r="34" spans="1:24" ht="18.75" thickBot="1" x14ac:dyDescent="0.3">
      <c r="A34" s="17" t="s">
        <v>8</v>
      </c>
      <c r="B34" s="22">
        <f>SUM(B3:B33)</f>
        <v>152</v>
      </c>
      <c r="C34" s="23">
        <f>+B34</f>
        <v>152</v>
      </c>
      <c r="D34" s="24">
        <f>SUM(D3:D33)</f>
        <v>175.14360000000002</v>
      </c>
      <c r="E34" s="23">
        <f>+D34</f>
        <v>175.14360000000002</v>
      </c>
      <c r="F34" s="25"/>
      <c r="G34" s="26">
        <f>SUM(G3:G33)</f>
        <v>165</v>
      </c>
      <c r="H34" s="23">
        <f>+G34</f>
        <v>165</v>
      </c>
      <c r="I34" s="23">
        <f>SUM(I3:I33)</f>
        <v>177.66719999999998</v>
      </c>
      <c r="J34" s="27">
        <f>SUM(J3:J33)</f>
        <v>18507</v>
      </c>
      <c r="K34" s="28"/>
      <c r="L34" s="26">
        <f>SUM(L3:L33)</f>
        <v>75</v>
      </c>
      <c r="M34" s="23">
        <f>+L34</f>
        <v>75</v>
      </c>
      <c r="N34" s="3">
        <f t="shared" si="7"/>
        <v>49.629599999999996</v>
      </c>
      <c r="O34" s="27">
        <f>SUM(O3:O33)</f>
        <v>6893</v>
      </c>
      <c r="P34" s="28"/>
      <c r="Q34" s="35"/>
      <c r="R34" s="29">
        <f>SUM(R3:R33)</f>
        <v>4830</v>
      </c>
      <c r="S34" s="29">
        <f>SUM(S4:S33)</f>
        <v>34.776000000000003</v>
      </c>
      <c r="T34" s="16">
        <f>SUM(T4:T33)</f>
        <v>81840</v>
      </c>
      <c r="V34" s="29">
        <f>SUM(V3:V33)</f>
        <v>18566</v>
      </c>
      <c r="W34" s="29">
        <f>SUM(W4:W33)</f>
        <v>178.2336</v>
      </c>
      <c r="X34" s="16"/>
    </row>
  </sheetData>
  <mergeCells count="3">
    <mergeCell ref="A1:F1"/>
    <mergeCell ref="G1:K1"/>
    <mergeCell ref="L1:P1"/>
  </mergeCells>
  <phoneticPr fontId="3" type="noConversion"/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"/>
  <sheetViews>
    <sheetView workbookViewId="0">
      <pane xSplit="1" ySplit="2" topLeftCell="E4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  <col min="15" max="15" width="11.28515625" customWidth="1"/>
    <col min="16" max="16" width="4.28515625" customWidth="1"/>
    <col min="17" max="17" width="13.7109375" customWidth="1"/>
    <col min="19" max="19" width="9.8554687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29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41183</v>
      </c>
      <c r="B3" s="1"/>
      <c r="C3" s="2">
        <f>B3</f>
        <v>0</v>
      </c>
      <c r="D3" s="3"/>
      <c r="E3" s="3">
        <f>D3</f>
        <v>0</v>
      </c>
      <c r="F3" s="4"/>
      <c r="G3" s="1"/>
      <c r="H3" s="2">
        <f>G3</f>
        <v>0</v>
      </c>
      <c r="I3" s="3">
        <f>J3*7.2/1000</f>
        <v>10.188000000000001</v>
      </c>
      <c r="J3" s="5">
        <f>50+690+555+120</f>
        <v>1415</v>
      </c>
      <c r="K3" s="62" t="s">
        <v>27</v>
      </c>
      <c r="L3" s="33"/>
      <c r="M3" s="30">
        <f>613+725+650+770</f>
        <v>2758</v>
      </c>
      <c r="N3" s="63">
        <f t="shared" ref="N3:N33" si="0">+M3*7.2/1000</f>
        <v>19.857600000000001</v>
      </c>
      <c r="O3" s="62" t="s">
        <v>27</v>
      </c>
      <c r="Q3" s="1"/>
      <c r="R3" s="2">
        <f>Q3</f>
        <v>0</v>
      </c>
      <c r="S3" s="3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41184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62"/>
      <c r="G4" s="1"/>
      <c r="H4" s="2">
        <f t="shared" ref="H4:H32" si="4">H3+G4</f>
        <v>0</v>
      </c>
      <c r="I4" s="3">
        <f t="shared" ref="I4:I33" si="5">J4*7.2/1000</f>
        <v>2.2679999999999998</v>
      </c>
      <c r="J4" s="5">
        <v>315</v>
      </c>
      <c r="K4" s="62" t="s">
        <v>27</v>
      </c>
      <c r="L4" s="34"/>
      <c r="M4" s="44"/>
      <c r="N4" s="29">
        <f t="shared" si="0"/>
        <v>0</v>
      </c>
      <c r="O4" s="38"/>
      <c r="Q4" s="1"/>
      <c r="R4" s="2">
        <f t="shared" ref="R4:R32" si="6">R3+Q4</f>
        <v>0</v>
      </c>
      <c r="S4" s="3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41185</v>
      </c>
      <c r="B5" s="1"/>
      <c r="C5" s="2">
        <f t="shared" si="2"/>
        <v>0</v>
      </c>
      <c r="D5" s="3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3"/>
      <c r="M5" s="13"/>
      <c r="N5" s="29">
        <f t="shared" si="0"/>
        <v>0</v>
      </c>
      <c r="O5" s="38"/>
      <c r="Q5" s="1"/>
      <c r="R5" s="2">
        <f t="shared" si="6"/>
        <v>0</v>
      </c>
      <c r="S5" s="3">
        <f t="shared" si="7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1"/>
        <v>41186</v>
      </c>
      <c r="B6" s="1"/>
      <c r="C6" s="2">
        <f t="shared" si="2"/>
        <v>0</v>
      </c>
      <c r="D6" s="3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3"/>
      <c r="M6" s="13"/>
      <c r="N6" s="29">
        <f t="shared" si="0"/>
        <v>0</v>
      </c>
      <c r="O6" s="38"/>
      <c r="Q6" s="1"/>
      <c r="R6" s="2">
        <f t="shared" si="6"/>
        <v>0</v>
      </c>
      <c r="S6" s="3">
        <f t="shared" si="7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1"/>
        <v>41187</v>
      </c>
      <c r="B7" s="1"/>
      <c r="C7" s="2">
        <f t="shared" si="2"/>
        <v>0</v>
      </c>
      <c r="D7" s="3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3"/>
      <c r="M7" s="13">
        <f>650+690+555+315</f>
        <v>2210</v>
      </c>
      <c r="N7" s="29">
        <f t="shared" si="0"/>
        <v>15.912000000000001</v>
      </c>
      <c r="O7" s="62" t="s">
        <v>27</v>
      </c>
      <c r="Q7" s="1"/>
      <c r="R7" s="2">
        <f t="shared" si="6"/>
        <v>0</v>
      </c>
      <c r="S7" s="3">
        <f t="shared" si="7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1"/>
        <v>41188</v>
      </c>
      <c r="B8" s="1"/>
      <c r="C8" s="2">
        <f t="shared" si="2"/>
        <v>0</v>
      </c>
      <c r="D8" s="3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/>
      <c r="R8" s="2">
        <f t="shared" si="6"/>
        <v>0</v>
      </c>
      <c r="S8" s="3">
        <f t="shared" si="7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1"/>
        <v>41189</v>
      </c>
      <c r="B9" s="1">
        <v>10</v>
      </c>
      <c r="C9" s="2">
        <f t="shared" si="2"/>
        <v>10</v>
      </c>
      <c r="D9" s="3">
        <f>705*8.1/1000</f>
        <v>5.7104999999999997</v>
      </c>
      <c r="E9" s="3">
        <f t="shared" si="3"/>
        <v>5.7104999999999997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  <c r="Q9" s="1"/>
      <c r="R9" s="2">
        <f t="shared" si="6"/>
        <v>0</v>
      </c>
      <c r="S9" s="3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41190</v>
      </c>
      <c r="B10" s="1">
        <v>10</v>
      </c>
      <c r="C10" s="2">
        <f t="shared" si="2"/>
        <v>20</v>
      </c>
      <c r="D10" s="3">
        <f>1180*8.1/1000</f>
        <v>9.5579999999999998</v>
      </c>
      <c r="E10" s="3">
        <f t="shared" si="3"/>
        <v>15.2685</v>
      </c>
      <c r="F10" s="4"/>
      <c r="G10" s="1">
        <v>3</v>
      </c>
      <c r="H10" s="2">
        <f t="shared" si="4"/>
        <v>3</v>
      </c>
      <c r="I10" s="3">
        <f t="shared" si="5"/>
        <v>1.44</v>
      </c>
      <c r="J10" s="5">
        <v>200</v>
      </c>
      <c r="K10" s="62" t="s">
        <v>27</v>
      </c>
      <c r="L10" s="33"/>
      <c r="M10" s="13"/>
      <c r="N10" s="29">
        <f t="shared" si="0"/>
        <v>0</v>
      </c>
      <c r="O10" s="38"/>
      <c r="Q10" s="1"/>
      <c r="R10" s="2">
        <f t="shared" si="6"/>
        <v>0</v>
      </c>
      <c r="S10" s="3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41191</v>
      </c>
      <c r="B11" s="1">
        <v>10</v>
      </c>
      <c r="C11" s="2">
        <f t="shared" si="2"/>
        <v>30</v>
      </c>
      <c r="D11" s="3">
        <f>1545*8.1/1000</f>
        <v>12.5145</v>
      </c>
      <c r="E11" s="3">
        <f t="shared" si="3"/>
        <v>27.783000000000001</v>
      </c>
      <c r="F11" s="4"/>
      <c r="G11" s="1">
        <v>7</v>
      </c>
      <c r="H11" s="2">
        <f t="shared" si="4"/>
        <v>10</v>
      </c>
      <c r="I11" s="3">
        <f t="shared" si="5"/>
        <v>3.3192000000000004</v>
      </c>
      <c r="J11" s="5">
        <v>461</v>
      </c>
      <c r="K11" s="62" t="s">
        <v>27</v>
      </c>
      <c r="L11" s="33"/>
      <c r="M11" s="13"/>
      <c r="N11" s="29">
        <f t="shared" si="0"/>
        <v>0</v>
      </c>
      <c r="O11" s="38"/>
      <c r="Q11" s="1"/>
      <c r="R11" s="2">
        <f t="shared" si="6"/>
        <v>0</v>
      </c>
      <c r="S11" s="3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41192</v>
      </c>
      <c r="B12" s="1">
        <v>10</v>
      </c>
      <c r="C12" s="2">
        <f t="shared" si="2"/>
        <v>40</v>
      </c>
      <c r="D12" s="3">
        <f>1420*8.1/1000</f>
        <v>11.502000000000001</v>
      </c>
      <c r="E12" s="3">
        <f t="shared" si="3"/>
        <v>39.285000000000004</v>
      </c>
      <c r="F12" s="4"/>
      <c r="G12" s="1">
        <v>10</v>
      </c>
      <c r="H12" s="2">
        <f t="shared" si="4"/>
        <v>20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  <c r="Q12" s="1"/>
      <c r="R12" s="2">
        <f t="shared" si="6"/>
        <v>0</v>
      </c>
      <c r="S12" s="3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41193</v>
      </c>
      <c r="B13" s="1">
        <v>10</v>
      </c>
      <c r="C13" s="2">
        <f t="shared" si="2"/>
        <v>50</v>
      </c>
      <c r="D13" s="3">
        <f>1570*8.1/1000</f>
        <v>12.717000000000001</v>
      </c>
      <c r="E13" s="3">
        <f t="shared" si="3"/>
        <v>52.002000000000002</v>
      </c>
      <c r="F13" s="4"/>
      <c r="G13" s="1">
        <v>10</v>
      </c>
      <c r="H13" s="2">
        <f t="shared" si="4"/>
        <v>30</v>
      </c>
      <c r="I13" s="3">
        <f t="shared" si="5"/>
        <v>0</v>
      </c>
      <c r="J13" s="5"/>
      <c r="K13" s="62"/>
      <c r="L13" s="33"/>
      <c r="M13" s="13"/>
      <c r="N13" s="29">
        <f t="shared" si="0"/>
        <v>0</v>
      </c>
      <c r="O13" s="29"/>
      <c r="Q13" s="1"/>
      <c r="R13" s="2">
        <f t="shared" si="6"/>
        <v>0</v>
      </c>
      <c r="S13" s="3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41194</v>
      </c>
      <c r="B14" s="1">
        <v>10</v>
      </c>
      <c r="C14" s="2">
        <f t="shared" si="2"/>
        <v>60</v>
      </c>
      <c r="D14" s="3">
        <f>(1395+159)*8.1/1000</f>
        <v>12.587399999999999</v>
      </c>
      <c r="E14" s="3">
        <f t="shared" si="3"/>
        <v>64.589399999999998</v>
      </c>
      <c r="F14" s="39"/>
      <c r="G14" s="1">
        <v>10</v>
      </c>
      <c r="H14" s="2">
        <f t="shared" si="4"/>
        <v>40</v>
      </c>
      <c r="I14" s="3">
        <f t="shared" si="5"/>
        <v>0</v>
      </c>
      <c r="J14" s="5"/>
      <c r="K14" s="62"/>
      <c r="L14" s="33"/>
      <c r="M14" s="13"/>
      <c r="N14" s="29">
        <f t="shared" si="0"/>
        <v>0</v>
      </c>
      <c r="O14" s="29"/>
      <c r="Q14" s="1"/>
      <c r="R14" s="2">
        <f t="shared" si="6"/>
        <v>0</v>
      </c>
      <c r="S14" s="3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41195</v>
      </c>
      <c r="B15" s="1">
        <v>10</v>
      </c>
      <c r="C15" s="2">
        <f t="shared" si="2"/>
        <v>70</v>
      </c>
      <c r="D15" s="3">
        <f>((526*8.1)+(255*10.8))/1000</f>
        <v>7.0145999999999997</v>
      </c>
      <c r="E15" s="3">
        <f t="shared" si="3"/>
        <v>71.603999999999999</v>
      </c>
      <c r="F15" s="67" t="s">
        <v>28</v>
      </c>
      <c r="G15" s="1">
        <v>10</v>
      </c>
      <c r="H15" s="2">
        <f t="shared" si="4"/>
        <v>50</v>
      </c>
      <c r="I15" s="3">
        <f t="shared" si="5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6"/>
        <v>0</v>
      </c>
      <c r="S15" s="3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41196</v>
      </c>
      <c r="B16" s="1">
        <v>10</v>
      </c>
      <c r="C16" s="2">
        <f t="shared" si="2"/>
        <v>80</v>
      </c>
      <c r="D16" s="3">
        <f>1170*10.8/1000</f>
        <v>12.635999999999999</v>
      </c>
      <c r="E16" s="3">
        <f t="shared" si="3"/>
        <v>84.24</v>
      </c>
      <c r="F16" s="39">
        <f>255*10.8/1000</f>
        <v>2.754</v>
      </c>
      <c r="G16" s="1">
        <v>10</v>
      </c>
      <c r="H16" s="2">
        <f t="shared" si="4"/>
        <v>60</v>
      </c>
      <c r="I16" s="3">
        <f t="shared" si="5"/>
        <v>0</v>
      </c>
      <c r="J16" s="5"/>
      <c r="K16" s="62"/>
      <c r="L16" s="33"/>
      <c r="M16" s="13"/>
      <c r="N16" s="29">
        <f t="shared" si="0"/>
        <v>0</v>
      </c>
      <c r="O16" s="29"/>
      <c r="Q16" s="1"/>
      <c r="R16" s="2">
        <f t="shared" si="6"/>
        <v>0</v>
      </c>
      <c r="S16" s="3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1"/>
        <v>41197</v>
      </c>
      <c r="B17" s="1">
        <v>10</v>
      </c>
      <c r="C17" s="2">
        <f t="shared" si="2"/>
        <v>90</v>
      </c>
      <c r="D17" s="6">
        <f>620*10.8/1000</f>
        <v>6.6959999999999997</v>
      </c>
      <c r="E17" s="6">
        <f t="shared" si="3"/>
        <v>90.935999999999993</v>
      </c>
      <c r="F17" s="61">
        <v>132.84</v>
      </c>
      <c r="G17" s="1"/>
      <c r="H17" s="2">
        <f t="shared" si="4"/>
        <v>60</v>
      </c>
      <c r="I17" s="6">
        <f t="shared" si="5"/>
        <v>0</v>
      </c>
      <c r="J17" s="5"/>
      <c r="K17" s="62"/>
      <c r="L17" s="33"/>
      <c r="M17" s="13"/>
      <c r="N17" s="29">
        <f t="shared" si="0"/>
        <v>0</v>
      </c>
      <c r="O17" s="29"/>
      <c r="Q17" s="1"/>
      <c r="R17" s="2">
        <f t="shared" si="6"/>
        <v>0</v>
      </c>
      <c r="S17" s="3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1"/>
        <v>41198</v>
      </c>
      <c r="B18" s="1">
        <v>10</v>
      </c>
      <c r="C18" s="2">
        <f t="shared" si="2"/>
        <v>100</v>
      </c>
      <c r="D18" s="3">
        <f>1195*10.8/1000</f>
        <v>12.906000000000001</v>
      </c>
      <c r="E18" s="3">
        <f t="shared" si="3"/>
        <v>103.842</v>
      </c>
      <c r="F18" s="39"/>
      <c r="G18" s="1"/>
      <c r="H18" s="2">
        <f t="shared" si="4"/>
        <v>60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  <c r="Q18" s="1">
        <v>5</v>
      </c>
      <c r="R18" s="2">
        <f t="shared" si="6"/>
        <v>5</v>
      </c>
      <c r="S18" s="3">
        <f t="shared" si="7"/>
        <v>6.1920000000000002</v>
      </c>
      <c r="T18" s="5">
        <f>285+360</f>
        <v>645</v>
      </c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1"/>
        <v>41199</v>
      </c>
      <c r="B19" s="1">
        <v>10</v>
      </c>
      <c r="C19" s="2">
        <f t="shared" si="2"/>
        <v>110</v>
      </c>
      <c r="D19" s="3">
        <f>(730*10.8+160*16.87)/1000</f>
        <v>10.583200000000001</v>
      </c>
      <c r="E19" s="3">
        <f t="shared" si="3"/>
        <v>114.4252</v>
      </c>
      <c r="F19" s="39"/>
      <c r="G19" s="1"/>
      <c r="H19" s="2">
        <f t="shared" si="4"/>
        <v>60</v>
      </c>
      <c r="I19" s="3">
        <f t="shared" si="5"/>
        <v>0</v>
      </c>
      <c r="J19" s="5"/>
      <c r="K19" s="62"/>
      <c r="L19" s="33"/>
      <c r="M19" s="13"/>
      <c r="N19" s="29">
        <f t="shared" si="0"/>
        <v>0</v>
      </c>
      <c r="O19" s="29"/>
      <c r="Q19" s="1">
        <v>10</v>
      </c>
      <c r="R19" s="2">
        <f t="shared" si="6"/>
        <v>15</v>
      </c>
      <c r="S19" s="3">
        <f t="shared" si="7"/>
        <v>9.1487999999999996</v>
      </c>
      <c r="T19" s="5">
        <f>290+663</f>
        <v>953</v>
      </c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1"/>
        <v>41200</v>
      </c>
      <c r="B20" s="1">
        <v>10</v>
      </c>
      <c r="C20" s="2">
        <f t="shared" si="2"/>
        <v>120</v>
      </c>
      <c r="D20" s="3">
        <f>350*10.8/1000</f>
        <v>3.7800000000000002</v>
      </c>
      <c r="E20" s="3">
        <f t="shared" si="3"/>
        <v>118.2052</v>
      </c>
      <c r="F20" s="39"/>
      <c r="G20" s="1"/>
      <c r="H20" s="2">
        <f t="shared" si="4"/>
        <v>60</v>
      </c>
      <c r="I20" s="3">
        <f t="shared" si="5"/>
        <v>0</v>
      </c>
      <c r="J20" s="5"/>
      <c r="K20" s="62"/>
      <c r="L20" s="33"/>
      <c r="M20" s="13"/>
      <c r="N20" s="29">
        <f t="shared" si="0"/>
        <v>0</v>
      </c>
      <c r="O20" s="29"/>
      <c r="Q20" s="1">
        <v>10</v>
      </c>
      <c r="R20" s="2">
        <f t="shared" si="6"/>
        <v>25</v>
      </c>
      <c r="S20" s="3">
        <f t="shared" si="7"/>
        <v>9.5519999999999996</v>
      </c>
      <c r="T20" s="5">
        <f>465+230+300</f>
        <v>995</v>
      </c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1"/>
        <v>41201</v>
      </c>
      <c r="B21" s="1">
        <v>10</v>
      </c>
      <c r="C21" s="2">
        <f t="shared" si="2"/>
        <v>130</v>
      </c>
      <c r="D21" s="3">
        <f>1040*10.8/1000</f>
        <v>11.231999999999999</v>
      </c>
      <c r="E21" s="3">
        <f t="shared" si="3"/>
        <v>129.43720000000002</v>
      </c>
      <c r="F21" s="62"/>
      <c r="G21" s="1"/>
      <c r="H21" s="2">
        <f t="shared" si="4"/>
        <v>60</v>
      </c>
      <c r="I21" s="3">
        <f t="shared" si="5"/>
        <v>0</v>
      </c>
      <c r="J21" s="5"/>
      <c r="K21" s="62"/>
      <c r="L21" s="33"/>
      <c r="M21" s="13"/>
      <c r="N21" s="29">
        <f t="shared" si="0"/>
        <v>0</v>
      </c>
      <c r="O21" s="29"/>
      <c r="Q21" s="1">
        <v>10</v>
      </c>
      <c r="R21" s="2">
        <f t="shared" si="6"/>
        <v>35</v>
      </c>
      <c r="S21" s="3">
        <f t="shared" si="7"/>
        <v>10.012799999999999</v>
      </c>
      <c r="T21" s="5">
        <v>1043</v>
      </c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1"/>
        <v>41202</v>
      </c>
      <c r="B22" s="1">
        <v>10</v>
      </c>
      <c r="C22" s="2">
        <f t="shared" si="2"/>
        <v>140</v>
      </c>
      <c r="D22" s="3">
        <f>835*10.8/1000</f>
        <v>9.0180000000000007</v>
      </c>
      <c r="E22" s="3">
        <f t="shared" si="3"/>
        <v>138.45520000000002</v>
      </c>
      <c r="F22" s="62"/>
      <c r="G22" s="1"/>
      <c r="H22" s="2">
        <f t="shared" si="4"/>
        <v>60</v>
      </c>
      <c r="I22" s="3">
        <f t="shared" si="5"/>
        <v>0</v>
      </c>
      <c r="J22" s="5"/>
      <c r="K22" s="62"/>
      <c r="L22" s="33"/>
      <c r="M22" s="13"/>
      <c r="N22" s="29">
        <f t="shared" si="0"/>
        <v>0</v>
      </c>
      <c r="O22" s="14"/>
      <c r="Q22" s="1">
        <v>10</v>
      </c>
      <c r="R22" s="2">
        <f t="shared" si="6"/>
        <v>45</v>
      </c>
      <c r="S22" s="3">
        <f t="shared" si="7"/>
        <v>10.752000000000001</v>
      </c>
      <c r="T22" s="5">
        <v>1120</v>
      </c>
      <c r="U22" s="62"/>
      <c r="W22" s="13">
        <v>1598</v>
      </c>
      <c r="X22" s="63">
        <f t="shared" si="8"/>
        <v>15.3408</v>
      </c>
      <c r="Y22" s="14"/>
    </row>
    <row r="23" spans="1:25" ht="15" x14ac:dyDescent="0.25">
      <c r="A23" s="11">
        <f t="shared" si="1"/>
        <v>41203</v>
      </c>
      <c r="B23" s="1">
        <v>10</v>
      </c>
      <c r="C23" s="2">
        <f t="shared" si="2"/>
        <v>150</v>
      </c>
      <c r="D23" s="3">
        <f>985*10.8/1000</f>
        <v>10.638</v>
      </c>
      <c r="E23" s="3">
        <f t="shared" si="3"/>
        <v>149.09320000000002</v>
      </c>
      <c r="F23" s="62"/>
      <c r="G23" s="1"/>
      <c r="H23" s="2">
        <f t="shared" si="4"/>
        <v>60</v>
      </c>
      <c r="I23" s="3">
        <f t="shared" si="5"/>
        <v>0</v>
      </c>
      <c r="J23" s="5"/>
      <c r="K23" s="62"/>
      <c r="L23" s="33"/>
      <c r="M23" s="13"/>
      <c r="N23" s="16">
        <f t="shared" si="0"/>
        <v>0</v>
      </c>
      <c r="O23" s="29"/>
      <c r="Q23" s="1">
        <v>10</v>
      </c>
      <c r="R23" s="2">
        <f t="shared" si="6"/>
        <v>55</v>
      </c>
      <c r="S23" s="3">
        <f t="shared" si="7"/>
        <v>12.096</v>
      </c>
      <c r="T23" s="5">
        <f>92+618+550</f>
        <v>1260</v>
      </c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1"/>
        <v>41204</v>
      </c>
      <c r="B24" s="1">
        <v>10</v>
      </c>
      <c r="C24" s="2">
        <f t="shared" si="2"/>
        <v>160</v>
      </c>
      <c r="D24" s="3">
        <f>1090*10.8/1000</f>
        <v>11.772</v>
      </c>
      <c r="E24" s="3">
        <f t="shared" si="3"/>
        <v>160.86520000000002</v>
      </c>
      <c r="F24" s="62"/>
      <c r="G24" s="1"/>
      <c r="H24" s="2">
        <f t="shared" si="4"/>
        <v>60</v>
      </c>
      <c r="I24" s="3">
        <f t="shared" si="5"/>
        <v>0</v>
      </c>
      <c r="J24" s="5"/>
      <c r="K24" s="62"/>
      <c r="L24" s="33"/>
      <c r="M24" s="13"/>
      <c r="N24" s="16">
        <f t="shared" si="0"/>
        <v>0</v>
      </c>
      <c r="O24" s="29"/>
      <c r="Q24" s="1">
        <v>10</v>
      </c>
      <c r="R24" s="2">
        <f t="shared" si="6"/>
        <v>65</v>
      </c>
      <c r="S24" s="3">
        <f t="shared" si="7"/>
        <v>6.4415999999999993</v>
      </c>
      <c r="T24" s="5">
        <f>510+161</f>
        <v>671</v>
      </c>
      <c r="U24" s="62"/>
      <c r="W24" s="13">
        <f>465+230+668+675</f>
        <v>2038</v>
      </c>
      <c r="X24" s="63">
        <f t="shared" si="8"/>
        <v>19.564799999999998</v>
      </c>
      <c r="Y24" s="29"/>
    </row>
    <row r="25" spans="1:25" ht="15" x14ac:dyDescent="0.25">
      <c r="A25" s="11">
        <f t="shared" si="1"/>
        <v>41205</v>
      </c>
      <c r="B25" s="1">
        <v>10</v>
      </c>
      <c r="C25" s="2">
        <f t="shared" si="2"/>
        <v>170</v>
      </c>
      <c r="D25" s="3">
        <f>1125*10.8/1000</f>
        <v>12.15</v>
      </c>
      <c r="E25" s="3">
        <f t="shared" si="3"/>
        <v>173.01520000000002</v>
      </c>
      <c r="F25" s="62"/>
      <c r="G25" s="1"/>
      <c r="H25" s="2">
        <f t="shared" si="4"/>
        <v>60</v>
      </c>
      <c r="I25" s="3">
        <f t="shared" si="5"/>
        <v>8.9855999999999998</v>
      </c>
      <c r="J25" s="5">
        <f>130+578+540</f>
        <v>1248</v>
      </c>
      <c r="K25" s="62"/>
      <c r="L25" s="33"/>
      <c r="M25" s="13"/>
      <c r="N25" s="16">
        <f t="shared" si="0"/>
        <v>0</v>
      </c>
      <c r="O25" s="38"/>
      <c r="Q25" s="1">
        <v>10</v>
      </c>
      <c r="R25" s="2">
        <f t="shared" si="6"/>
        <v>75</v>
      </c>
      <c r="S25" s="3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1"/>
        <v>41206</v>
      </c>
      <c r="B26" s="1">
        <v>10</v>
      </c>
      <c r="C26" s="2">
        <f t="shared" si="2"/>
        <v>180</v>
      </c>
      <c r="D26" s="3">
        <f>930*10.8/1000</f>
        <v>10.044</v>
      </c>
      <c r="E26" s="3">
        <f t="shared" si="3"/>
        <v>183.05920000000003</v>
      </c>
      <c r="F26" s="62"/>
      <c r="G26" s="1"/>
      <c r="H26" s="2">
        <f t="shared" si="4"/>
        <v>60</v>
      </c>
      <c r="I26" s="3">
        <f t="shared" si="5"/>
        <v>7.6752000000000002</v>
      </c>
      <c r="J26" s="5">
        <v>1066</v>
      </c>
      <c r="K26" s="62"/>
      <c r="L26" s="33"/>
      <c r="M26" s="13"/>
      <c r="N26" s="16">
        <f t="shared" si="0"/>
        <v>0</v>
      </c>
      <c r="O26" s="29"/>
      <c r="Q26" s="1">
        <v>10</v>
      </c>
      <c r="R26" s="2">
        <f t="shared" si="6"/>
        <v>85</v>
      </c>
      <c r="S26" s="3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1"/>
        <v>41207</v>
      </c>
      <c r="B27" s="1">
        <v>10</v>
      </c>
      <c r="C27" s="2">
        <f t="shared" si="2"/>
        <v>190</v>
      </c>
      <c r="D27" s="3">
        <f>910*10.8/1000</f>
        <v>9.8279999999999994</v>
      </c>
      <c r="E27" s="3">
        <f t="shared" si="3"/>
        <v>192.88720000000004</v>
      </c>
      <c r="F27" s="62"/>
      <c r="G27" s="1"/>
      <c r="H27" s="2">
        <f t="shared" si="4"/>
        <v>60</v>
      </c>
      <c r="I27" s="3">
        <f t="shared" si="5"/>
        <v>9.7560000000000002</v>
      </c>
      <c r="J27" s="5">
        <f>875+480</f>
        <v>1355</v>
      </c>
      <c r="K27" s="62"/>
      <c r="L27" s="33"/>
      <c r="M27" s="13"/>
      <c r="N27" s="16">
        <f t="shared" si="0"/>
        <v>0</v>
      </c>
      <c r="O27" s="29"/>
      <c r="Q27" s="1">
        <v>10</v>
      </c>
      <c r="R27" s="2">
        <f t="shared" si="6"/>
        <v>95</v>
      </c>
      <c r="S27" s="3">
        <f t="shared" si="7"/>
        <v>0</v>
      </c>
      <c r="T27" s="5"/>
      <c r="U27" s="62"/>
      <c r="W27" s="13">
        <f>820+392</f>
        <v>1212</v>
      </c>
      <c r="X27" s="63">
        <f t="shared" si="8"/>
        <v>11.635199999999999</v>
      </c>
      <c r="Y27" s="29"/>
    </row>
    <row r="28" spans="1:25" ht="15" x14ac:dyDescent="0.25">
      <c r="A28" s="11">
        <f t="shared" si="1"/>
        <v>41208</v>
      </c>
      <c r="B28" s="1">
        <v>10</v>
      </c>
      <c r="C28" s="2">
        <f t="shared" si="2"/>
        <v>200</v>
      </c>
      <c r="D28" s="3">
        <f>1070*10.8/1000</f>
        <v>11.555999999999999</v>
      </c>
      <c r="E28" s="3">
        <f t="shared" si="3"/>
        <v>204.44320000000005</v>
      </c>
      <c r="F28" s="62"/>
      <c r="G28" s="1"/>
      <c r="H28" s="2">
        <f t="shared" si="4"/>
        <v>60</v>
      </c>
      <c r="I28" s="3">
        <f t="shared" si="5"/>
        <v>9.7560000000000002</v>
      </c>
      <c r="J28" s="5">
        <f>245+870+240</f>
        <v>1355</v>
      </c>
      <c r="K28" s="62"/>
      <c r="L28" s="33"/>
      <c r="M28" s="13">
        <f>790+578+746</f>
        <v>2114</v>
      </c>
      <c r="N28" s="16">
        <f t="shared" si="0"/>
        <v>15.220800000000001</v>
      </c>
      <c r="O28" s="29"/>
      <c r="Q28" s="1">
        <v>10</v>
      </c>
      <c r="R28" s="2">
        <f t="shared" si="6"/>
        <v>105</v>
      </c>
      <c r="S28" s="3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1"/>
        <v>41209</v>
      </c>
      <c r="B29" s="1">
        <v>10</v>
      </c>
      <c r="C29" s="2">
        <f t="shared" si="2"/>
        <v>210</v>
      </c>
      <c r="D29" s="3">
        <v>6.05</v>
      </c>
      <c r="E29" s="3">
        <f t="shared" si="3"/>
        <v>210.49320000000006</v>
      </c>
      <c r="F29" s="62"/>
      <c r="G29" s="1"/>
      <c r="H29" s="2">
        <f t="shared" si="4"/>
        <v>60</v>
      </c>
      <c r="I29" s="3">
        <f t="shared" si="5"/>
        <v>10.512</v>
      </c>
      <c r="J29" s="5">
        <f>620+840</f>
        <v>1460</v>
      </c>
      <c r="K29" s="62"/>
      <c r="L29" s="33"/>
      <c r="M29" s="13">
        <f>860+875+725+870</f>
        <v>3330</v>
      </c>
      <c r="N29" s="16">
        <f t="shared" si="0"/>
        <v>23.975999999999999</v>
      </c>
      <c r="O29" s="29"/>
      <c r="Q29" s="1">
        <v>10</v>
      </c>
      <c r="R29" s="2">
        <f t="shared" si="6"/>
        <v>115</v>
      </c>
      <c r="S29" s="3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1"/>
        <v>41210</v>
      </c>
      <c r="B30" s="1"/>
      <c r="C30" s="2">
        <f t="shared" si="2"/>
        <v>210</v>
      </c>
      <c r="D30" s="3"/>
      <c r="E30" s="3">
        <f t="shared" si="3"/>
        <v>210.49320000000006</v>
      </c>
      <c r="F30" s="62"/>
      <c r="G30" s="1"/>
      <c r="H30" s="2">
        <f t="shared" si="4"/>
        <v>60</v>
      </c>
      <c r="I30" s="3">
        <f t="shared" si="5"/>
        <v>9.5399999999999991</v>
      </c>
      <c r="J30" s="5">
        <f>65+900+360</f>
        <v>1325</v>
      </c>
      <c r="K30" s="62"/>
      <c r="L30" s="33"/>
      <c r="M30" s="13"/>
      <c r="N30" s="16">
        <f t="shared" si="0"/>
        <v>0</v>
      </c>
      <c r="O30" s="14"/>
      <c r="Q30" s="1">
        <v>10</v>
      </c>
      <c r="R30" s="2">
        <f t="shared" si="6"/>
        <v>125</v>
      </c>
      <c r="S30" s="3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1"/>
        <v>41211</v>
      </c>
      <c r="B31" s="1"/>
      <c r="C31" s="2">
        <f t="shared" si="2"/>
        <v>210</v>
      </c>
      <c r="D31" s="7"/>
      <c r="E31" s="3">
        <f t="shared" si="3"/>
        <v>210.49320000000006</v>
      </c>
      <c r="F31" s="62"/>
      <c r="G31" s="1"/>
      <c r="H31" s="2">
        <f t="shared" si="4"/>
        <v>60</v>
      </c>
      <c r="I31" s="3">
        <f t="shared" si="5"/>
        <v>6.2351999999999999</v>
      </c>
      <c r="J31" s="5">
        <f>282+584</f>
        <v>866</v>
      </c>
      <c r="K31" s="62"/>
      <c r="L31" s="33"/>
      <c r="M31" s="13"/>
      <c r="N31" s="16">
        <f t="shared" si="0"/>
        <v>0</v>
      </c>
      <c r="O31" s="29"/>
      <c r="Q31" s="1">
        <v>10</v>
      </c>
      <c r="R31" s="2">
        <f t="shared" si="6"/>
        <v>135</v>
      </c>
      <c r="S31" s="3">
        <f t="shared" si="7"/>
        <v>4.8384</v>
      </c>
      <c r="T31" s="5">
        <f>264+240</f>
        <v>504</v>
      </c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1"/>
        <v>41212</v>
      </c>
      <c r="B32" s="1"/>
      <c r="C32" s="2">
        <f t="shared" si="2"/>
        <v>210</v>
      </c>
      <c r="D32" s="7"/>
      <c r="E32" s="3">
        <f t="shared" si="3"/>
        <v>210.49320000000006</v>
      </c>
      <c r="F32" s="62"/>
      <c r="G32" s="1"/>
      <c r="H32" s="2">
        <f t="shared" si="4"/>
        <v>60</v>
      </c>
      <c r="I32" s="3">
        <f t="shared" si="5"/>
        <v>0</v>
      </c>
      <c r="J32" s="5"/>
      <c r="K32" s="62"/>
      <c r="L32" s="42"/>
      <c r="M32" s="13"/>
      <c r="N32" s="16">
        <f t="shared" si="0"/>
        <v>0</v>
      </c>
      <c r="O32" s="29"/>
      <c r="Q32" s="1">
        <v>7</v>
      </c>
      <c r="R32" s="2">
        <f t="shared" si="6"/>
        <v>142</v>
      </c>
      <c r="S32" s="3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41213</v>
      </c>
      <c r="B33" s="1"/>
      <c r="C33" s="2">
        <f>B33+C31</f>
        <v>210</v>
      </c>
      <c r="D33" s="7"/>
      <c r="E33" s="3">
        <f>D33+E31</f>
        <v>210.49320000000006</v>
      </c>
      <c r="F33" s="62"/>
      <c r="G33" s="1"/>
      <c r="H33" s="2">
        <f>H31+G33</f>
        <v>60</v>
      </c>
      <c r="I33" s="3">
        <f t="shared" si="5"/>
        <v>0</v>
      </c>
      <c r="J33" s="5"/>
      <c r="K33" s="62"/>
      <c r="L33" s="42"/>
      <c r="M33" s="13"/>
      <c r="N33" s="16">
        <f t="shared" si="0"/>
        <v>0</v>
      </c>
      <c r="O33" s="29"/>
      <c r="Q33" s="1"/>
      <c r="R33" s="2">
        <f>R31+Q33</f>
        <v>135</v>
      </c>
      <c r="S33" s="3">
        <f t="shared" si="7"/>
        <v>12.624000000000001</v>
      </c>
      <c r="T33" s="5">
        <f>170+573+572</f>
        <v>1315</v>
      </c>
      <c r="U33" s="62"/>
      <c r="W33" s="13">
        <f>618+550+510+425</f>
        <v>2103</v>
      </c>
      <c r="X33" s="63">
        <f t="shared" si="8"/>
        <v>20.188800000000001</v>
      </c>
      <c r="Y33" s="29"/>
    </row>
    <row r="34" spans="1:25" ht="21" customHeight="1" thickBot="1" x14ac:dyDescent="0.3">
      <c r="A34" s="17" t="s">
        <v>8</v>
      </c>
      <c r="B34" s="40">
        <f>SUM(B3:B33)</f>
        <v>210</v>
      </c>
      <c r="C34" s="40">
        <f>+B34</f>
        <v>210</v>
      </c>
      <c r="D34" s="24">
        <f>SUM(D3:D33)</f>
        <v>210.49320000000006</v>
      </c>
      <c r="E34" s="23">
        <f>+D34</f>
        <v>210.49320000000006</v>
      </c>
      <c r="F34" s="25"/>
      <c r="G34" s="26">
        <f>SUM(G3:G33)</f>
        <v>60</v>
      </c>
      <c r="H34" s="40">
        <f>+G34</f>
        <v>60</v>
      </c>
      <c r="I34" s="23">
        <f>SUM(I3:I33)</f>
        <v>79.675200000000004</v>
      </c>
      <c r="J34" s="27">
        <f>SUM(J3:J33)</f>
        <v>11066</v>
      </c>
      <c r="K34" s="28"/>
      <c r="L34" s="35"/>
      <c r="M34" s="29">
        <f>SUM(M3:M33)</f>
        <v>10412</v>
      </c>
      <c r="N34" s="63">
        <f>SUM(N3:N33)</f>
        <v>74.966400000000007</v>
      </c>
      <c r="O34" s="16"/>
      <c r="Q34" s="26">
        <f>SUM(Q3:Q33)</f>
        <v>142</v>
      </c>
      <c r="R34" s="40">
        <f>+Q34</f>
        <v>142</v>
      </c>
      <c r="S34" s="23">
        <f>SUM(S3:S33)</f>
        <v>81.657600000000002</v>
      </c>
      <c r="T34" s="27">
        <f>SUM(T3:T33)</f>
        <v>8506</v>
      </c>
      <c r="U34" s="28"/>
      <c r="W34" s="29">
        <f>SUM(W3:W33)</f>
        <v>6951</v>
      </c>
      <c r="X34" s="63">
        <f>SUM(X3:X33)</f>
        <v>66.729600000000005</v>
      </c>
      <c r="Y34" s="16"/>
    </row>
    <row r="35" spans="1:25" x14ac:dyDescent="0.2">
      <c r="D35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2" sqref="E2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  <col min="15" max="15" width="11.28515625" customWidth="1"/>
    <col min="16" max="16" width="4.28515625" customWidth="1"/>
    <col min="17" max="17" width="13.7109375" customWidth="1"/>
    <col min="19" max="19" width="9.8554687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29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41214</v>
      </c>
      <c r="B3" s="1"/>
      <c r="C3" s="2">
        <f>B3</f>
        <v>0</v>
      </c>
      <c r="D3" s="3"/>
      <c r="E3" s="3">
        <f>D3</f>
        <v>0</v>
      </c>
      <c r="F3" s="4"/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63">
        <f t="shared" ref="N3:N32" si="0">+M3*7.2/1000</f>
        <v>0</v>
      </c>
      <c r="O3" s="62"/>
      <c r="Q3" s="1"/>
      <c r="R3" s="2">
        <f>Q3</f>
        <v>0</v>
      </c>
      <c r="S3" s="3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2" si="1">A3+1</f>
        <v>41215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62"/>
      <c r="G4" s="1"/>
      <c r="H4" s="2">
        <f t="shared" ref="H4:H32" si="4">H3+G4</f>
        <v>0</v>
      </c>
      <c r="I4" s="3">
        <f t="shared" ref="I4:I32" si="5">J4*7.2/1000</f>
        <v>1.3824000000000001</v>
      </c>
      <c r="J4" s="5">
        <v>192</v>
      </c>
      <c r="K4" s="62"/>
      <c r="L4" s="34"/>
      <c r="M4" s="44">
        <f>860+905+900+830</f>
        <v>3495</v>
      </c>
      <c r="N4" s="29">
        <f t="shared" si="0"/>
        <v>25.164000000000001</v>
      </c>
      <c r="O4" s="38"/>
      <c r="Q4" s="1">
        <v>10</v>
      </c>
      <c r="R4" s="2">
        <f t="shared" ref="R4:R32" si="6">R3+Q4</f>
        <v>10</v>
      </c>
      <c r="S4" s="3">
        <f t="shared" ref="S4:S32" si="7">T4*9.6/1000</f>
        <v>9.4463999999999988</v>
      </c>
      <c r="T4" s="5">
        <f>262+482+240</f>
        <v>984</v>
      </c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1"/>
        <v>41216</v>
      </c>
      <c r="B5" s="1"/>
      <c r="C5" s="2">
        <f t="shared" si="2"/>
        <v>0</v>
      </c>
      <c r="D5" s="3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3"/>
      <c r="M5" s="13"/>
      <c r="N5" s="29">
        <f t="shared" si="0"/>
        <v>0</v>
      </c>
      <c r="O5" s="38"/>
      <c r="Q5" s="1">
        <v>10</v>
      </c>
      <c r="R5" s="2">
        <f t="shared" si="6"/>
        <v>20</v>
      </c>
      <c r="S5" s="3">
        <f t="shared" si="7"/>
        <v>11.28</v>
      </c>
      <c r="T5" s="5">
        <f>130+625+420</f>
        <v>1175</v>
      </c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1"/>
        <v>41217</v>
      </c>
      <c r="B6" s="1"/>
      <c r="C6" s="2">
        <f t="shared" si="2"/>
        <v>0</v>
      </c>
      <c r="D6" s="3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3"/>
      <c r="M6" s="13"/>
      <c r="N6" s="29">
        <f t="shared" si="0"/>
        <v>0</v>
      </c>
      <c r="O6" s="38"/>
      <c r="Q6" s="1">
        <v>10</v>
      </c>
      <c r="R6" s="2">
        <f t="shared" si="6"/>
        <v>30</v>
      </c>
      <c r="S6" s="3">
        <f t="shared" si="7"/>
        <v>10.867199999999999</v>
      </c>
      <c r="T6" s="5">
        <f>140+640+352</f>
        <v>1132</v>
      </c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1"/>
        <v>41218</v>
      </c>
      <c r="B7" s="1"/>
      <c r="C7" s="2">
        <f t="shared" si="2"/>
        <v>0</v>
      </c>
      <c r="D7" s="3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3"/>
      <c r="M7" s="13"/>
      <c r="N7" s="29">
        <f t="shared" si="0"/>
        <v>0</v>
      </c>
      <c r="O7" s="62"/>
      <c r="Q7" s="1"/>
      <c r="R7" s="2">
        <f t="shared" si="6"/>
        <v>30</v>
      </c>
      <c r="S7" s="3">
        <f t="shared" si="7"/>
        <v>0</v>
      </c>
      <c r="T7" s="5"/>
      <c r="U7" s="62"/>
      <c r="W7" s="13">
        <f>565+540+650+573</f>
        <v>2328</v>
      </c>
      <c r="X7" s="63">
        <f t="shared" si="8"/>
        <v>22.348800000000001</v>
      </c>
      <c r="Y7" s="38"/>
    </row>
    <row r="8" spans="1:25" ht="15" x14ac:dyDescent="0.25">
      <c r="A8" s="11">
        <f t="shared" si="1"/>
        <v>41219</v>
      </c>
      <c r="B8" s="1"/>
      <c r="C8" s="2">
        <f t="shared" si="2"/>
        <v>0</v>
      </c>
      <c r="D8" s="3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/>
      <c r="R8" s="2">
        <f t="shared" si="6"/>
        <v>30</v>
      </c>
      <c r="S8" s="3">
        <f t="shared" si="7"/>
        <v>0</v>
      </c>
      <c r="T8" s="65"/>
      <c r="U8" s="62"/>
      <c r="W8" s="66">
        <f>572+690+562+482</f>
        <v>2306</v>
      </c>
      <c r="X8" s="63">
        <f t="shared" si="8"/>
        <v>22.137599999999999</v>
      </c>
      <c r="Y8" s="14"/>
    </row>
    <row r="9" spans="1:25" ht="15" x14ac:dyDescent="0.25">
      <c r="A9" s="11">
        <f t="shared" si="1"/>
        <v>41220</v>
      </c>
      <c r="B9" s="1"/>
      <c r="C9" s="2">
        <f t="shared" si="2"/>
        <v>0</v>
      </c>
      <c r="D9" s="3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  <c r="Q9" s="1"/>
      <c r="R9" s="2">
        <f t="shared" si="6"/>
        <v>30</v>
      </c>
      <c r="S9" s="3">
        <f t="shared" si="7"/>
        <v>0</v>
      </c>
      <c r="T9" s="5"/>
      <c r="U9" s="62"/>
      <c r="W9" s="13">
        <f>370+652+560+640+352</f>
        <v>2574</v>
      </c>
      <c r="X9" s="63">
        <f t="shared" si="8"/>
        <v>24.710399999999996</v>
      </c>
      <c r="Y9" s="29"/>
    </row>
    <row r="10" spans="1:25" ht="15" x14ac:dyDescent="0.25">
      <c r="A10" s="11">
        <f t="shared" si="1"/>
        <v>41221</v>
      </c>
      <c r="B10" s="1"/>
      <c r="C10" s="2">
        <f t="shared" si="2"/>
        <v>0</v>
      </c>
      <c r="D10" s="3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13"/>
      <c r="N10" s="29">
        <f t="shared" si="0"/>
        <v>0</v>
      </c>
      <c r="O10" s="38"/>
      <c r="Q10" s="1"/>
      <c r="R10" s="2">
        <f t="shared" si="6"/>
        <v>30</v>
      </c>
      <c r="S10" s="3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41222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13"/>
      <c r="N11" s="29">
        <f t="shared" si="0"/>
        <v>0</v>
      </c>
      <c r="O11" s="38"/>
      <c r="Q11" s="1"/>
      <c r="R11" s="2">
        <f t="shared" si="6"/>
        <v>30</v>
      </c>
      <c r="S11" s="3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41223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  <c r="Q12" s="1"/>
      <c r="R12" s="2">
        <f t="shared" si="6"/>
        <v>30</v>
      </c>
      <c r="S12" s="3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41224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13"/>
      <c r="N13" s="29">
        <f t="shared" si="0"/>
        <v>0</v>
      </c>
      <c r="O13" s="29"/>
      <c r="Q13" s="1"/>
      <c r="R13" s="2">
        <f t="shared" si="6"/>
        <v>30</v>
      </c>
      <c r="S13" s="3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41225</v>
      </c>
      <c r="B14" s="1">
        <v>10</v>
      </c>
      <c r="C14" s="2">
        <f t="shared" si="2"/>
        <v>10</v>
      </c>
      <c r="D14" s="3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13"/>
      <c r="N14" s="29">
        <f t="shared" si="0"/>
        <v>0</v>
      </c>
      <c r="O14" s="29"/>
      <c r="Q14" s="1"/>
      <c r="R14" s="2">
        <f t="shared" si="6"/>
        <v>30</v>
      </c>
      <c r="S14" s="3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41226</v>
      </c>
      <c r="B15" s="1">
        <v>10</v>
      </c>
      <c r="C15" s="2">
        <f t="shared" si="2"/>
        <v>20</v>
      </c>
      <c r="D15" s="3"/>
      <c r="E15" s="3">
        <f t="shared" si="3"/>
        <v>0</v>
      </c>
      <c r="F15" s="67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6"/>
        <v>30</v>
      </c>
      <c r="S15" s="3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41227</v>
      </c>
      <c r="B16" s="1">
        <v>10</v>
      </c>
      <c r="C16" s="2">
        <f t="shared" si="2"/>
        <v>30</v>
      </c>
      <c r="D16" s="3"/>
      <c r="E16" s="3">
        <f t="shared" si="3"/>
        <v>0</v>
      </c>
      <c r="F16" s="39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13"/>
      <c r="N16" s="29">
        <f t="shared" si="0"/>
        <v>0</v>
      </c>
      <c r="O16" s="29"/>
      <c r="Q16" s="1"/>
      <c r="R16" s="2">
        <f t="shared" si="6"/>
        <v>30</v>
      </c>
      <c r="S16" s="3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1"/>
        <v>41228</v>
      </c>
      <c r="B17" s="1">
        <v>10</v>
      </c>
      <c r="C17" s="2">
        <f t="shared" si="2"/>
        <v>40</v>
      </c>
      <c r="D17" s="6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13"/>
      <c r="N17" s="29">
        <f t="shared" si="0"/>
        <v>0</v>
      </c>
      <c r="O17" s="29"/>
      <c r="Q17" s="1">
        <v>10</v>
      </c>
      <c r="R17" s="2">
        <f t="shared" si="6"/>
        <v>40</v>
      </c>
      <c r="S17" s="3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1"/>
        <v>41229</v>
      </c>
      <c r="B18" s="1">
        <v>10</v>
      </c>
      <c r="C18" s="2">
        <f t="shared" si="2"/>
        <v>50</v>
      </c>
      <c r="D18" s="3"/>
      <c r="E18" s="3">
        <f t="shared" si="3"/>
        <v>0</v>
      </c>
      <c r="F18" s="39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  <c r="Q18" s="1">
        <v>10</v>
      </c>
      <c r="R18" s="2">
        <f t="shared" si="6"/>
        <v>50</v>
      </c>
      <c r="S18" s="3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1"/>
        <v>41230</v>
      </c>
      <c r="B19" s="1">
        <v>10</v>
      </c>
      <c r="C19" s="2">
        <f t="shared" si="2"/>
        <v>60</v>
      </c>
      <c r="D19" s="3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13"/>
      <c r="N19" s="29">
        <f t="shared" si="0"/>
        <v>0</v>
      </c>
      <c r="O19" s="29"/>
      <c r="Q19" s="1">
        <v>10</v>
      </c>
      <c r="R19" s="2">
        <f t="shared" si="6"/>
        <v>60</v>
      </c>
      <c r="S19" s="3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1"/>
        <v>41231</v>
      </c>
      <c r="B20" s="1">
        <v>10</v>
      </c>
      <c r="C20" s="2">
        <f t="shared" si="2"/>
        <v>70</v>
      </c>
      <c r="D20" s="3"/>
      <c r="E20" s="3">
        <f t="shared" si="3"/>
        <v>0</v>
      </c>
      <c r="F20" s="39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13"/>
      <c r="N20" s="29">
        <f t="shared" si="0"/>
        <v>0</v>
      </c>
      <c r="O20" s="29"/>
      <c r="Q20" s="1">
        <v>10</v>
      </c>
      <c r="R20" s="2">
        <f t="shared" si="6"/>
        <v>70</v>
      </c>
      <c r="S20" s="3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1"/>
        <v>41232</v>
      </c>
      <c r="B21" s="1">
        <v>10</v>
      </c>
      <c r="C21" s="2">
        <f t="shared" si="2"/>
        <v>80</v>
      </c>
      <c r="D21" s="3"/>
      <c r="E21" s="3">
        <f t="shared" si="3"/>
        <v>0</v>
      </c>
      <c r="F21" s="62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13"/>
      <c r="N21" s="29">
        <f t="shared" si="0"/>
        <v>0</v>
      </c>
      <c r="O21" s="29"/>
      <c r="Q21" s="1">
        <v>10</v>
      </c>
      <c r="R21" s="2">
        <f t="shared" si="6"/>
        <v>80</v>
      </c>
      <c r="S21" s="3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1"/>
        <v>41233</v>
      </c>
      <c r="B22" s="1">
        <v>10</v>
      </c>
      <c r="C22" s="2">
        <f t="shared" si="2"/>
        <v>90</v>
      </c>
      <c r="D22" s="3">
        <f>60*8.1/1000</f>
        <v>0.48599999999999999</v>
      </c>
      <c r="E22" s="3">
        <f t="shared" si="3"/>
        <v>0.48599999999999999</v>
      </c>
      <c r="F22" s="67" t="s">
        <v>13</v>
      </c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13"/>
      <c r="N22" s="29">
        <f t="shared" si="0"/>
        <v>0</v>
      </c>
      <c r="O22" s="14"/>
      <c r="Q22" s="1">
        <v>10</v>
      </c>
      <c r="R22" s="2">
        <f t="shared" si="6"/>
        <v>90</v>
      </c>
      <c r="S22" s="3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1"/>
        <v>41234</v>
      </c>
      <c r="B23" s="1">
        <v>10</v>
      </c>
      <c r="C23" s="2">
        <f t="shared" si="2"/>
        <v>100</v>
      </c>
      <c r="D23" s="3">
        <f>635*10.8/1000</f>
        <v>6.8579999999999997</v>
      </c>
      <c r="E23" s="3">
        <f t="shared" si="3"/>
        <v>7.3439999999999994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13"/>
      <c r="N23" s="16">
        <f t="shared" si="0"/>
        <v>0</v>
      </c>
      <c r="O23" s="29"/>
      <c r="Q23" s="1">
        <v>10</v>
      </c>
      <c r="R23" s="2">
        <f t="shared" si="6"/>
        <v>100</v>
      </c>
      <c r="S23" s="3">
        <f t="shared" si="7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1"/>
        <v>41235</v>
      </c>
      <c r="B24" s="1">
        <v>10</v>
      </c>
      <c r="C24" s="2">
        <f t="shared" si="2"/>
        <v>110</v>
      </c>
      <c r="D24" s="3">
        <f>715*10.8/1000</f>
        <v>7.7220000000000013</v>
      </c>
      <c r="E24" s="3">
        <f t="shared" si="3"/>
        <v>15.066000000000001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13"/>
      <c r="N24" s="16">
        <f t="shared" si="0"/>
        <v>0</v>
      </c>
      <c r="O24" s="29"/>
      <c r="Q24" s="1">
        <v>10</v>
      </c>
      <c r="R24" s="2">
        <f t="shared" si="6"/>
        <v>110</v>
      </c>
      <c r="S24" s="3">
        <f t="shared" si="7"/>
        <v>8.6303999999999998</v>
      </c>
      <c r="T24" s="5">
        <f>380+399+120</f>
        <v>899</v>
      </c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1"/>
        <v>41236</v>
      </c>
      <c r="B25" s="1">
        <v>10</v>
      </c>
      <c r="C25" s="2">
        <f t="shared" si="2"/>
        <v>120</v>
      </c>
      <c r="D25" s="3">
        <f>895*10.8/1000</f>
        <v>9.6660000000000004</v>
      </c>
      <c r="E25" s="3">
        <f t="shared" si="3"/>
        <v>24.731999999999999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13"/>
      <c r="N25" s="16">
        <f t="shared" si="0"/>
        <v>0</v>
      </c>
      <c r="O25" s="38"/>
      <c r="Q25" s="1">
        <v>10</v>
      </c>
      <c r="R25" s="2">
        <f t="shared" si="6"/>
        <v>120</v>
      </c>
      <c r="S25" s="3">
        <f t="shared" si="7"/>
        <v>6.0288000000000004</v>
      </c>
      <c r="T25" s="5">
        <f>268+360</f>
        <v>628</v>
      </c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1"/>
        <v>41237</v>
      </c>
      <c r="B26" s="1">
        <v>10</v>
      </c>
      <c r="C26" s="2">
        <f t="shared" si="2"/>
        <v>130</v>
      </c>
      <c r="D26" s="3">
        <f>950*10.8/1000</f>
        <v>10.26</v>
      </c>
      <c r="E26" s="3">
        <f t="shared" si="3"/>
        <v>34.991999999999997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13"/>
      <c r="N26" s="16">
        <f t="shared" si="0"/>
        <v>0</v>
      </c>
      <c r="O26" s="29"/>
      <c r="Q26" s="1">
        <v>10</v>
      </c>
      <c r="R26" s="2">
        <f t="shared" si="6"/>
        <v>130</v>
      </c>
      <c r="S26" s="3">
        <f t="shared" si="7"/>
        <v>6.7679999999999998</v>
      </c>
      <c r="T26" s="5">
        <f>55+410+240</f>
        <v>705</v>
      </c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1"/>
        <v>41238</v>
      </c>
      <c r="B27" s="1">
        <v>10</v>
      </c>
      <c r="C27" s="2">
        <f t="shared" si="2"/>
        <v>140</v>
      </c>
      <c r="D27" s="3">
        <f>710*10.8/1000</f>
        <v>7.668000000000001</v>
      </c>
      <c r="E27" s="3">
        <f t="shared" si="3"/>
        <v>42.66</v>
      </c>
      <c r="F27" s="62" t="s">
        <v>31</v>
      </c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13"/>
      <c r="N27" s="16">
        <f t="shared" si="0"/>
        <v>0</v>
      </c>
      <c r="O27" s="29"/>
      <c r="Q27" s="1">
        <v>10</v>
      </c>
      <c r="R27" s="2">
        <f t="shared" si="6"/>
        <v>140</v>
      </c>
      <c r="S27" s="3">
        <f t="shared" si="7"/>
        <v>6.2880000000000003</v>
      </c>
      <c r="T27" s="5">
        <f>355+300</f>
        <v>655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1"/>
        <v>41239</v>
      </c>
      <c r="B28" s="1">
        <v>10</v>
      </c>
      <c r="C28" s="2">
        <f t="shared" si="2"/>
        <v>150</v>
      </c>
      <c r="D28" s="3">
        <f>275*10.8/1000</f>
        <v>2.97</v>
      </c>
      <c r="E28" s="3">
        <f t="shared" si="3"/>
        <v>45.629999999999995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13"/>
      <c r="N28" s="16">
        <f t="shared" si="0"/>
        <v>0</v>
      </c>
      <c r="O28" s="29"/>
      <c r="Q28" s="1">
        <v>10</v>
      </c>
      <c r="R28" s="2">
        <f t="shared" si="6"/>
        <v>150</v>
      </c>
      <c r="S28" s="3">
        <f t="shared" si="7"/>
        <v>9.0911999999999988</v>
      </c>
      <c r="T28" s="5">
        <f>182+585+180</f>
        <v>947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1"/>
        <v>41240</v>
      </c>
      <c r="B29" s="1">
        <v>10</v>
      </c>
      <c r="C29" s="2">
        <f t="shared" si="2"/>
        <v>160</v>
      </c>
      <c r="D29" s="3">
        <f>1200*10.8/1000</f>
        <v>12.96</v>
      </c>
      <c r="E29" s="3">
        <f t="shared" si="3"/>
        <v>58.589999999999996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13"/>
      <c r="N29" s="16">
        <f t="shared" si="0"/>
        <v>0</v>
      </c>
      <c r="O29" s="29"/>
      <c r="Q29" s="1">
        <v>10</v>
      </c>
      <c r="R29" s="2">
        <f t="shared" si="6"/>
        <v>160</v>
      </c>
      <c r="S29" s="3">
        <f t="shared" si="7"/>
        <v>5.5392000000000001</v>
      </c>
      <c r="T29" s="5">
        <f>287+230+60</f>
        <v>577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1"/>
        <v>41241</v>
      </c>
      <c r="B30" s="1">
        <v>10</v>
      </c>
      <c r="C30" s="2">
        <f t="shared" si="2"/>
        <v>170</v>
      </c>
      <c r="D30" s="3">
        <f>770*10.8/1000</f>
        <v>8.3160000000000007</v>
      </c>
      <c r="E30" s="3">
        <f t="shared" si="3"/>
        <v>66.905999999999992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13"/>
      <c r="N30" s="16">
        <f t="shared" si="0"/>
        <v>0</v>
      </c>
      <c r="O30" s="14"/>
      <c r="Q30" s="1">
        <v>10</v>
      </c>
      <c r="R30" s="2">
        <f t="shared" si="6"/>
        <v>170</v>
      </c>
      <c r="S30" s="3">
        <f t="shared" si="7"/>
        <v>9.0144000000000002</v>
      </c>
      <c r="T30" s="5">
        <f>248+691</f>
        <v>939</v>
      </c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1"/>
        <v>41242</v>
      </c>
      <c r="B31" s="1">
        <v>10</v>
      </c>
      <c r="C31" s="2">
        <f t="shared" si="2"/>
        <v>180</v>
      </c>
      <c r="D31" s="7">
        <f>1025*10.8/1000</f>
        <v>11.07</v>
      </c>
      <c r="E31" s="3">
        <f t="shared" si="3"/>
        <v>77.975999999999999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13"/>
      <c r="N31" s="16">
        <f t="shared" si="0"/>
        <v>0</v>
      </c>
      <c r="O31" s="29"/>
      <c r="Q31" s="1">
        <v>10</v>
      </c>
      <c r="R31" s="2">
        <f t="shared" si="6"/>
        <v>180</v>
      </c>
      <c r="S31" s="3">
        <f t="shared" si="7"/>
        <v>6.3167999999999997</v>
      </c>
      <c r="T31" s="5">
        <v>658</v>
      </c>
      <c r="U31" s="62"/>
      <c r="W31" s="13"/>
      <c r="X31" s="63">
        <f t="shared" si="8"/>
        <v>0</v>
      </c>
      <c r="Y31" s="29"/>
    </row>
    <row r="32" spans="1:25" ht="15.75" thickBot="1" x14ac:dyDescent="0.3">
      <c r="A32" s="11">
        <f t="shared" si="1"/>
        <v>41243</v>
      </c>
      <c r="B32" s="1">
        <v>10</v>
      </c>
      <c r="C32" s="2">
        <f t="shared" si="2"/>
        <v>190</v>
      </c>
      <c r="D32" s="7">
        <f>870*10.8/1000</f>
        <v>9.3960000000000008</v>
      </c>
      <c r="E32" s="3">
        <f t="shared" si="3"/>
        <v>87.372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13">
        <v>584</v>
      </c>
      <c r="N32" s="16">
        <f t="shared" si="0"/>
        <v>4.2048000000000005</v>
      </c>
      <c r="O32" s="29"/>
      <c r="Q32" s="1">
        <v>10</v>
      </c>
      <c r="R32" s="2">
        <f t="shared" si="6"/>
        <v>190</v>
      </c>
      <c r="S32" s="3">
        <f t="shared" si="7"/>
        <v>11.183999999999999</v>
      </c>
      <c r="T32" s="5">
        <f>337+528+300</f>
        <v>1165</v>
      </c>
      <c r="U32" s="62"/>
      <c r="W32" s="13">
        <f>380+399+388+415+410+595</f>
        <v>2587</v>
      </c>
      <c r="X32" s="63">
        <f t="shared" si="8"/>
        <v>24.8352</v>
      </c>
      <c r="Y32" s="29"/>
    </row>
    <row r="33" spans="1:25" ht="21" customHeight="1" thickBot="1" x14ac:dyDescent="0.3">
      <c r="A33" s="17" t="s">
        <v>8</v>
      </c>
      <c r="B33" s="40">
        <f>SUM(B3:B32)</f>
        <v>190</v>
      </c>
      <c r="C33" s="40">
        <f>+B33</f>
        <v>190</v>
      </c>
      <c r="D33" s="24">
        <f>SUM(D3:D32)</f>
        <v>87.372</v>
      </c>
      <c r="E33" s="23">
        <f>+D33</f>
        <v>87.372</v>
      </c>
      <c r="F33" s="25"/>
      <c r="G33" s="26">
        <f>SUM(G3:G32)</f>
        <v>0</v>
      </c>
      <c r="H33" s="40">
        <f>+G33</f>
        <v>0</v>
      </c>
      <c r="I33" s="23">
        <f>SUM(I3:I32)</f>
        <v>1.3824000000000001</v>
      </c>
      <c r="J33" s="27">
        <f>SUM(J3:J32)</f>
        <v>192</v>
      </c>
      <c r="K33" s="28"/>
      <c r="L33" s="35"/>
      <c r="M33" s="29">
        <f>SUM(M3:M32)</f>
        <v>4079</v>
      </c>
      <c r="N33" s="63">
        <f>SUM(N3:N32)</f>
        <v>29.3688</v>
      </c>
      <c r="O33" s="16"/>
      <c r="Q33" s="26">
        <f>SUM(Q3:Q32)</f>
        <v>190</v>
      </c>
      <c r="R33" s="40">
        <f>+Q33</f>
        <v>190</v>
      </c>
      <c r="S33" s="23">
        <f>SUM(S3:S32)</f>
        <v>100.45439999999998</v>
      </c>
      <c r="T33" s="27">
        <f>SUM(T3:T32)</f>
        <v>10464</v>
      </c>
      <c r="U33" s="28"/>
      <c r="W33" s="29">
        <f>SUM(W3:W32)</f>
        <v>9795</v>
      </c>
      <c r="X33" s="63">
        <f>SUM(X3:X32)</f>
        <v>94.031999999999996</v>
      </c>
      <c r="Y33" s="16"/>
    </row>
    <row r="34" spans="1:25" x14ac:dyDescent="0.2">
      <c r="D34" s="64"/>
    </row>
    <row r="40" spans="1:25" x14ac:dyDescent="0.2">
      <c r="D40" s="37"/>
    </row>
  </sheetData>
  <mergeCells count="3">
    <mergeCell ref="A1:F1"/>
    <mergeCell ref="G1:K1"/>
    <mergeCell ref="Q1:U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F1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hidden="1" customWidth="1"/>
    <col min="8" max="8" width="13.140625" hidden="1" customWidth="1"/>
    <col min="9" max="9" width="10.7109375" hidden="1" customWidth="1"/>
    <col min="10" max="10" width="0" hidden="1" customWidth="1"/>
    <col min="11" max="11" width="10" hidden="1" customWidth="1"/>
    <col min="12" max="12" width="6.5703125" customWidth="1"/>
    <col min="13" max="13" width="10.85546875" hidden="1" customWidth="1"/>
    <col min="14" max="14" width="0" hidden="1" customWidth="1"/>
    <col min="15" max="15" width="11.28515625" hidden="1" customWidth="1"/>
    <col min="16" max="16" width="4.28515625" customWidth="1"/>
    <col min="17" max="17" width="13.7109375" customWidth="1"/>
    <col min="19" max="19" width="9.85546875" customWidth="1"/>
    <col min="23" max="23" width="15.85546875" bestFit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29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41244</v>
      </c>
      <c r="B3" s="1">
        <v>12</v>
      </c>
      <c r="C3" s="2">
        <f>B3</f>
        <v>12</v>
      </c>
      <c r="D3" s="3">
        <f>1210*10.8/1000</f>
        <v>13.068</v>
      </c>
      <c r="E3" s="3">
        <f>D3</f>
        <v>13.068</v>
      </c>
      <c r="F3" s="4" t="s">
        <v>16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63">
        <f t="shared" ref="N3:N32" si="0">+M3*7.2/1000</f>
        <v>0</v>
      </c>
      <c r="O3" s="62"/>
      <c r="Q3" s="1">
        <v>12</v>
      </c>
      <c r="R3" s="2">
        <f>Q3</f>
        <v>12</v>
      </c>
      <c r="S3" s="3">
        <f>T3*9.6/1000</f>
        <v>12.048</v>
      </c>
      <c r="T3" s="5">
        <f>260+590+405</f>
        <v>1255</v>
      </c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41245</v>
      </c>
      <c r="B4" s="1">
        <v>12</v>
      </c>
      <c r="C4" s="2">
        <f t="shared" ref="C4:C32" si="2">B4+C3</f>
        <v>24</v>
      </c>
      <c r="D4" s="3">
        <f>1490*10.8/1000</f>
        <v>16.092000000000002</v>
      </c>
      <c r="E4" s="3">
        <f t="shared" ref="E4:E32" si="3">D4+E3</f>
        <v>29.160000000000004</v>
      </c>
      <c r="F4" s="62"/>
      <c r="G4" s="1"/>
      <c r="H4" s="2">
        <f t="shared" ref="H4:H32" si="4">H3+G4</f>
        <v>0</v>
      </c>
      <c r="I4" s="3">
        <f t="shared" ref="I4:I32" si="5">J4*7.2/1000</f>
        <v>0</v>
      </c>
      <c r="J4" s="5"/>
      <c r="K4" s="62"/>
      <c r="L4" s="34"/>
      <c r="M4" s="44"/>
      <c r="N4" s="29">
        <f t="shared" si="0"/>
        <v>0</v>
      </c>
      <c r="O4" s="38"/>
      <c r="Q4" s="1">
        <v>12</v>
      </c>
      <c r="R4" s="2">
        <f t="shared" ref="R4:R32" si="6">R3+Q4</f>
        <v>24</v>
      </c>
      <c r="S4" s="3">
        <f t="shared" ref="S4:S32" si="7">T4*9.6/1000</f>
        <v>10.08</v>
      </c>
      <c r="T4" s="5">
        <f>570+480</f>
        <v>1050</v>
      </c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1"/>
        <v>41246</v>
      </c>
      <c r="B5" s="1">
        <v>12</v>
      </c>
      <c r="C5" s="2">
        <f t="shared" si="2"/>
        <v>36</v>
      </c>
      <c r="D5" s="3">
        <f>1070*10.8/1000</f>
        <v>11.555999999999999</v>
      </c>
      <c r="E5" s="3">
        <f t="shared" si="3"/>
        <v>40.716000000000001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3"/>
      <c r="M5" s="13"/>
      <c r="N5" s="29">
        <f t="shared" si="0"/>
        <v>0</v>
      </c>
      <c r="O5" s="38"/>
      <c r="Q5" s="1">
        <v>12</v>
      </c>
      <c r="R5" s="2">
        <f t="shared" si="6"/>
        <v>36</v>
      </c>
      <c r="S5" s="3">
        <f t="shared" si="7"/>
        <v>10.7424</v>
      </c>
      <c r="T5" s="5">
        <f>234+645+240</f>
        <v>1119</v>
      </c>
      <c r="U5" s="62"/>
      <c r="W5" s="13">
        <f>691+658+337+528</f>
        <v>2214</v>
      </c>
      <c r="X5" s="63">
        <f t="shared" si="8"/>
        <v>21.254399999999997</v>
      </c>
      <c r="Y5" s="38"/>
    </row>
    <row r="6" spans="1:25" ht="15" x14ac:dyDescent="0.25">
      <c r="A6" s="11">
        <f t="shared" si="1"/>
        <v>41247</v>
      </c>
      <c r="B6" s="1">
        <v>12</v>
      </c>
      <c r="C6" s="2">
        <f t="shared" si="2"/>
        <v>48</v>
      </c>
      <c r="D6" s="3">
        <f>1480*10.8/1000</f>
        <v>15.984000000000002</v>
      </c>
      <c r="E6" s="3">
        <f t="shared" si="3"/>
        <v>56.7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3"/>
      <c r="M6" s="13"/>
      <c r="N6" s="29">
        <f t="shared" si="0"/>
        <v>0</v>
      </c>
      <c r="O6" s="38"/>
      <c r="Q6" s="1">
        <v>12</v>
      </c>
      <c r="R6" s="2">
        <f t="shared" si="6"/>
        <v>48</v>
      </c>
      <c r="S6" s="3">
        <f t="shared" si="7"/>
        <v>10.012799999999999</v>
      </c>
      <c r="T6" s="5">
        <f>563+480</f>
        <v>1043</v>
      </c>
      <c r="U6" s="62"/>
      <c r="W6" s="13">
        <f>560+590+405+570</f>
        <v>2125</v>
      </c>
      <c r="X6" s="63">
        <f t="shared" si="8"/>
        <v>20.399999999999999</v>
      </c>
      <c r="Y6" s="38"/>
    </row>
    <row r="7" spans="1:25" ht="15" x14ac:dyDescent="0.25">
      <c r="A7" s="11">
        <f t="shared" si="1"/>
        <v>41248</v>
      </c>
      <c r="B7" s="1">
        <v>12</v>
      </c>
      <c r="C7" s="2">
        <f t="shared" si="2"/>
        <v>60</v>
      </c>
      <c r="D7" s="3">
        <f>795*10.8/1000</f>
        <v>8.5860000000000003</v>
      </c>
      <c r="E7" s="3">
        <f t="shared" si="3"/>
        <v>65.286000000000001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3"/>
      <c r="M7" s="13"/>
      <c r="N7" s="29">
        <f t="shared" si="0"/>
        <v>0</v>
      </c>
      <c r="O7" s="62"/>
      <c r="Q7" s="1">
        <v>12</v>
      </c>
      <c r="R7" s="2">
        <f t="shared" si="6"/>
        <v>60</v>
      </c>
      <c r="S7" s="3">
        <f t="shared" si="7"/>
        <v>12.96</v>
      </c>
      <c r="T7" s="5">
        <f>390+480+480</f>
        <v>1350</v>
      </c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1"/>
        <v>41249</v>
      </c>
      <c r="B8" s="1">
        <v>12</v>
      </c>
      <c r="C8" s="2">
        <f t="shared" si="2"/>
        <v>72</v>
      </c>
      <c r="D8" s="3">
        <f>1536*10.8/1000</f>
        <v>16.588800000000003</v>
      </c>
      <c r="E8" s="3">
        <f t="shared" si="3"/>
        <v>81.874800000000008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>
        <v>12</v>
      </c>
      <c r="R8" s="2">
        <f t="shared" si="6"/>
        <v>72</v>
      </c>
      <c r="S8" s="3">
        <f t="shared" si="7"/>
        <v>11.539199999999999</v>
      </c>
      <c r="T8" s="65">
        <f>240+842+120</f>
        <v>1202</v>
      </c>
      <c r="U8" s="62"/>
      <c r="W8" s="66">
        <f>714+645+803+870</f>
        <v>3032</v>
      </c>
      <c r="X8" s="63">
        <f t="shared" si="8"/>
        <v>29.107200000000002</v>
      </c>
      <c r="Y8" s="14"/>
    </row>
    <row r="9" spans="1:25" ht="15" x14ac:dyDescent="0.25">
      <c r="A9" s="11">
        <f t="shared" si="1"/>
        <v>41250</v>
      </c>
      <c r="B9" s="1">
        <v>12</v>
      </c>
      <c r="C9" s="2">
        <f t="shared" si="2"/>
        <v>84</v>
      </c>
      <c r="D9" s="3">
        <f>1665*10.8/1000</f>
        <v>17.981999999999999</v>
      </c>
      <c r="E9" s="3">
        <f t="shared" si="3"/>
        <v>99.856800000000007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  <c r="Q9" s="1">
        <v>12</v>
      </c>
      <c r="R9" s="2">
        <f t="shared" si="6"/>
        <v>84</v>
      </c>
      <c r="S9" s="3">
        <f t="shared" si="7"/>
        <v>12.816000000000001</v>
      </c>
      <c r="T9" s="5">
        <f>700+515+120</f>
        <v>1335</v>
      </c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41251</v>
      </c>
      <c r="B10" s="1">
        <v>12</v>
      </c>
      <c r="C10" s="2">
        <f t="shared" si="2"/>
        <v>96</v>
      </c>
      <c r="D10" s="3">
        <f>1475*10.8/1000</f>
        <v>15.930000000000001</v>
      </c>
      <c r="E10" s="3">
        <f t="shared" si="3"/>
        <v>115.78680000000001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13"/>
      <c r="N10" s="29">
        <f t="shared" si="0"/>
        <v>0</v>
      </c>
      <c r="O10" s="38"/>
      <c r="Q10" s="1">
        <v>12</v>
      </c>
      <c r="R10" s="2">
        <f t="shared" si="6"/>
        <v>96</v>
      </c>
      <c r="S10" s="3">
        <f t="shared" si="7"/>
        <v>15.1008</v>
      </c>
      <c r="T10" s="5">
        <f>255+838+480</f>
        <v>1573</v>
      </c>
      <c r="U10" s="62"/>
      <c r="W10" s="13">
        <f>480+720+842+820</f>
        <v>2862</v>
      </c>
      <c r="X10" s="63">
        <f t="shared" si="8"/>
        <v>27.475200000000001</v>
      </c>
      <c r="Y10" s="38"/>
    </row>
    <row r="11" spans="1:25" ht="15" x14ac:dyDescent="0.25">
      <c r="A11" s="11">
        <f t="shared" si="1"/>
        <v>41252</v>
      </c>
      <c r="B11" s="1">
        <v>12</v>
      </c>
      <c r="C11" s="2">
        <f t="shared" si="2"/>
        <v>108</v>
      </c>
      <c r="D11" s="3">
        <f>1315*10.8/1000</f>
        <v>14.202000000000002</v>
      </c>
      <c r="E11" s="3">
        <f t="shared" si="3"/>
        <v>129.98880000000003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13"/>
      <c r="N11" s="29">
        <f t="shared" si="0"/>
        <v>0</v>
      </c>
      <c r="O11" s="38"/>
      <c r="Q11" s="1">
        <v>12</v>
      </c>
      <c r="R11" s="2">
        <f t="shared" si="6"/>
        <v>108</v>
      </c>
      <c r="S11" s="3">
        <f t="shared" si="7"/>
        <v>11.9712</v>
      </c>
      <c r="T11" s="5">
        <f>407+840</f>
        <v>1247</v>
      </c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41253</v>
      </c>
      <c r="B12" s="1">
        <v>12</v>
      </c>
      <c r="C12" s="2">
        <f t="shared" si="2"/>
        <v>120</v>
      </c>
      <c r="D12" s="3">
        <f>300*10.8/1000</f>
        <v>3.24</v>
      </c>
      <c r="E12" s="3">
        <f t="shared" si="3"/>
        <v>133.22880000000004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  <c r="Q12" s="1">
        <v>12</v>
      </c>
      <c r="R12" s="2">
        <f t="shared" si="6"/>
        <v>120</v>
      </c>
      <c r="S12" s="3">
        <f t="shared" si="7"/>
        <v>15.071999999999999</v>
      </c>
      <c r="T12" s="5">
        <f>65+965+540</f>
        <v>1570</v>
      </c>
      <c r="U12" s="62"/>
      <c r="W12" s="30">
        <f>515+375+838+887</f>
        <v>2615</v>
      </c>
      <c r="X12" s="63">
        <f t="shared" si="8"/>
        <v>25.103999999999999</v>
      </c>
      <c r="Y12" s="29"/>
    </row>
    <row r="13" spans="1:25" ht="15" x14ac:dyDescent="0.25">
      <c r="A13" s="11">
        <f t="shared" si="1"/>
        <v>41254</v>
      </c>
      <c r="B13" s="1">
        <v>6</v>
      </c>
      <c r="C13" s="2">
        <f t="shared" si="2"/>
        <v>126</v>
      </c>
      <c r="D13" s="3"/>
      <c r="E13" s="3">
        <f t="shared" si="3"/>
        <v>133.22880000000004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13"/>
      <c r="N13" s="29">
        <f t="shared" si="0"/>
        <v>0</v>
      </c>
      <c r="O13" s="29"/>
      <c r="Q13" s="1">
        <v>12</v>
      </c>
      <c r="R13" s="2">
        <f t="shared" si="6"/>
        <v>132</v>
      </c>
      <c r="S13" s="3">
        <f t="shared" si="7"/>
        <v>8.6591999999999985</v>
      </c>
      <c r="T13" s="5">
        <f>302+600</f>
        <v>902</v>
      </c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41255</v>
      </c>
      <c r="B14" s="1"/>
      <c r="C14" s="2">
        <f t="shared" si="2"/>
        <v>126</v>
      </c>
      <c r="D14" s="3"/>
      <c r="E14" s="3">
        <f t="shared" si="3"/>
        <v>133.22880000000004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13"/>
      <c r="N14" s="29">
        <f t="shared" si="0"/>
        <v>0</v>
      </c>
      <c r="O14" s="29"/>
      <c r="Q14" s="1">
        <v>12</v>
      </c>
      <c r="R14" s="2">
        <f t="shared" si="6"/>
        <v>144</v>
      </c>
      <c r="S14" s="3">
        <f t="shared" si="7"/>
        <v>8.4</v>
      </c>
      <c r="T14" s="5">
        <f>215+660</f>
        <v>875</v>
      </c>
      <c r="U14" s="62"/>
      <c r="W14" s="13">
        <f>905+965+842+815</f>
        <v>3527</v>
      </c>
      <c r="X14" s="63">
        <f t="shared" si="8"/>
        <v>33.859199999999994</v>
      </c>
      <c r="Y14" s="29"/>
    </row>
    <row r="15" spans="1:25" ht="15" x14ac:dyDescent="0.25">
      <c r="A15" s="11">
        <f t="shared" si="1"/>
        <v>41256</v>
      </c>
      <c r="B15" s="1"/>
      <c r="C15" s="2">
        <f t="shared" si="2"/>
        <v>126</v>
      </c>
      <c r="D15" s="3"/>
      <c r="E15" s="3">
        <f t="shared" si="3"/>
        <v>133.22880000000004</v>
      </c>
      <c r="F15" s="67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6"/>
        <v>144</v>
      </c>
      <c r="S15" s="3">
        <f t="shared" si="7"/>
        <v>5.1840000000000002</v>
      </c>
      <c r="T15" s="5">
        <f>240+300</f>
        <v>540</v>
      </c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41257</v>
      </c>
      <c r="B16" s="1"/>
      <c r="C16" s="2">
        <f t="shared" si="2"/>
        <v>126</v>
      </c>
      <c r="D16" s="3"/>
      <c r="E16" s="3">
        <f t="shared" si="3"/>
        <v>133.22880000000004</v>
      </c>
      <c r="F16" s="39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13"/>
      <c r="N16" s="29">
        <f t="shared" si="0"/>
        <v>0</v>
      </c>
      <c r="O16" s="29"/>
      <c r="Q16" s="1"/>
      <c r="R16" s="2">
        <f t="shared" si="6"/>
        <v>144</v>
      </c>
      <c r="S16" s="3">
        <f t="shared" si="7"/>
        <v>4.2143999999999995</v>
      </c>
      <c r="T16" s="5">
        <v>439</v>
      </c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1"/>
        <v>41258</v>
      </c>
      <c r="B17" s="1"/>
      <c r="C17" s="2">
        <f t="shared" si="2"/>
        <v>126</v>
      </c>
      <c r="D17" s="6"/>
      <c r="E17" s="6">
        <f t="shared" si="3"/>
        <v>133.22880000000004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13"/>
      <c r="N17" s="29">
        <f t="shared" si="0"/>
        <v>0</v>
      </c>
      <c r="O17" s="29"/>
      <c r="Q17" s="1"/>
      <c r="R17" s="2">
        <f t="shared" si="6"/>
        <v>144</v>
      </c>
      <c r="S17" s="3">
        <f t="shared" si="7"/>
        <v>0</v>
      </c>
      <c r="T17" s="5"/>
      <c r="U17" s="62"/>
      <c r="W17" s="13">
        <f>900+789</f>
        <v>1689</v>
      </c>
      <c r="X17" s="63">
        <f t="shared" si="8"/>
        <v>16.214400000000001</v>
      </c>
      <c r="Y17" s="29"/>
    </row>
    <row r="18" spans="1:25" ht="15" x14ac:dyDescent="0.25">
      <c r="A18" s="11">
        <f t="shared" si="1"/>
        <v>41259</v>
      </c>
      <c r="B18" s="1"/>
      <c r="C18" s="2">
        <f t="shared" si="2"/>
        <v>126</v>
      </c>
      <c r="D18" s="3"/>
      <c r="E18" s="3">
        <f t="shared" si="3"/>
        <v>133.22880000000004</v>
      </c>
      <c r="F18" s="39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  <c r="Q18" s="1"/>
      <c r="R18" s="2">
        <f t="shared" si="6"/>
        <v>144</v>
      </c>
      <c r="S18" s="3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1"/>
        <v>41260</v>
      </c>
      <c r="B19" s="1"/>
      <c r="C19" s="2">
        <f t="shared" si="2"/>
        <v>126</v>
      </c>
      <c r="D19" s="3">
        <f>340*10.8/1000</f>
        <v>3.6720000000000006</v>
      </c>
      <c r="E19" s="3">
        <f t="shared" si="3"/>
        <v>136.90080000000003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13"/>
      <c r="N19" s="29">
        <f t="shared" si="0"/>
        <v>0</v>
      </c>
      <c r="O19" s="29"/>
      <c r="Q19" s="1"/>
      <c r="R19" s="2">
        <f t="shared" si="6"/>
        <v>144</v>
      </c>
      <c r="S19" s="3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1"/>
        <v>41261</v>
      </c>
      <c r="B20" s="1">
        <v>9</v>
      </c>
      <c r="C20" s="2">
        <f t="shared" si="2"/>
        <v>135</v>
      </c>
      <c r="D20" s="3">
        <f>1255*10.8/1000</f>
        <v>13.554</v>
      </c>
      <c r="E20" s="3">
        <f t="shared" si="3"/>
        <v>150.45480000000003</v>
      </c>
      <c r="F20" s="39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13"/>
      <c r="N20" s="29">
        <f t="shared" si="0"/>
        <v>0</v>
      </c>
      <c r="O20" s="29"/>
      <c r="Q20" s="1"/>
      <c r="R20" s="2">
        <f t="shared" si="6"/>
        <v>144</v>
      </c>
      <c r="S20" s="3">
        <f t="shared" si="7"/>
        <v>4.2240000000000002</v>
      </c>
      <c r="T20" s="5">
        <f>380+60</f>
        <v>440</v>
      </c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1"/>
        <v>41262</v>
      </c>
      <c r="B21" s="1">
        <v>12</v>
      </c>
      <c r="C21" s="2">
        <f t="shared" si="2"/>
        <v>147</v>
      </c>
      <c r="D21" s="3">
        <f>1427*10.8/1000</f>
        <v>15.4116</v>
      </c>
      <c r="E21" s="3">
        <f t="shared" si="3"/>
        <v>165.86640000000003</v>
      </c>
      <c r="F21" s="62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13"/>
      <c r="N21" s="29">
        <f t="shared" si="0"/>
        <v>0</v>
      </c>
      <c r="O21" s="29"/>
      <c r="Q21" s="1">
        <v>5</v>
      </c>
      <c r="R21" s="2">
        <f t="shared" si="6"/>
        <v>149</v>
      </c>
      <c r="S21" s="3">
        <f t="shared" si="7"/>
        <v>9.7439999999999998</v>
      </c>
      <c r="T21" s="5">
        <f>535+480</f>
        <v>1015</v>
      </c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1"/>
        <v>41263</v>
      </c>
      <c r="B22" s="1">
        <v>12</v>
      </c>
      <c r="C22" s="2">
        <f t="shared" si="2"/>
        <v>159</v>
      </c>
      <c r="D22" s="3">
        <f>(1720*10.8+25*16.875)/1000</f>
        <v>18.997875000000001</v>
      </c>
      <c r="E22" s="3">
        <f t="shared" si="3"/>
        <v>184.86427500000002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13"/>
      <c r="N22" s="29">
        <f t="shared" si="0"/>
        <v>0</v>
      </c>
      <c r="O22" s="14"/>
      <c r="Q22" s="1">
        <v>12</v>
      </c>
      <c r="R22" s="2">
        <f t="shared" si="6"/>
        <v>161</v>
      </c>
      <c r="S22" s="3">
        <f t="shared" si="7"/>
        <v>9.0144000000000002</v>
      </c>
      <c r="T22" s="5">
        <f>335+604</f>
        <v>939</v>
      </c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1"/>
        <v>41264</v>
      </c>
      <c r="B23" s="1">
        <v>12</v>
      </c>
      <c r="C23" s="2">
        <f t="shared" si="2"/>
        <v>171</v>
      </c>
      <c r="D23" s="3">
        <f>1495*10.8/1000</f>
        <v>16.146000000000001</v>
      </c>
      <c r="E23" s="3">
        <f t="shared" si="3"/>
        <v>201.01027500000004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13"/>
      <c r="N23" s="16">
        <f t="shared" si="0"/>
        <v>0</v>
      </c>
      <c r="O23" s="29"/>
      <c r="Q23" s="1">
        <v>12</v>
      </c>
      <c r="R23" s="2">
        <f t="shared" si="6"/>
        <v>173</v>
      </c>
      <c r="S23" s="3">
        <f t="shared" si="7"/>
        <v>7.9391999999999996</v>
      </c>
      <c r="T23" s="5">
        <f>407+420</f>
        <v>827</v>
      </c>
      <c r="U23" s="62"/>
      <c r="W23" s="13">
        <f>380+595+815</f>
        <v>1790</v>
      </c>
      <c r="X23" s="63">
        <f t="shared" si="8"/>
        <v>17.184000000000001</v>
      </c>
      <c r="Y23" s="29"/>
    </row>
    <row r="24" spans="1:25" ht="15" x14ac:dyDescent="0.25">
      <c r="A24" s="11">
        <f t="shared" si="1"/>
        <v>41265</v>
      </c>
      <c r="B24" s="1">
        <v>12</v>
      </c>
      <c r="C24" s="2">
        <f t="shared" si="2"/>
        <v>183</v>
      </c>
      <c r="D24" s="3">
        <f>1180*10.8/1000</f>
        <v>12.744</v>
      </c>
      <c r="E24" s="3">
        <f t="shared" si="3"/>
        <v>213.75427500000004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13"/>
      <c r="N24" s="16">
        <f t="shared" si="0"/>
        <v>0</v>
      </c>
      <c r="O24" s="29"/>
      <c r="Q24" s="1">
        <v>12</v>
      </c>
      <c r="R24" s="2">
        <f t="shared" si="6"/>
        <v>185</v>
      </c>
      <c r="S24" s="3">
        <f t="shared" si="7"/>
        <v>11.712</v>
      </c>
      <c r="T24" s="5">
        <f>500+720</f>
        <v>1220</v>
      </c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1"/>
        <v>41266</v>
      </c>
      <c r="B25" s="1">
        <v>12</v>
      </c>
      <c r="C25" s="2">
        <f t="shared" si="2"/>
        <v>195</v>
      </c>
      <c r="D25" s="3">
        <f>(1850*10.8+14*16.875)/1000</f>
        <v>20.216249999999999</v>
      </c>
      <c r="E25" s="3">
        <f t="shared" si="3"/>
        <v>233.97052500000004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13"/>
      <c r="N25" s="16">
        <f t="shared" si="0"/>
        <v>0</v>
      </c>
      <c r="O25" s="38"/>
      <c r="Q25" s="1">
        <v>12</v>
      </c>
      <c r="R25" s="2">
        <f t="shared" si="6"/>
        <v>197</v>
      </c>
      <c r="S25" s="3">
        <f t="shared" si="7"/>
        <v>10.0512</v>
      </c>
      <c r="T25" s="5">
        <f>290+757</f>
        <v>1047</v>
      </c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1"/>
        <v>41267</v>
      </c>
      <c r="B26" s="1">
        <v>12</v>
      </c>
      <c r="C26" s="2">
        <f t="shared" si="2"/>
        <v>207</v>
      </c>
      <c r="D26" s="3">
        <f>525*10.8/1000</f>
        <v>5.67</v>
      </c>
      <c r="E26" s="3">
        <f t="shared" si="3"/>
        <v>239.64052500000003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13"/>
      <c r="N26" s="16">
        <f t="shared" si="0"/>
        <v>0</v>
      </c>
      <c r="O26" s="29"/>
      <c r="Q26" s="1">
        <v>12</v>
      </c>
      <c r="R26" s="2">
        <f t="shared" si="6"/>
        <v>209</v>
      </c>
      <c r="S26" s="3">
        <f t="shared" si="7"/>
        <v>11.712</v>
      </c>
      <c r="T26" s="5">
        <f>920+300</f>
        <v>1220</v>
      </c>
      <c r="U26" s="62"/>
      <c r="W26" s="13">
        <f>604+407+920+1010</f>
        <v>2941</v>
      </c>
      <c r="X26" s="63">
        <f t="shared" si="8"/>
        <v>28.233599999999999</v>
      </c>
      <c r="Y26" s="29"/>
    </row>
    <row r="27" spans="1:25" ht="15" x14ac:dyDescent="0.25">
      <c r="A27" s="11">
        <f t="shared" si="1"/>
        <v>41268</v>
      </c>
      <c r="B27" s="1">
        <v>12</v>
      </c>
      <c r="C27" s="2">
        <f t="shared" si="2"/>
        <v>219</v>
      </c>
      <c r="D27" s="3"/>
      <c r="E27" s="3">
        <f t="shared" si="3"/>
        <v>239.64052500000003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13"/>
      <c r="N27" s="16">
        <f t="shared" si="0"/>
        <v>0</v>
      </c>
      <c r="O27" s="29"/>
      <c r="Q27" s="1">
        <v>12</v>
      </c>
      <c r="R27" s="2">
        <f t="shared" si="6"/>
        <v>221</v>
      </c>
      <c r="S27" s="3">
        <f t="shared" si="7"/>
        <v>10.041600000000001</v>
      </c>
      <c r="T27" s="5">
        <f>446+600</f>
        <v>1046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1"/>
        <v>41269</v>
      </c>
      <c r="B28" s="1">
        <v>12</v>
      </c>
      <c r="C28" s="2">
        <f t="shared" si="2"/>
        <v>231</v>
      </c>
      <c r="D28" s="3"/>
      <c r="E28" s="3">
        <f t="shared" si="3"/>
        <v>239.64052500000003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13"/>
      <c r="N28" s="16">
        <f t="shared" si="0"/>
        <v>0</v>
      </c>
      <c r="O28" s="29"/>
      <c r="Q28" s="1">
        <v>12</v>
      </c>
      <c r="R28" s="2">
        <f t="shared" si="6"/>
        <v>233</v>
      </c>
      <c r="S28" s="3">
        <f t="shared" si="7"/>
        <v>9.6959999999999997</v>
      </c>
      <c r="T28" s="5">
        <v>1010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1"/>
        <v>41270</v>
      </c>
      <c r="B29" s="1"/>
      <c r="C29" s="2">
        <f t="shared" si="2"/>
        <v>231</v>
      </c>
      <c r="D29" s="3"/>
      <c r="E29" s="3">
        <f t="shared" si="3"/>
        <v>239.64052500000003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13"/>
      <c r="N29" s="16">
        <f t="shared" si="0"/>
        <v>0</v>
      </c>
      <c r="O29" s="29"/>
      <c r="Q29" s="1">
        <v>12</v>
      </c>
      <c r="R29" s="2">
        <f t="shared" si="6"/>
        <v>245</v>
      </c>
      <c r="S29" s="3">
        <f t="shared" si="7"/>
        <v>7.9295999999999998</v>
      </c>
      <c r="T29" s="5">
        <f>466+360</f>
        <v>826</v>
      </c>
      <c r="U29" s="62"/>
      <c r="W29" s="13">
        <f>757+920+746+1010</f>
        <v>3433</v>
      </c>
      <c r="X29" s="63">
        <f t="shared" si="8"/>
        <v>32.956799999999994</v>
      </c>
      <c r="Y29" s="29"/>
    </row>
    <row r="30" spans="1:25" ht="15" x14ac:dyDescent="0.25">
      <c r="A30" s="11">
        <f t="shared" si="1"/>
        <v>41271</v>
      </c>
      <c r="B30" s="1"/>
      <c r="C30" s="2">
        <f t="shared" si="2"/>
        <v>231</v>
      </c>
      <c r="D30" s="3"/>
      <c r="E30" s="3">
        <f t="shared" si="3"/>
        <v>239.64052500000003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13"/>
      <c r="N30" s="16">
        <f t="shared" si="0"/>
        <v>0</v>
      </c>
      <c r="O30" s="14"/>
      <c r="Q30" s="1"/>
      <c r="R30" s="2">
        <f t="shared" si="6"/>
        <v>245</v>
      </c>
      <c r="S30" s="3">
        <f t="shared" si="7"/>
        <v>11.5488</v>
      </c>
      <c r="T30" s="5">
        <f>652+551</f>
        <v>1203</v>
      </c>
      <c r="U30" s="62"/>
      <c r="W30" s="13">
        <f>1066+1012+551</f>
        <v>2629</v>
      </c>
      <c r="X30" s="63">
        <f t="shared" si="8"/>
        <v>25.238399999999999</v>
      </c>
      <c r="Y30" s="14"/>
    </row>
    <row r="31" spans="1:25" ht="15" x14ac:dyDescent="0.25">
      <c r="A31" s="11">
        <f t="shared" si="1"/>
        <v>41272</v>
      </c>
      <c r="B31" s="1"/>
      <c r="C31" s="2">
        <f t="shared" si="2"/>
        <v>231</v>
      </c>
      <c r="D31" s="7"/>
      <c r="E31" s="3">
        <f t="shared" si="3"/>
        <v>239.64052500000003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13"/>
      <c r="N31" s="16">
        <f t="shared" si="0"/>
        <v>0</v>
      </c>
      <c r="O31" s="29"/>
      <c r="Q31" s="1"/>
      <c r="R31" s="2">
        <f t="shared" si="6"/>
        <v>245</v>
      </c>
      <c r="S31" s="3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1"/>
        <v>41273</v>
      </c>
      <c r="B32" s="1"/>
      <c r="C32" s="2">
        <f t="shared" si="2"/>
        <v>231</v>
      </c>
      <c r="D32" s="7"/>
      <c r="E32" s="3">
        <f t="shared" si="3"/>
        <v>239.64052500000003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13"/>
      <c r="N32" s="16">
        <f t="shared" si="0"/>
        <v>0</v>
      </c>
      <c r="O32" s="29"/>
      <c r="Q32" s="1"/>
      <c r="R32" s="2">
        <f t="shared" si="6"/>
        <v>245</v>
      </c>
      <c r="S32" s="3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41274</v>
      </c>
      <c r="B33" s="1"/>
      <c r="C33" s="2">
        <f>B33+C32</f>
        <v>231</v>
      </c>
      <c r="D33" s="7"/>
      <c r="E33" s="3">
        <f>D33+E32</f>
        <v>239.64052500000003</v>
      </c>
      <c r="F33" s="62"/>
      <c r="G33" s="1"/>
      <c r="H33" s="2">
        <f>H32+G33</f>
        <v>0</v>
      </c>
      <c r="I33" s="3">
        <f>J33*7.2/1000</f>
        <v>0</v>
      </c>
      <c r="J33" s="5"/>
      <c r="K33" s="62"/>
      <c r="L33" s="42"/>
      <c r="M33" s="13"/>
      <c r="N33" s="16">
        <f>+M33*7.2/1000</f>
        <v>0</v>
      </c>
      <c r="O33" s="29"/>
      <c r="Q33" s="1"/>
      <c r="R33" s="2">
        <f>R32+Q33</f>
        <v>245</v>
      </c>
      <c r="S33" s="3">
        <f>T33*9.6/1000</f>
        <v>0</v>
      </c>
      <c r="T33" s="5"/>
      <c r="U33" s="62"/>
      <c r="W33" s="13"/>
      <c r="X33" s="63">
        <f>+W33*9.6/1000</f>
        <v>0</v>
      </c>
      <c r="Y33" s="29"/>
    </row>
    <row r="34" spans="1:25" ht="21" customHeight="1" thickBot="1" x14ac:dyDescent="0.3">
      <c r="A34" s="17" t="s">
        <v>8</v>
      </c>
      <c r="B34" s="40">
        <f>SUM(B3:B33)</f>
        <v>231</v>
      </c>
      <c r="C34" s="40">
        <f>+B34</f>
        <v>231</v>
      </c>
      <c r="D34" s="24">
        <f>SUM(D3:D33)</f>
        <v>239.64052500000003</v>
      </c>
      <c r="E34" s="23">
        <f>+D34</f>
        <v>239.64052500000003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29">
        <f>SUM(M3:M32)</f>
        <v>0</v>
      </c>
      <c r="N34" s="63">
        <f>SUM(N3:N32)</f>
        <v>0</v>
      </c>
      <c r="O34" s="16"/>
      <c r="Q34" s="26">
        <f>SUM(Q3:Q33)</f>
        <v>245</v>
      </c>
      <c r="R34" s="40">
        <f>+Q34</f>
        <v>245</v>
      </c>
      <c r="S34" s="23">
        <f>SUM(S3:S33)</f>
        <v>252.41279999999995</v>
      </c>
      <c r="T34" s="27">
        <f>SUM(T3:T33)</f>
        <v>26293</v>
      </c>
      <c r="U34" s="28"/>
      <c r="W34" s="29">
        <f>SUM(W3:W33)</f>
        <v>28857</v>
      </c>
      <c r="X34" s="63">
        <f>SUM(X3:X33)</f>
        <v>277.02719999999999</v>
      </c>
      <c r="Y34" s="16"/>
    </row>
    <row r="35" spans="1:25" x14ac:dyDescent="0.2">
      <c r="D35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F1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hidden="1" customWidth="1"/>
    <col min="14" max="14" width="9.140625" hidden="1" customWidth="1"/>
    <col min="15" max="15" width="11.28515625" hidden="1" customWidth="1"/>
    <col min="16" max="16" width="4.28515625" customWidth="1"/>
    <col min="17" max="17" width="13.7109375" customWidth="1"/>
    <col min="19" max="19" width="9.85546875" customWidth="1"/>
    <col min="23" max="23" width="15.85546875" bestFit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29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41275</v>
      </c>
      <c r="B3" s="1"/>
      <c r="C3" s="2">
        <f>B3</f>
        <v>0</v>
      </c>
      <c r="D3" s="3"/>
      <c r="E3" s="3">
        <f>D3</f>
        <v>0</v>
      </c>
      <c r="F3" s="4" t="s">
        <v>16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63">
        <f t="shared" ref="N3:N32" si="0">+M3*7.2/1000</f>
        <v>0</v>
      </c>
      <c r="O3" s="62"/>
      <c r="Q3" s="1"/>
      <c r="R3" s="2">
        <f>Q3</f>
        <v>0</v>
      </c>
      <c r="S3" s="3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41276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62"/>
      <c r="G4" s="1"/>
      <c r="H4" s="2">
        <f t="shared" ref="H4:H32" si="4">H3+G4</f>
        <v>0</v>
      </c>
      <c r="I4" s="3">
        <f t="shared" ref="I4:I32" si="5">J4*7.2/1000</f>
        <v>0</v>
      </c>
      <c r="J4" s="5"/>
      <c r="K4" s="62"/>
      <c r="L4" s="34"/>
      <c r="M4" s="44"/>
      <c r="N4" s="29">
        <f t="shared" si="0"/>
        <v>0</v>
      </c>
      <c r="O4" s="38"/>
      <c r="Q4" s="1"/>
      <c r="R4" s="2">
        <f t="shared" ref="R4:R32" si="6">R3+Q4</f>
        <v>0</v>
      </c>
      <c r="S4" s="3">
        <f t="shared" ref="S4:S32" si="7">T4*9.6/1000</f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1"/>
        <v>41277</v>
      </c>
      <c r="B5" s="1"/>
      <c r="C5" s="2">
        <f t="shared" si="2"/>
        <v>0</v>
      </c>
      <c r="D5" s="3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3"/>
      <c r="M5" s="13"/>
      <c r="N5" s="29">
        <f t="shared" si="0"/>
        <v>0</v>
      </c>
      <c r="O5" s="38"/>
      <c r="Q5" s="1"/>
      <c r="R5" s="2">
        <f t="shared" si="6"/>
        <v>0</v>
      </c>
      <c r="S5" s="3">
        <f t="shared" si="7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1"/>
        <v>41278</v>
      </c>
      <c r="B6" s="1"/>
      <c r="C6" s="2">
        <f t="shared" si="2"/>
        <v>0</v>
      </c>
      <c r="D6" s="3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3"/>
      <c r="M6" s="13"/>
      <c r="N6" s="29">
        <f t="shared" si="0"/>
        <v>0</v>
      </c>
      <c r="O6" s="38"/>
      <c r="Q6" s="1"/>
      <c r="R6" s="2">
        <f t="shared" si="6"/>
        <v>0</v>
      </c>
      <c r="S6" s="3">
        <f t="shared" si="7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1"/>
        <v>41279</v>
      </c>
      <c r="B7" s="1"/>
      <c r="C7" s="2">
        <f t="shared" si="2"/>
        <v>0</v>
      </c>
      <c r="D7" s="3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3"/>
      <c r="M7" s="13"/>
      <c r="N7" s="29">
        <f t="shared" si="0"/>
        <v>0</v>
      </c>
      <c r="O7" s="62"/>
      <c r="Q7" s="1"/>
      <c r="R7" s="2">
        <f t="shared" si="6"/>
        <v>0</v>
      </c>
      <c r="S7" s="3">
        <f t="shared" si="7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1"/>
        <v>41280</v>
      </c>
      <c r="B8" s="1"/>
      <c r="C8" s="2">
        <f t="shared" si="2"/>
        <v>0</v>
      </c>
      <c r="D8" s="3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/>
      <c r="R8" s="2">
        <f t="shared" si="6"/>
        <v>0</v>
      </c>
      <c r="S8" s="3">
        <f t="shared" si="7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1"/>
        <v>41281</v>
      </c>
      <c r="B9" s="1"/>
      <c r="C9" s="2">
        <f t="shared" si="2"/>
        <v>0</v>
      </c>
      <c r="D9" s="3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  <c r="Q9" s="1"/>
      <c r="R9" s="2">
        <f t="shared" si="6"/>
        <v>0</v>
      </c>
      <c r="S9" s="3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41282</v>
      </c>
      <c r="B10" s="1"/>
      <c r="C10" s="2">
        <f t="shared" si="2"/>
        <v>0</v>
      </c>
      <c r="D10" s="3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13"/>
      <c r="N10" s="29">
        <f t="shared" si="0"/>
        <v>0</v>
      </c>
      <c r="O10" s="38"/>
      <c r="Q10" s="1"/>
      <c r="R10" s="2">
        <f t="shared" si="6"/>
        <v>0</v>
      </c>
      <c r="S10" s="3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41283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13"/>
      <c r="N11" s="29">
        <f t="shared" si="0"/>
        <v>0</v>
      </c>
      <c r="O11" s="38"/>
      <c r="Q11" s="1"/>
      <c r="R11" s="2">
        <f t="shared" si="6"/>
        <v>0</v>
      </c>
      <c r="S11" s="3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41284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  <c r="Q12" s="1"/>
      <c r="R12" s="2">
        <f t="shared" si="6"/>
        <v>0</v>
      </c>
      <c r="S12" s="3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41285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13"/>
      <c r="N13" s="29">
        <f t="shared" si="0"/>
        <v>0</v>
      </c>
      <c r="O13" s="29"/>
      <c r="Q13" s="1"/>
      <c r="R13" s="2">
        <f t="shared" si="6"/>
        <v>0</v>
      </c>
      <c r="S13" s="3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41286</v>
      </c>
      <c r="B14" s="1"/>
      <c r="C14" s="2">
        <f t="shared" si="2"/>
        <v>0</v>
      </c>
      <c r="D14" s="3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13"/>
      <c r="N14" s="29">
        <f t="shared" si="0"/>
        <v>0</v>
      </c>
      <c r="O14" s="29"/>
      <c r="Q14" s="1"/>
      <c r="R14" s="2">
        <f t="shared" si="6"/>
        <v>0</v>
      </c>
      <c r="S14" s="3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41287</v>
      </c>
      <c r="B15" s="1"/>
      <c r="C15" s="2">
        <f t="shared" si="2"/>
        <v>0</v>
      </c>
      <c r="D15" s="3"/>
      <c r="E15" s="3">
        <f t="shared" si="3"/>
        <v>0</v>
      </c>
      <c r="F15" s="67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6"/>
        <v>0</v>
      </c>
      <c r="S15" s="3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41288</v>
      </c>
      <c r="B16" s="1"/>
      <c r="C16" s="2">
        <f t="shared" si="2"/>
        <v>0</v>
      </c>
      <c r="D16" s="3"/>
      <c r="E16" s="3">
        <f t="shared" si="3"/>
        <v>0</v>
      </c>
      <c r="F16" s="39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13"/>
      <c r="N16" s="29">
        <f t="shared" si="0"/>
        <v>0</v>
      </c>
      <c r="O16" s="29"/>
      <c r="Q16" s="1"/>
      <c r="R16" s="2">
        <f t="shared" si="6"/>
        <v>0</v>
      </c>
      <c r="S16" s="3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1"/>
        <v>41289</v>
      </c>
      <c r="B17" s="1"/>
      <c r="C17" s="2">
        <f t="shared" si="2"/>
        <v>0</v>
      </c>
      <c r="D17" s="6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13"/>
      <c r="N17" s="29">
        <f t="shared" si="0"/>
        <v>0</v>
      </c>
      <c r="O17" s="29"/>
      <c r="Q17" s="1"/>
      <c r="R17" s="2">
        <f t="shared" si="6"/>
        <v>0</v>
      </c>
      <c r="S17" s="3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1"/>
        <v>41290</v>
      </c>
      <c r="B18" s="1"/>
      <c r="C18" s="2">
        <f t="shared" si="2"/>
        <v>0</v>
      </c>
      <c r="D18" s="3"/>
      <c r="E18" s="3">
        <f t="shared" si="3"/>
        <v>0</v>
      </c>
      <c r="F18" s="39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  <c r="Q18" s="1"/>
      <c r="R18" s="2">
        <f t="shared" si="6"/>
        <v>0</v>
      </c>
      <c r="S18" s="3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1"/>
        <v>41291</v>
      </c>
      <c r="B19" s="1"/>
      <c r="C19" s="2">
        <f t="shared" si="2"/>
        <v>0</v>
      </c>
      <c r="D19" s="3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13"/>
      <c r="N19" s="29">
        <f t="shared" si="0"/>
        <v>0</v>
      </c>
      <c r="O19" s="29"/>
      <c r="Q19" s="1"/>
      <c r="R19" s="2">
        <f t="shared" si="6"/>
        <v>0</v>
      </c>
      <c r="S19" s="3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1"/>
        <v>41292</v>
      </c>
      <c r="B20" s="1"/>
      <c r="C20" s="2">
        <f t="shared" si="2"/>
        <v>0</v>
      </c>
      <c r="D20" s="3"/>
      <c r="E20" s="3">
        <f t="shared" si="3"/>
        <v>0</v>
      </c>
      <c r="F20" s="39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13"/>
      <c r="N20" s="29">
        <f t="shared" si="0"/>
        <v>0</v>
      </c>
      <c r="O20" s="29"/>
      <c r="Q20" s="1"/>
      <c r="R20" s="2">
        <f t="shared" si="6"/>
        <v>0</v>
      </c>
      <c r="S20" s="3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1"/>
        <v>41293</v>
      </c>
      <c r="B21" s="1"/>
      <c r="C21" s="2">
        <f t="shared" si="2"/>
        <v>0</v>
      </c>
      <c r="D21" s="3"/>
      <c r="E21" s="3">
        <f t="shared" si="3"/>
        <v>0</v>
      </c>
      <c r="F21" s="62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13"/>
      <c r="N21" s="29">
        <f t="shared" si="0"/>
        <v>0</v>
      </c>
      <c r="O21" s="29"/>
      <c r="Q21" s="1"/>
      <c r="R21" s="2">
        <f t="shared" si="6"/>
        <v>0</v>
      </c>
      <c r="S21" s="3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1"/>
        <v>41294</v>
      </c>
      <c r="B22" s="1"/>
      <c r="C22" s="2">
        <f t="shared" si="2"/>
        <v>0</v>
      </c>
      <c r="D22" s="3"/>
      <c r="E22" s="3">
        <f t="shared" si="3"/>
        <v>0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13"/>
      <c r="N22" s="29">
        <f t="shared" si="0"/>
        <v>0</v>
      </c>
      <c r="O22" s="14"/>
      <c r="Q22" s="1"/>
      <c r="R22" s="2">
        <f t="shared" si="6"/>
        <v>0</v>
      </c>
      <c r="S22" s="3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1"/>
        <v>41295</v>
      </c>
      <c r="B23" s="1">
        <v>6</v>
      </c>
      <c r="C23" s="2">
        <f t="shared" si="2"/>
        <v>6</v>
      </c>
      <c r="D23" s="3">
        <f>(325+402)*10.8/1000</f>
        <v>7.8516000000000004</v>
      </c>
      <c r="E23" s="3">
        <f t="shared" si="3"/>
        <v>7.8516000000000004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13"/>
      <c r="N23" s="16">
        <f t="shared" si="0"/>
        <v>0</v>
      </c>
      <c r="O23" s="29"/>
      <c r="Q23" s="1"/>
      <c r="R23" s="2">
        <f t="shared" si="6"/>
        <v>0</v>
      </c>
      <c r="S23" s="3">
        <f t="shared" si="7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1"/>
        <v>41296</v>
      </c>
      <c r="B24" s="1">
        <v>12</v>
      </c>
      <c r="C24" s="2">
        <f t="shared" si="2"/>
        <v>18</v>
      </c>
      <c r="D24" s="3">
        <f>1055*10.8/1000</f>
        <v>11.394</v>
      </c>
      <c r="E24" s="3">
        <f t="shared" si="3"/>
        <v>19.2456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13"/>
      <c r="N24" s="16">
        <f t="shared" si="0"/>
        <v>0</v>
      </c>
      <c r="O24" s="29"/>
      <c r="Q24" s="1">
        <v>6</v>
      </c>
      <c r="R24" s="2">
        <f t="shared" si="6"/>
        <v>6</v>
      </c>
      <c r="S24" s="3">
        <f t="shared" si="7"/>
        <v>5.7791999999999994</v>
      </c>
      <c r="T24" s="5">
        <v>602</v>
      </c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1"/>
        <v>41297</v>
      </c>
      <c r="B25" s="1">
        <v>12</v>
      </c>
      <c r="C25" s="2">
        <f t="shared" si="2"/>
        <v>30</v>
      </c>
      <c r="D25" s="3">
        <f>860*10.8/1000</f>
        <v>9.2880000000000003</v>
      </c>
      <c r="E25" s="3">
        <f t="shared" si="3"/>
        <v>28.5336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13"/>
      <c r="N25" s="16">
        <f t="shared" si="0"/>
        <v>0</v>
      </c>
      <c r="O25" s="38"/>
      <c r="Q25" s="1">
        <v>12</v>
      </c>
      <c r="R25" s="2">
        <f t="shared" si="6"/>
        <v>18</v>
      </c>
      <c r="S25" s="3">
        <f t="shared" si="7"/>
        <v>8.0640000000000001</v>
      </c>
      <c r="T25" s="5">
        <f>210+510+120</f>
        <v>840</v>
      </c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1"/>
        <v>41298</v>
      </c>
      <c r="B26" s="1">
        <v>12</v>
      </c>
      <c r="C26" s="2">
        <f t="shared" si="2"/>
        <v>42</v>
      </c>
      <c r="D26" s="3">
        <f>610*10.8/1000</f>
        <v>6.5880000000000001</v>
      </c>
      <c r="E26" s="3">
        <f t="shared" si="3"/>
        <v>35.121600000000001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13"/>
      <c r="N26" s="16">
        <f t="shared" si="0"/>
        <v>0</v>
      </c>
      <c r="O26" s="29"/>
      <c r="Q26" s="1">
        <v>12</v>
      </c>
      <c r="R26" s="2">
        <f t="shared" si="6"/>
        <v>30</v>
      </c>
      <c r="S26" s="3">
        <f t="shared" si="7"/>
        <v>8.7840000000000007</v>
      </c>
      <c r="T26" s="5">
        <f>555+360</f>
        <v>915</v>
      </c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1"/>
        <v>41299</v>
      </c>
      <c r="B27" s="1">
        <v>12</v>
      </c>
      <c r="C27" s="2">
        <f t="shared" si="2"/>
        <v>54</v>
      </c>
      <c r="D27" s="3">
        <f>870*10.8/1000</f>
        <v>9.3960000000000008</v>
      </c>
      <c r="E27" s="3">
        <f t="shared" si="3"/>
        <v>44.517600000000002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13"/>
      <c r="N27" s="16">
        <f t="shared" si="0"/>
        <v>0</v>
      </c>
      <c r="O27" s="29"/>
      <c r="Q27" s="1">
        <v>12</v>
      </c>
      <c r="R27" s="2">
        <f t="shared" si="6"/>
        <v>42</v>
      </c>
      <c r="S27" s="3">
        <f t="shared" si="7"/>
        <v>9.0719999999999992</v>
      </c>
      <c r="T27" s="5">
        <f>90+490+365</f>
        <v>945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1"/>
        <v>41300</v>
      </c>
      <c r="B28" s="1"/>
      <c r="C28" s="2">
        <f t="shared" si="2"/>
        <v>54</v>
      </c>
      <c r="D28" s="3"/>
      <c r="E28" s="3">
        <f t="shared" si="3"/>
        <v>44.517600000000002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13"/>
      <c r="N28" s="16">
        <f t="shared" si="0"/>
        <v>0</v>
      </c>
      <c r="O28" s="29"/>
      <c r="Q28" s="1"/>
      <c r="R28" s="2">
        <f t="shared" si="6"/>
        <v>42</v>
      </c>
      <c r="S28" s="3">
        <f t="shared" si="7"/>
        <v>8.7551999999999985</v>
      </c>
      <c r="T28" s="5">
        <f>318+414+180</f>
        <v>912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1"/>
        <v>41301</v>
      </c>
      <c r="B29" s="1">
        <v>12</v>
      </c>
      <c r="C29" s="2">
        <f t="shared" si="2"/>
        <v>66</v>
      </c>
      <c r="D29" s="3">
        <f>(825*10.8+95*15)/1000</f>
        <v>10.335000000000001</v>
      </c>
      <c r="E29" s="3">
        <f t="shared" si="3"/>
        <v>54.852600000000002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13"/>
      <c r="N29" s="16">
        <f t="shared" si="0"/>
        <v>0</v>
      </c>
      <c r="O29" s="29"/>
      <c r="Q29" s="1">
        <v>12</v>
      </c>
      <c r="R29" s="2">
        <f t="shared" si="6"/>
        <v>54</v>
      </c>
      <c r="S29" s="3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1"/>
        <v>41302</v>
      </c>
      <c r="B30" s="1">
        <v>10</v>
      </c>
      <c r="C30" s="2">
        <f t="shared" si="2"/>
        <v>76</v>
      </c>
      <c r="D30" s="3">
        <f>905*10.8/1000</f>
        <v>9.7739999999999991</v>
      </c>
      <c r="E30" s="3">
        <f t="shared" si="3"/>
        <v>64.626599999999996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13"/>
      <c r="N30" s="16">
        <f t="shared" si="0"/>
        <v>0</v>
      </c>
      <c r="O30" s="14"/>
      <c r="Q30" s="1">
        <v>12</v>
      </c>
      <c r="R30" s="2">
        <f t="shared" si="6"/>
        <v>66</v>
      </c>
      <c r="S30" s="3">
        <f t="shared" si="7"/>
        <v>8.7840000000000007</v>
      </c>
      <c r="T30" s="5">
        <f>380+475+60</f>
        <v>915</v>
      </c>
      <c r="U30" s="62"/>
      <c r="W30" s="13">
        <f>363+450+510+675+450+490</f>
        <v>2938</v>
      </c>
      <c r="X30" s="63">
        <f t="shared" si="8"/>
        <v>28.204799999999999</v>
      </c>
      <c r="Y30" s="14"/>
    </row>
    <row r="31" spans="1:25" ht="15" x14ac:dyDescent="0.25">
      <c r="A31" s="11">
        <f t="shared" si="1"/>
        <v>41303</v>
      </c>
      <c r="B31" s="1"/>
      <c r="C31" s="2">
        <f t="shared" si="2"/>
        <v>76</v>
      </c>
      <c r="D31" s="7">
        <f>(950+141)*10.8/1000</f>
        <v>11.782800000000002</v>
      </c>
      <c r="E31" s="3">
        <f t="shared" si="3"/>
        <v>76.409400000000005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13"/>
      <c r="N31" s="16">
        <f t="shared" si="0"/>
        <v>0</v>
      </c>
      <c r="O31" s="29"/>
      <c r="Q31" s="1">
        <v>10</v>
      </c>
      <c r="R31" s="2">
        <f t="shared" si="6"/>
        <v>76</v>
      </c>
      <c r="S31" s="3">
        <f t="shared" si="7"/>
        <v>7.2</v>
      </c>
      <c r="T31" s="5">
        <f>390+360</f>
        <v>750</v>
      </c>
      <c r="U31" s="62"/>
      <c r="W31" s="13">
        <f>365+318+414+560</f>
        <v>1657</v>
      </c>
      <c r="X31" s="63">
        <f t="shared" si="8"/>
        <v>15.9072</v>
      </c>
      <c r="Y31" s="29"/>
    </row>
    <row r="32" spans="1:25" ht="15" x14ac:dyDescent="0.25">
      <c r="A32" s="11">
        <f t="shared" si="1"/>
        <v>41304</v>
      </c>
      <c r="B32" s="1"/>
      <c r="C32" s="2">
        <f t="shared" si="2"/>
        <v>76</v>
      </c>
      <c r="D32" s="7"/>
      <c r="E32" s="3">
        <f t="shared" si="3"/>
        <v>76.409400000000005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13"/>
      <c r="N32" s="16">
        <f t="shared" si="0"/>
        <v>0</v>
      </c>
      <c r="O32" s="29"/>
      <c r="Q32" s="1"/>
      <c r="R32" s="2">
        <f t="shared" si="6"/>
        <v>76</v>
      </c>
      <c r="S32" s="3">
        <f t="shared" si="7"/>
        <v>7.44</v>
      </c>
      <c r="T32" s="5">
        <f>145+510+120</f>
        <v>775</v>
      </c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41305</v>
      </c>
      <c r="B33" s="1"/>
      <c r="C33" s="2">
        <f>B33+C32</f>
        <v>76</v>
      </c>
      <c r="D33" s="7"/>
      <c r="E33" s="3">
        <f>D33+E32</f>
        <v>76.409400000000005</v>
      </c>
      <c r="F33" s="62"/>
      <c r="G33" s="1"/>
      <c r="H33" s="2">
        <f>H32+G33</f>
        <v>0</v>
      </c>
      <c r="I33" s="3">
        <f>J33*7.2/1000</f>
        <v>0</v>
      </c>
      <c r="J33" s="5"/>
      <c r="K33" s="62"/>
      <c r="L33" s="42"/>
      <c r="M33" s="13"/>
      <c r="N33" s="16">
        <f>+M33*7.2/1000</f>
        <v>0</v>
      </c>
      <c r="O33" s="29"/>
      <c r="Q33" s="1"/>
      <c r="R33" s="2">
        <f>R32+Q33</f>
        <v>76</v>
      </c>
      <c r="S33" s="3">
        <f>T33*9.6/1000</f>
        <v>6.72</v>
      </c>
      <c r="T33" s="5">
        <f>520+180</f>
        <v>700</v>
      </c>
      <c r="U33" s="62"/>
      <c r="W33" s="13"/>
      <c r="X33" s="63">
        <f>+W33*9.6/1000</f>
        <v>0</v>
      </c>
      <c r="Y33" s="29"/>
    </row>
    <row r="34" spans="1:25" ht="21" customHeight="1" thickBot="1" x14ac:dyDescent="0.3">
      <c r="A34" s="17" t="s">
        <v>8</v>
      </c>
      <c r="B34" s="40">
        <f>SUM(B3:B33)</f>
        <v>76</v>
      </c>
      <c r="C34" s="40">
        <f>+B34</f>
        <v>76</v>
      </c>
      <c r="D34" s="24">
        <f>SUM(D3:D33)</f>
        <v>76.409400000000005</v>
      </c>
      <c r="E34" s="23">
        <f>+D34</f>
        <v>76.409400000000005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29">
        <f>SUM(M3:M32)</f>
        <v>0</v>
      </c>
      <c r="N34" s="63">
        <f>SUM(N3:N32)</f>
        <v>0</v>
      </c>
      <c r="O34" s="16"/>
      <c r="Q34" s="26">
        <f>SUM(Q3:Q33)</f>
        <v>76</v>
      </c>
      <c r="R34" s="40">
        <f>+Q34</f>
        <v>76</v>
      </c>
      <c r="S34" s="23">
        <f>SUM(S3:S33)</f>
        <v>70.598399999999998</v>
      </c>
      <c r="T34" s="27">
        <f>SUM(T3:T33)</f>
        <v>7354</v>
      </c>
      <c r="U34" s="28"/>
      <c r="W34" s="29">
        <f>SUM(W3:W33)</f>
        <v>4595</v>
      </c>
      <c r="X34" s="63">
        <f>SUM(X3:X33)</f>
        <v>44.111999999999995</v>
      </c>
      <c r="Y34" s="16"/>
    </row>
    <row r="35" spans="1:25" x14ac:dyDescent="0.2">
      <c r="D35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"/>
  <sheetViews>
    <sheetView workbookViewId="0">
      <pane xSplit="1" ySplit="2" topLeftCell="D27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9" max="19" width="9.85546875" customWidth="1"/>
    <col min="21" max="21" width="11.42578125" customWidth="1"/>
    <col min="23" max="23" width="15.85546875" bestFit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33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41306</v>
      </c>
      <c r="B3" s="1"/>
      <c r="C3" s="2">
        <f>B3</f>
        <v>0</v>
      </c>
      <c r="D3" s="3"/>
      <c r="E3" s="3">
        <f>D3</f>
        <v>0</v>
      </c>
      <c r="F3" s="4" t="s">
        <v>16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63">
        <f t="shared" ref="N3:N32" si="0">+M3*7.2/1000</f>
        <v>0</v>
      </c>
      <c r="O3" s="62"/>
      <c r="Q3" s="1"/>
      <c r="R3" s="2">
        <f>Q3</f>
        <v>0</v>
      </c>
      <c r="S3" s="3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41307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62"/>
      <c r="G4" s="1"/>
      <c r="H4" s="2">
        <f t="shared" ref="H4:H32" si="4">H3+G4</f>
        <v>0</v>
      </c>
      <c r="I4" s="3">
        <f t="shared" ref="I4:I32" si="5">J4*7.2/1000</f>
        <v>0</v>
      </c>
      <c r="J4" s="5"/>
      <c r="K4" s="62"/>
      <c r="L4" s="34"/>
      <c r="M4" s="44"/>
      <c r="N4" s="29">
        <f t="shared" si="0"/>
        <v>0</v>
      </c>
      <c r="O4" s="38"/>
      <c r="Q4" s="1"/>
      <c r="R4" s="2">
        <f t="shared" ref="R4:R32" si="6">R3+Q4</f>
        <v>0</v>
      </c>
      <c r="S4" s="3">
        <f t="shared" ref="S4:S32" si="7">T4*9.6/1000</f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1"/>
        <v>41308</v>
      </c>
      <c r="B5" s="1"/>
      <c r="C5" s="2">
        <f t="shared" si="2"/>
        <v>0</v>
      </c>
      <c r="D5" s="3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3"/>
      <c r="M5" s="13"/>
      <c r="N5" s="29">
        <f t="shared" si="0"/>
        <v>0</v>
      </c>
      <c r="O5" s="38"/>
      <c r="Q5" s="1"/>
      <c r="R5" s="2">
        <f t="shared" si="6"/>
        <v>0</v>
      </c>
      <c r="S5" s="3">
        <f t="shared" si="7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1"/>
        <v>41309</v>
      </c>
      <c r="B6" s="1"/>
      <c r="C6" s="2">
        <f t="shared" si="2"/>
        <v>0</v>
      </c>
      <c r="D6" s="3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3"/>
      <c r="M6" s="13"/>
      <c r="N6" s="29">
        <f t="shared" si="0"/>
        <v>0</v>
      </c>
      <c r="O6" s="38"/>
      <c r="Q6" s="1"/>
      <c r="R6" s="2">
        <f t="shared" si="6"/>
        <v>0</v>
      </c>
      <c r="S6" s="3">
        <f t="shared" si="7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1"/>
        <v>41310</v>
      </c>
      <c r="B7" s="1"/>
      <c r="C7" s="2">
        <f t="shared" si="2"/>
        <v>0</v>
      </c>
      <c r="D7" s="3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3"/>
      <c r="M7" s="13"/>
      <c r="N7" s="29">
        <f t="shared" si="0"/>
        <v>0</v>
      </c>
      <c r="O7" s="62"/>
      <c r="Q7" s="1"/>
      <c r="R7" s="2">
        <f t="shared" si="6"/>
        <v>0</v>
      </c>
      <c r="S7" s="3">
        <f t="shared" si="7"/>
        <v>0</v>
      </c>
      <c r="T7" s="5"/>
      <c r="U7" s="62"/>
      <c r="W7" s="13">
        <f>475+450+505+510+640+486</f>
        <v>3066</v>
      </c>
      <c r="X7" s="63">
        <f t="shared" si="8"/>
        <v>29.433599999999998</v>
      </c>
      <c r="Y7" s="38"/>
    </row>
    <row r="8" spans="1:25" ht="15" x14ac:dyDescent="0.25">
      <c r="A8" s="11">
        <f t="shared" si="1"/>
        <v>41311</v>
      </c>
      <c r="B8" s="1"/>
      <c r="C8" s="2">
        <f t="shared" si="2"/>
        <v>0</v>
      </c>
      <c r="D8" s="3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/>
      <c r="R8" s="2">
        <f t="shared" si="6"/>
        <v>0</v>
      </c>
      <c r="S8" s="3">
        <f t="shared" si="7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1"/>
        <v>41312</v>
      </c>
      <c r="B9" s="1"/>
      <c r="C9" s="2">
        <f t="shared" si="2"/>
        <v>0</v>
      </c>
      <c r="D9" s="3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  <c r="Q9" s="1"/>
      <c r="R9" s="2">
        <f t="shared" si="6"/>
        <v>0</v>
      </c>
      <c r="S9" s="3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41313</v>
      </c>
      <c r="B10" s="1"/>
      <c r="C10" s="2">
        <f t="shared" si="2"/>
        <v>0</v>
      </c>
      <c r="D10" s="3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13"/>
      <c r="N10" s="29">
        <f t="shared" si="0"/>
        <v>0</v>
      </c>
      <c r="O10" s="38"/>
      <c r="Q10" s="1"/>
      <c r="R10" s="2">
        <f t="shared" si="6"/>
        <v>0</v>
      </c>
      <c r="S10" s="3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41314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13"/>
      <c r="N11" s="29">
        <f t="shared" si="0"/>
        <v>0</v>
      </c>
      <c r="O11" s="38"/>
      <c r="Q11" s="1"/>
      <c r="R11" s="2">
        <f t="shared" si="6"/>
        <v>0</v>
      </c>
      <c r="S11" s="3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41315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  <c r="Q12" s="1"/>
      <c r="R12" s="2">
        <f t="shared" si="6"/>
        <v>0</v>
      </c>
      <c r="S12" s="3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41316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13"/>
      <c r="N13" s="29">
        <f t="shared" si="0"/>
        <v>0</v>
      </c>
      <c r="O13" s="29"/>
      <c r="Q13" s="1"/>
      <c r="R13" s="2">
        <f t="shared" si="6"/>
        <v>0</v>
      </c>
      <c r="S13" s="3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41317</v>
      </c>
      <c r="B14" s="1"/>
      <c r="C14" s="2">
        <f t="shared" si="2"/>
        <v>0</v>
      </c>
      <c r="D14" s="3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13"/>
      <c r="N14" s="29">
        <f t="shared" si="0"/>
        <v>0</v>
      </c>
      <c r="O14" s="29"/>
      <c r="Q14" s="1"/>
      <c r="R14" s="2">
        <f t="shared" si="6"/>
        <v>0</v>
      </c>
      <c r="S14" s="3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41318</v>
      </c>
      <c r="B15" s="1"/>
      <c r="C15" s="2">
        <f t="shared" si="2"/>
        <v>0</v>
      </c>
      <c r="D15" s="3"/>
      <c r="E15" s="3">
        <f t="shared" si="3"/>
        <v>0</v>
      </c>
      <c r="F15" s="67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6"/>
        <v>0</v>
      </c>
      <c r="S15" s="3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41319</v>
      </c>
      <c r="B16" s="1"/>
      <c r="C16" s="2">
        <f t="shared" si="2"/>
        <v>0</v>
      </c>
      <c r="D16" s="3"/>
      <c r="E16" s="3">
        <f t="shared" si="3"/>
        <v>0</v>
      </c>
      <c r="F16" s="39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13"/>
      <c r="N16" s="29">
        <f t="shared" si="0"/>
        <v>0</v>
      </c>
      <c r="O16" s="29"/>
      <c r="Q16" s="1"/>
      <c r="R16" s="2">
        <f t="shared" si="6"/>
        <v>0</v>
      </c>
      <c r="S16" s="3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1"/>
        <v>41320</v>
      </c>
      <c r="B17" s="1"/>
      <c r="C17" s="2">
        <f t="shared" si="2"/>
        <v>0</v>
      </c>
      <c r="D17" s="6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13"/>
      <c r="N17" s="29">
        <f t="shared" si="0"/>
        <v>0</v>
      </c>
      <c r="O17" s="29"/>
      <c r="Q17" s="1"/>
      <c r="R17" s="2">
        <f t="shared" si="6"/>
        <v>0</v>
      </c>
      <c r="S17" s="3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1"/>
        <v>41321</v>
      </c>
      <c r="B18" s="1"/>
      <c r="C18" s="2">
        <f t="shared" si="2"/>
        <v>0</v>
      </c>
      <c r="D18" s="3"/>
      <c r="E18" s="3">
        <f t="shared" si="3"/>
        <v>0</v>
      </c>
      <c r="F18" s="39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  <c r="Q18" s="1"/>
      <c r="R18" s="2">
        <f t="shared" si="6"/>
        <v>0</v>
      </c>
      <c r="S18" s="3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1"/>
        <v>41322</v>
      </c>
      <c r="B19" s="1"/>
      <c r="C19" s="2">
        <f t="shared" si="2"/>
        <v>0</v>
      </c>
      <c r="D19" s="3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13"/>
      <c r="N19" s="29">
        <f t="shared" si="0"/>
        <v>0</v>
      </c>
      <c r="O19" s="29"/>
      <c r="Q19" s="1"/>
      <c r="R19" s="2">
        <f t="shared" si="6"/>
        <v>0</v>
      </c>
      <c r="S19" s="3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1"/>
        <v>41323</v>
      </c>
      <c r="B20" s="1"/>
      <c r="C20" s="2">
        <f t="shared" si="2"/>
        <v>0</v>
      </c>
      <c r="D20" s="3">
        <f>948*10.8/1000</f>
        <v>10.238400000000002</v>
      </c>
      <c r="E20" s="3">
        <f t="shared" si="3"/>
        <v>10.238400000000002</v>
      </c>
      <c r="F20" s="67" t="s">
        <v>32</v>
      </c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13"/>
      <c r="N20" s="29">
        <f t="shared" si="0"/>
        <v>0</v>
      </c>
      <c r="O20" s="29"/>
      <c r="Q20" s="1"/>
      <c r="R20" s="2">
        <f t="shared" si="6"/>
        <v>0</v>
      </c>
      <c r="S20" s="3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1"/>
        <v>41324</v>
      </c>
      <c r="B21" s="1"/>
      <c r="C21" s="2">
        <f t="shared" si="2"/>
        <v>0</v>
      </c>
      <c r="D21" s="3"/>
      <c r="E21" s="3">
        <f t="shared" si="3"/>
        <v>10.238400000000002</v>
      </c>
      <c r="F21" s="62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13"/>
      <c r="N21" s="29">
        <f t="shared" si="0"/>
        <v>0</v>
      </c>
      <c r="O21" s="29"/>
      <c r="Q21" s="1"/>
      <c r="R21" s="2">
        <f t="shared" si="6"/>
        <v>0</v>
      </c>
      <c r="S21" s="3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1"/>
        <v>41325</v>
      </c>
      <c r="B22" s="1"/>
      <c r="C22" s="2">
        <f t="shared" si="2"/>
        <v>0</v>
      </c>
      <c r="D22" s="3"/>
      <c r="E22" s="3">
        <f t="shared" si="3"/>
        <v>10.238400000000002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13"/>
      <c r="N22" s="29">
        <f t="shared" si="0"/>
        <v>0</v>
      </c>
      <c r="O22" s="14"/>
      <c r="Q22" s="1"/>
      <c r="R22" s="2">
        <f t="shared" si="6"/>
        <v>0</v>
      </c>
      <c r="S22" s="3">
        <f t="shared" si="7"/>
        <v>6.5759999999999996</v>
      </c>
      <c r="T22" s="5">
        <f>505+180</f>
        <v>685</v>
      </c>
      <c r="U22" s="62" t="s">
        <v>35</v>
      </c>
      <c r="W22" s="13"/>
      <c r="X22" s="63">
        <f t="shared" si="8"/>
        <v>0</v>
      </c>
      <c r="Y22" s="14"/>
    </row>
    <row r="23" spans="1:25" ht="15" x14ac:dyDescent="0.25">
      <c r="A23" s="11">
        <f t="shared" si="1"/>
        <v>41326</v>
      </c>
      <c r="B23" s="1">
        <v>8</v>
      </c>
      <c r="C23" s="2">
        <f t="shared" si="2"/>
        <v>8</v>
      </c>
      <c r="D23" s="3">
        <f>1000*8.1/1000</f>
        <v>8.1</v>
      </c>
      <c r="E23" s="3">
        <f t="shared" si="3"/>
        <v>18.3384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13"/>
      <c r="N23" s="16">
        <f t="shared" si="0"/>
        <v>0</v>
      </c>
      <c r="O23" s="29"/>
      <c r="Q23" s="1"/>
      <c r="R23" s="2">
        <f t="shared" si="6"/>
        <v>0</v>
      </c>
      <c r="S23" s="3">
        <f t="shared" si="7"/>
        <v>3.7919999999999998</v>
      </c>
      <c r="T23" s="5">
        <v>395</v>
      </c>
      <c r="U23" s="62" t="s">
        <v>35</v>
      </c>
      <c r="W23" s="13"/>
      <c r="X23" s="63">
        <f t="shared" si="8"/>
        <v>0</v>
      </c>
      <c r="Y23" s="29"/>
    </row>
    <row r="24" spans="1:25" ht="15" x14ac:dyDescent="0.25">
      <c r="A24" s="11">
        <f t="shared" si="1"/>
        <v>41327</v>
      </c>
      <c r="B24" s="1">
        <v>10</v>
      </c>
      <c r="C24" s="2">
        <f t="shared" si="2"/>
        <v>18</v>
      </c>
      <c r="D24" s="3">
        <f>1535*8.1/1000</f>
        <v>12.4335</v>
      </c>
      <c r="E24" s="3">
        <f t="shared" si="3"/>
        <v>30.771900000000002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13"/>
      <c r="N24" s="16">
        <f t="shared" si="0"/>
        <v>0</v>
      </c>
      <c r="O24" s="29"/>
      <c r="Q24" s="1"/>
      <c r="R24" s="2">
        <f t="shared" si="6"/>
        <v>0</v>
      </c>
      <c r="S24" s="3">
        <f>T24*7.2/1000</f>
        <v>5.1840000000000002</v>
      </c>
      <c r="T24" s="5">
        <f>360+360</f>
        <v>720</v>
      </c>
      <c r="U24" s="62" t="s">
        <v>34</v>
      </c>
      <c r="W24" s="13"/>
      <c r="X24" s="63">
        <f t="shared" si="8"/>
        <v>0</v>
      </c>
      <c r="Y24" s="29"/>
    </row>
    <row r="25" spans="1:25" ht="15" x14ac:dyDescent="0.25">
      <c r="A25" s="11">
        <f t="shared" si="1"/>
        <v>41328</v>
      </c>
      <c r="B25" s="1">
        <v>10</v>
      </c>
      <c r="C25" s="2">
        <f t="shared" si="2"/>
        <v>28</v>
      </c>
      <c r="D25" s="3">
        <f>2150*8.1/1000</f>
        <v>17.414999999999999</v>
      </c>
      <c r="E25" s="3">
        <f t="shared" si="3"/>
        <v>48.186900000000001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13"/>
      <c r="N25" s="16">
        <f t="shared" si="0"/>
        <v>0</v>
      </c>
      <c r="O25" s="38"/>
      <c r="Q25" s="1"/>
      <c r="R25" s="2">
        <f t="shared" si="6"/>
        <v>0</v>
      </c>
      <c r="S25" s="3">
        <f t="shared" ref="S25:S30" si="9">T25*7.2/1000</f>
        <v>8.0856000000000012</v>
      </c>
      <c r="T25" s="5">
        <f>403+720</f>
        <v>1123</v>
      </c>
      <c r="U25" s="62" t="s">
        <v>34</v>
      </c>
      <c r="W25" s="13">
        <f>505+575</f>
        <v>1080</v>
      </c>
      <c r="X25" s="63">
        <f t="shared" si="8"/>
        <v>10.368</v>
      </c>
      <c r="Y25" s="38"/>
    </row>
    <row r="26" spans="1:25" ht="15" x14ac:dyDescent="0.25">
      <c r="A26" s="11">
        <f t="shared" si="1"/>
        <v>41329</v>
      </c>
      <c r="B26" s="1">
        <v>10</v>
      </c>
      <c r="C26" s="2">
        <f t="shared" si="2"/>
        <v>38</v>
      </c>
      <c r="D26" s="3">
        <f>1915*8.1/1000</f>
        <v>15.5115</v>
      </c>
      <c r="E26" s="3">
        <f t="shared" si="3"/>
        <v>63.698399999999999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13"/>
      <c r="N26" s="16">
        <f t="shared" si="0"/>
        <v>0</v>
      </c>
      <c r="O26" s="29"/>
      <c r="Q26" s="1"/>
      <c r="R26" s="2">
        <f t="shared" si="6"/>
        <v>0</v>
      </c>
      <c r="S26" s="3">
        <f t="shared" si="9"/>
        <v>9.3888000000000016</v>
      </c>
      <c r="T26" s="5">
        <f>84+920+300</f>
        <v>1304</v>
      </c>
      <c r="U26" s="62" t="s">
        <v>34</v>
      </c>
      <c r="W26" s="13"/>
      <c r="X26" s="63">
        <f t="shared" si="8"/>
        <v>0</v>
      </c>
      <c r="Y26" s="29"/>
    </row>
    <row r="27" spans="1:25" ht="15" x14ac:dyDescent="0.25">
      <c r="A27" s="11">
        <f t="shared" si="1"/>
        <v>41330</v>
      </c>
      <c r="B27" s="1">
        <v>10</v>
      </c>
      <c r="C27" s="2">
        <f t="shared" si="2"/>
        <v>48</v>
      </c>
      <c r="D27" s="3">
        <f>1830*8.1/1000</f>
        <v>14.823</v>
      </c>
      <c r="E27" s="3">
        <f t="shared" si="3"/>
        <v>78.5214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13"/>
      <c r="N27" s="16">
        <f t="shared" si="0"/>
        <v>0</v>
      </c>
      <c r="O27" s="29"/>
      <c r="Q27" s="1"/>
      <c r="R27" s="2">
        <f t="shared" si="6"/>
        <v>0</v>
      </c>
      <c r="S27" s="3">
        <f t="shared" si="9"/>
        <v>9.6479999999999997</v>
      </c>
      <c r="T27" s="5">
        <f>920+420</f>
        <v>1340</v>
      </c>
      <c r="U27" s="62" t="s">
        <v>34</v>
      </c>
      <c r="W27" s="13"/>
      <c r="X27" s="63">
        <f t="shared" si="8"/>
        <v>0</v>
      </c>
      <c r="Y27" s="29"/>
    </row>
    <row r="28" spans="1:25" ht="15" x14ac:dyDescent="0.25">
      <c r="A28" s="11">
        <f t="shared" si="1"/>
        <v>41331</v>
      </c>
      <c r="B28" s="1">
        <v>10</v>
      </c>
      <c r="C28" s="2">
        <f t="shared" si="2"/>
        <v>58</v>
      </c>
      <c r="D28" s="3">
        <f>900*8.1/1000</f>
        <v>7.29</v>
      </c>
      <c r="E28" s="3">
        <f t="shared" si="3"/>
        <v>85.811400000000006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13">
        <f>360+763+804+920</f>
        <v>2847</v>
      </c>
      <c r="N28" s="16">
        <f t="shared" si="0"/>
        <v>20.4984</v>
      </c>
      <c r="O28" s="29"/>
      <c r="Q28" s="1"/>
      <c r="R28" s="2">
        <f t="shared" si="6"/>
        <v>0</v>
      </c>
      <c r="S28" s="3">
        <f t="shared" si="9"/>
        <v>10.332000000000001</v>
      </c>
      <c r="T28" s="5">
        <f>775+660</f>
        <v>1435</v>
      </c>
      <c r="U28" s="62" t="s">
        <v>34</v>
      </c>
      <c r="W28" s="13"/>
      <c r="X28" s="63">
        <f t="shared" si="8"/>
        <v>0</v>
      </c>
      <c r="Y28" s="29"/>
    </row>
    <row r="29" spans="1:25" ht="15" x14ac:dyDescent="0.25">
      <c r="A29" s="11">
        <f t="shared" si="1"/>
        <v>41332</v>
      </c>
      <c r="B29" s="1">
        <v>10</v>
      </c>
      <c r="C29" s="2">
        <f t="shared" si="2"/>
        <v>68</v>
      </c>
      <c r="D29" s="3"/>
      <c r="E29" s="3">
        <f t="shared" si="3"/>
        <v>85.811400000000006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13"/>
      <c r="N29" s="16">
        <f t="shared" si="0"/>
        <v>0</v>
      </c>
      <c r="O29" s="29"/>
      <c r="Q29" s="1"/>
      <c r="R29" s="2">
        <f t="shared" si="6"/>
        <v>0</v>
      </c>
      <c r="S29" s="3">
        <f t="shared" si="9"/>
        <v>11.16</v>
      </c>
      <c r="T29" s="5">
        <f>395+1095+60</f>
        <v>1550</v>
      </c>
      <c r="U29" s="62" t="s">
        <v>34</v>
      </c>
      <c r="W29" s="13"/>
      <c r="X29" s="63">
        <f t="shared" si="8"/>
        <v>0</v>
      </c>
      <c r="Y29" s="29"/>
    </row>
    <row r="30" spans="1:25" ht="15.75" thickBot="1" x14ac:dyDescent="0.3">
      <c r="A30" s="11">
        <f t="shared" si="1"/>
        <v>41333</v>
      </c>
      <c r="B30" s="1">
        <v>8</v>
      </c>
      <c r="C30" s="2">
        <f t="shared" si="2"/>
        <v>76</v>
      </c>
      <c r="D30" s="3"/>
      <c r="E30" s="3">
        <f t="shared" si="3"/>
        <v>85.811400000000006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13"/>
      <c r="N30" s="16">
        <f t="shared" si="0"/>
        <v>0</v>
      </c>
      <c r="O30" s="14"/>
      <c r="Q30" s="1"/>
      <c r="R30" s="2">
        <f t="shared" si="6"/>
        <v>0</v>
      </c>
      <c r="S30" s="3">
        <f t="shared" si="9"/>
        <v>11.016</v>
      </c>
      <c r="T30" s="5">
        <f>1110+420</f>
        <v>1530</v>
      </c>
      <c r="U30" s="62" t="s">
        <v>34</v>
      </c>
      <c r="W30" s="13"/>
      <c r="X30" s="63">
        <f t="shared" si="8"/>
        <v>0</v>
      </c>
      <c r="Y30" s="14"/>
    </row>
    <row r="31" spans="1:25" ht="15" hidden="1" x14ac:dyDescent="0.25">
      <c r="A31" s="11">
        <f t="shared" si="1"/>
        <v>41334</v>
      </c>
      <c r="B31" s="1"/>
      <c r="C31" s="2">
        <f t="shared" si="2"/>
        <v>76</v>
      </c>
      <c r="D31" s="7"/>
      <c r="E31" s="3">
        <f t="shared" si="3"/>
        <v>85.811400000000006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13"/>
      <c r="N31" s="16">
        <f t="shared" si="0"/>
        <v>0</v>
      </c>
      <c r="O31" s="29"/>
      <c r="Q31" s="1"/>
      <c r="R31" s="2">
        <f t="shared" si="6"/>
        <v>0</v>
      </c>
      <c r="S31" s="3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" ht="15" hidden="1" x14ac:dyDescent="0.25">
      <c r="A32" s="11">
        <f t="shared" si="1"/>
        <v>41335</v>
      </c>
      <c r="B32" s="1"/>
      <c r="C32" s="2">
        <f t="shared" si="2"/>
        <v>76</v>
      </c>
      <c r="D32" s="7"/>
      <c r="E32" s="3">
        <f t="shared" si="3"/>
        <v>85.811400000000006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13"/>
      <c r="N32" s="16">
        <f t="shared" si="0"/>
        <v>0</v>
      </c>
      <c r="O32" s="29"/>
      <c r="Q32" s="1"/>
      <c r="R32" s="2">
        <f t="shared" si="6"/>
        <v>0</v>
      </c>
      <c r="S32" s="3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hidden="1" thickBot="1" x14ac:dyDescent="0.3">
      <c r="A33" s="11">
        <f t="shared" si="1"/>
        <v>41336</v>
      </c>
      <c r="B33" s="1"/>
      <c r="C33" s="2">
        <f>B33+C32</f>
        <v>76</v>
      </c>
      <c r="D33" s="7"/>
      <c r="E33" s="3">
        <f>D33+E32</f>
        <v>85.811400000000006</v>
      </c>
      <c r="F33" s="62"/>
      <c r="G33" s="1"/>
      <c r="H33" s="2">
        <f>H32+G33</f>
        <v>0</v>
      </c>
      <c r="I33" s="3">
        <f>J33*7.2/1000</f>
        <v>0</v>
      </c>
      <c r="J33" s="5"/>
      <c r="K33" s="62"/>
      <c r="L33" s="42"/>
      <c r="M33" s="13"/>
      <c r="N33" s="16">
        <f>+M33*7.2/1000</f>
        <v>0</v>
      </c>
      <c r="O33" s="29"/>
      <c r="Q33" s="1"/>
      <c r="R33" s="2">
        <f>R32+Q33</f>
        <v>0</v>
      </c>
      <c r="S33" s="3">
        <f>T33*9.6/1000</f>
        <v>0</v>
      </c>
      <c r="T33" s="5"/>
      <c r="U33" s="62"/>
      <c r="W33" s="13"/>
      <c r="X33" s="63">
        <f>+W33*9.6/1000</f>
        <v>0</v>
      </c>
      <c r="Y33" s="29"/>
    </row>
    <row r="34" spans="1:25" ht="21" customHeight="1" thickBot="1" x14ac:dyDescent="0.3">
      <c r="A34" s="17" t="s">
        <v>8</v>
      </c>
      <c r="B34" s="40">
        <f>SUM(B3:B33)</f>
        <v>76</v>
      </c>
      <c r="C34" s="40">
        <f>+B34</f>
        <v>76</v>
      </c>
      <c r="D34" s="24">
        <f>SUM(D3:D33)</f>
        <v>85.811400000000006</v>
      </c>
      <c r="E34" s="23">
        <f>+D34</f>
        <v>85.811400000000006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29">
        <f>SUM(M3:M32)</f>
        <v>2847</v>
      </c>
      <c r="N34" s="63">
        <f>SUM(N3:N32)</f>
        <v>20.4984</v>
      </c>
      <c r="O34" s="16"/>
      <c r="Q34" s="26">
        <f>SUM(Q3:Q33)</f>
        <v>0</v>
      </c>
      <c r="R34" s="40">
        <f>+Q34</f>
        <v>0</v>
      </c>
      <c r="S34" s="23">
        <f>SUM(S3:S33)</f>
        <v>75.182400000000015</v>
      </c>
      <c r="T34" s="27">
        <f>SUM(T3:T33)</f>
        <v>10082</v>
      </c>
      <c r="U34" s="28"/>
      <c r="W34" s="29">
        <f>SUM(W3:W33)</f>
        <v>4146</v>
      </c>
      <c r="X34" s="63">
        <f>SUM(X3:X33)</f>
        <v>39.801600000000001</v>
      </c>
      <c r="Y34" s="16"/>
    </row>
    <row r="35" spans="1:25" x14ac:dyDescent="0.2">
      <c r="D35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22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41334</v>
      </c>
      <c r="B3" s="1"/>
      <c r="C3" s="2">
        <f>B3</f>
        <v>0</v>
      </c>
      <c r="D3" s="3"/>
      <c r="E3" s="3">
        <f>D3</f>
        <v>0</v>
      </c>
      <c r="F3" s="4" t="s">
        <v>19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63">
        <f t="shared" ref="N3:N32" si="0">+M3*7.2/1000</f>
        <v>0</v>
      </c>
      <c r="O3" s="62"/>
      <c r="Q3" s="1"/>
      <c r="R3" s="2">
        <f>Q3</f>
        <v>0</v>
      </c>
      <c r="S3" s="3">
        <f t="shared" ref="S3:S25" si="1">T3*7.2/1000</f>
        <v>10.116</v>
      </c>
      <c r="T3" s="5">
        <f>465+940</f>
        <v>1405</v>
      </c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41335</v>
      </c>
      <c r="B4" s="1"/>
      <c r="C4" s="2">
        <f t="shared" ref="C4:C32" si="3">B4+C3</f>
        <v>0</v>
      </c>
      <c r="D4" s="3"/>
      <c r="E4" s="3">
        <f t="shared" ref="E4:E32" si="4">D4+E3</f>
        <v>0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44"/>
      <c r="N4" s="29">
        <f t="shared" si="0"/>
        <v>0</v>
      </c>
      <c r="O4" s="38"/>
      <c r="Q4" s="1"/>
      <c r="R4" s="2">
        <f t="shared" ref="R4:R32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41336</v>
      </c>
      <c r="B5" s="1"/>
      <c r="C5" s="2">
        <f t="shared" si="3"/>
        <v>0</v>
      </c>
      <c r="D5" s="3"/>
      <c r="E5" s="3">
        <f t="shared" si="4"/>
        <v>0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13"/>
      <c r="N5" s="29">
        <f t="shared" si="0"/>
        <v>0</v>
      </c>
      <c r="O5" s="38"/>
      <c r="Q5" s="1"/>
      <c r="R5" s="2">
        <f t="shared" si="7"/>
        <v>0</v>
      </c>
      <c r="S5" s="3">
        <f t="shared" si="1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41337</v>
      </c>
      <c r="B6" s="1"/>
      <c r="C6" s="2">
        <f t="shared" si="3"/>
        <v>0</v>
      </c>
      <c r="D6" s="3"/>
      <c r="E6" s="3">
        <f t="shared" si="4"/>
        <v>0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13"/>
      <c r="N6" s="29">
        <f t="shared" si="0"/>
        <v>0</v>
      </c>
      <c r="O6" s="38"/>
      <c r="Q6" s="1"/>
      <c r="R6" s="2">
        <f t="shared" si="7"/>
        <v>0</v>
      </c>
      <c r="S6" s="3">
        <f t="shared" si="1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41338</v>
      </c>
      <c r="B7" s="1"/>
      <c r="C7" s="2">
        <f t="shared" si="3"/>
        <v>0</v>
      </c>
      <c r="D7" s="3"/>
      <c r="E7" s="3">
        <f t="shared" si="4"/>
        <v>0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13"/>
      <c r="N7" s="29">
        <f t="shared" si="0"/>
        <v>0</v>
      </c>
      <c r="O7" s="62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41339</v>
      </c>
      <c r="B8" s="1"/>
      <c r="C8" s="2">
        <f t="shared" si="3"/>
        <v>0</v>
      </c>
      <c r="D8" s="3"/>
      <c r="E8" s="3">
        <f t="shared" si="4"/>
        <v>0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41340</v>
      </c>
      <c r="B9" s="1"/>
      <c r="C9" s="2">
        <f t="shared" si="3"/>
        <v>0</v>
      </c>
      <c r="D9" s="3"/>
      <c r="E9" s="3">
        <f t="shared" si="4"/>
        <v>0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13"/>
      <c r="N9" s="29">
        <f t="shared" si="0"/>
        <v>0</v>
      </c>
      <c r="O9" s="29"/>
      <c r="Q9" s="1"/>
      <c r="R9" s="2">
        <f t="shared" si="7"/>
        <v>0</v>
      </c>
      <c r="S9" s="3">
        <f t="shared" si="1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41341</v>
      </c>
      <c r="B10" s="1"/>
      <c r="C10" s="2">
        <f t="shared" si="3"/>
        <v>0</v>
      </c>
      <c r="D10" s="3"/>
      <c r="E10" s="3">
        <f t="shared" si="4"/>
        <v>0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13">
        <f>1220+1195+1055+1095</f>
        <v>4565</v>
      </c>
      <c r="N10" s="29">
        <f t="shared" si="0"/>
        <v>32.868000000000002</v>
      </c>
      <c r="O10" s="38"/>
      <c r="Q10" s="1"/>
      <c r="R10" s="2">
        <f t="shared" si="7"/>
        <v>0</v>
      </c>
      <c r="S10" s="3">
        <f t="shared" si="1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41342</v>
      </c>
      <c r="B11" s="1"/>
      <c r="C11" s="2">
        <f t="shared" si="3"/>
        <v>0</v>
      </c>
      <c r="D11" s="3"/>
      <c r="E11" s="3">
        <f t="shared" si="4"/>
        <v>0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13"/>
      <c r="N11" s="29">
        <f t="shared" si="0"/>
        <v>0</v>
      </c>
      <c r="O11" s="38"/>
      <c r="Q11" s="1"/>
      <c r="R11" s="2">
        <f t="shared" si="7"/>
        <v>0</v>
      </c>
      <c r="S11" s="3">
        <f t="shared" si="1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41343</v>
      </c>
      <c r="B12" s="1"/>
      <c r="C12" s="2">
        <f t="shared" si="3"/>
        <v>0</v>
      </c>
      <c r="D12" s="3"/>
      <c r="E12" s="3">
        <f t="shared" si="4"/>
        <v>0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30"/>
      <c r="N12" s="29">
        <f t="shared" si="0"/>
        <v>0</v>
      </c>
      <c r="O12" s="29"/>
      <c r="Q12" s="1"/>
      <c r="R12" s="2">
        <f t="shared" si="7"/>
        <v>0</v>
      </c>
      <c r="S12" s="3">
        <f t="shared" si="1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41344</v>
      </c>
      <c r="B13" s="1"/>
      <c r="C13" s="2">
        <f t="shared" si="3"/>
        <v>0</v>
      </c>
      <c r="D13" s="3"/>
      <c r="E13" s="3">
        <f t="shared" si="4"/>
        <v>0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13"/>
      <c r="N13" s="29">
        <f t="shared" si="0"/>
        <v>0</v>
      </c>
      <c r="O13" s="29"/>
      <c r="Q13" s="1"/>
      <c r="R13" s="2">
        <f t="shared" si="7"/>
        <v>0</v>
      </c>
      <c r="S13" s="3">
        <f t="shared" si="1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41345</v>
      </c>
      <c r="B14" s="1"/>
      <c r="C14" s="2">
        <f t="shared" si="3"/>
        <v>0</v>
      </c>
      <c r="D14" s="3"/>
      <c r="E14" s="3">
        <f t="shared" si="4"/>
        <v>0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13"/>
      <c r="N14" s="29">
        <f t="shared" si="0"/>
        <v>0</v>
      </c>
      <c r="O14" s="29"/>
      <c r="Q14" s="1"/>
      <c r="R14" s="2">
        <f t="shared" si="7"/>
        <v>0</v>
      </c>
      <c r="S14" s="3">
        <f t="shared" si="1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41346</v>
      </c>
      <c r="B15" s="1"/>
      <c r="C15" s="2">
        <f t="shared" si="3"/>
        <v>0</v>
      </c>
      <c r="D15" s="3"/>
      <c r="E15" s="3">
        <f t="shared" si="4"/>
        <v>0</v>
      </c>
      <c r="F15" s="67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7"/>
        <v>0</v>
      </c>
      <c r="S15" s="3">
        <f t="shared" si="1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41347</v>
      </c>
      <c r="B16" s="1"/>
      <c r="C16" s="2">
        <f t="shared" si="3"/>
        <v>0</v>
      </c>
      <c r="D16" s="3"/>
      <c r="E16" s="3">
        <f t="shared" si="4"/>
        <v>0</v>
      </c>
      <c r="F16" s="39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13">
        <f>1170+885+957</f>
        <v>3012</v>
      </c>
      <c r="N16" s="29">
        <f t="shared" si="0"/>
        <v>21.686400000000003</v>
      </c>
      <c r="O16" s="29"/>
      <c r="Q16" s="1"/>
      <c r="R16" s="2">
        <f t="shared" si="7"/>
        <v>0</v>
      </c>
      <c r="S16" s="3">
        <f t="shared" si="1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41348</v>
      </c>
      <c r="B17" s="1"/>
      <c r="C17" s="2">
        <f t="shared" si="3"/>
        <v>0</v>
      </c>
      <c r="D17" s="6"/>
      <c r="E17" s="6">
        <f t="shared" si="4"/>
        <v>0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13"/>
      <c r="N17" s="29">
        <f t="shared" si="0"/>
        <v>0</v>
      </c>
      <c r="O17" s="29"/>
      <c r="Q17" s="1"/>
      <c r="R17" s="2">
        <f t="shared" si="7"/>
        <v>0</v>
      </c>
      <c r="S17" s="3">
        <f t="shared" si="1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41349</v>
      </c>
      <c r="B18" s="1"/>
      <c r="C18" s="2">
        <f t="shared" si="3"/>
        <v>0</v>
      </c>
      <c r="D18" s="3"/>
      <c r="E18" s="3">
        <f t="shared" si="4"/>
        <v>0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13"/>
      <c r="N18" s="29">
        <f t="shared" si="0"/>
        <v>0</v>
      </c>
      <c r="O18" s="29"/>
      <c r="Q18" s="1"/>
      <c r="R18" s="2">
        <f t="shared" si="7"/>
        <v>0</v>
      </c>
      <c r="S18" s="3">
        <f t="shared" si="1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41350</v>
      </c>
      <c r="B19" s="1"/>
      <c r="C19" s="2">
        <f t="shared" si="3"/>
        <v>0</v>
      </c>
      <c r="D19" s="3"/>
      <c r="E19" s="3">
        <f t="shared" si="4"/>
        <v>0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13"/>
      <c r="N19" s="29">
        <f t="shared" si="0"/>
        <v>0</v>
      </c>
      <c r="O19" s="29"/>
      <c r="Q19" s="1"/>
      <c r="R19" s="2">
        <f t="shared" si="7"/>
        <v>0</v>
      </c>
      <c r="S19" s="3">
        <f t="shared" si="1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41351</v>
      </c>
      <c r="B20" s="1"/>
      <c r="C20" s="2">
        <f t="shared" si="3"/>
        <v>0</v>
      </c>
      <c r="D20" s="3"/>
      <c r="E20" s="3">
        <f t="shared" si="4"/>
        <v>0</v>
      </c>
      <c r="F20" s="67" t="s">
        <v>32</v>
      </c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13"/>
      <c r="N20" s="29">
        <f t="shared" si="0"/>
        <v>0</v>
      </c>
      <c r="O20" s="29"/>
      <c r="Q20" s="1"/>
      <c r="R20" s="2">
        <f t="shared" si="7"/>
        <v>0</v>
      </c>
      <c r="S20" s="3">
        <f t="shared" si="1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41352</v>
      </c>
      <c r="B21" s="1"/>
      <c r="C21" s="2">
        <f t="shared" si="3"/>
        <v>0</v>
      </c>
      <c r="D21" s="3"/>
      <c r="E21" s="3">
        <f t="shared" si="4"/>
        <v>0</v>
      </c>
      <c r="F21" s="62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13"/>
      <c r="N21" s="29">
        <f t="shared" si="0"/>
        <v>0</v>
      </c>
      <c r="O21" s="29"/>
      <c r="Q21" s="1"/>
      <c r="R21" s="2">
        <f t="shared" si="7"/>
        <v>0</v>
      </c>
      <c r="S21" s="3">
        <f t="shared" si="1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41353</v>
      </c>
      <c r="B22" s="1"/>
      <c r="C22" s="2">
        <f t="shared" si="3"/>
        <v>0</v>
      </c>
      <c r="D22" s="3"/>
      <c r="E22" s="3">
        <f t="shared" si="4"/>
        <v>0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13"/>
      <c r="N22" s="29">
        <f t="shared" si="0"/>
        <v>0</v>
      </c>
      <c r="O22" s="14"/>
      <c r="Q22" s="1"/>
      <c r="R22" s="2">
        <f t="shared" si="7"/>
        <v>0</v>
      </c>
      <c r="S22" s="3">
        <f t="shared" si="1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41354</v>
      </c>
      <c r="B23" s="1"/>
      <c r="C23" s="2">
        <f t="shared" si="3"/>
        <v>0</v>
      </c>
      <c r="D23" s="3"/>
      <c r="E23" s="3">
        <f t="shared" si="4"/>
        <v>0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13"/>
      <c r="N23" s="16">
        <f t="shared" si="0"/>
        <v>0</v>
      </c>
      <c r="O23" s="29"/>
      <c r="Q23" s="1"/>
      <c r="R23" s="2">
        <f t="shared" si="7"/>
        <v>0</v>
      </c>
      <c r="S23" s="3">
        <f t="shared" si="1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41355</v>
      </c>
      <c r="B24" s="1"/>
      <c r="C24" s="2">
        <f t="shared" si="3"/>
        <v>0</v>
      </c>
      <c r="D24" s="3"/>
      <c r="E24" s="3">
        <f t="shared" si="4"/>
        <v>0</v>
      </c>
      <c r="F24" s="62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13"/>
      <c r="N24" s="16">
        <f t="shared" si="0"/>
        <v>0</v>
      </c>
      <c r="O24" s="29"/>
      <c r="Q24" s="1"/>
      <c r="R24" s="2">
        <f t="shared" si="7"/>
        <v>0</v>
      </c>
      <c r="S24" s="3">
        <f t="shared" si="1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41356</v>
      </c>
      <c r="B25" s="1"/>
      <c r="C25" s="2">
        <f t="shared" si="3"/>
        <v>0</v>
      </c>
      <c r="D25" s="3"/>
      <c r="E25" s="3">
        <f t="shared" si="4"/>
        <v>0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13"/>
      <c r="N25" s="16">
        <f t="shared" si="0"/>
        <v>0</v>
      </c>
      <c r="O25" s="38"/>
      <c r="Q25" s="1"/>
      <c r="R25" s="2">
        <f t="shared" si="7"/>
        <v>0</v>
      </c>
      <c r="S25" s="3">
        <f t="shared" si="1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41357</v>
      </c>
      <c r="B26" s="1">
        <v>12</v>
      </c>
      <c r="C26" s="2">
        <f t="shared" si="3"/>
        <v>12</v>
      </c>
      <c r="D26" s="3">
        <f>1575*8.1/1000</f>
        <v>12.7575</v>
      </c>
      <c r="E26" s="3">
        <f t="shared" si="4"/>
        <v>12.7575</v>
      </c>
      <c r="F26" s="62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13"/>
      <c r="N26" s="16">
        <f t="shared" si="0"/>
        <v>0</v>
      </c>
      <c r="O26" s="29"/>
      <c r="Q26" s="1"/>
      <c r="R26" s="2">
        <f t="shared" si="7"/>
        <v>0</v>
      </c>
      <c r="S26" s="3">
        <f>T26*7.2/1000</f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41358</v>
      </c>
      <c r="B27" s="1">
        <v>14</v>
      </c>
      <c r="C27" s="2">
        <f t="shared" si="3"/>
        <v>26</v>
      </c>
      <c r="D27" s="3">
        <f>2055*8.1/1000</f>
        <v>16.645499999999998</v>
      </c>
      <c r="E27" s="3">
        <f t="shared" si="4"/>
        <v>29.402999999999999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13"/>
      <c r="N27" s="16">
        <f t="shared" si="0"/>
        <v>0</v>
      </c>
      <c r="O27" s="29"/>
      <c r="Q27" s="1"/>
      <c r="R27" s="2">
        <f t="shared" si="7"/>
        <v>0</v>
      </c>
      <c r="S27" s="3">
        <f>T27*7.2/1000</f>
        <v>0</v>
      </c>
      <c r="T27" s="5"/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41359</v>
      </c>
      <c r="B28" s="1">
        <v>14</v>
      </c>
      <c r="C28" s="2">
        <f t="shared" si="3"/>
        <v>40</v>
      </c>
      <c r="D28" s="3">
        <f>1910*8.1/1000</f>
        <v>15.471</v>
      </c>
      <c r="E28" s="3">
        <f t="shared" si="4"/>
        <v>44.873999999999995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13"/>
      <c r="N28" s="16">
        <f t="shared" si="0"/>
        <v>0</v>
      </c>
      <c r="O28" s="29"/>
      <c r="Q28" s="1"/>
      <c r="R28" s="2">
        <f t="shared" si="7"/>
        <v>0</v>
      </c>
      <c r="S28" s="3">
        <f>T28*7.2/1000</f>
        <v>3.456</v>
      </c>
      <c r="T28" s="5">
        <v>480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41360</v>
      </c>
      <c r="B29" s="1"/>
      <c r="C29" s="2">
        <f t="shared" si="3"/>
        <v>40</v>
      </c>
      <c r="D29" s="3"/>
      <c r="E29" s="3">
        <f t="shared" si="4"/>
        <v>44.873999999999995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13"/>
      <c r="N29" s="16">
        <f t="shared" si="0"/>
        <v>0</v>
      </c>
      <c r="O29" s="29"/>
      <c r="Q29" s="1"/>
      <c r="R29" s="2">
        <f t="shared" si="7"/>
        <v>0</v>
      </c>
      <c r="S29" s="3">
        <f>T29*7.2/1000</f>
        <v>0</v>
      </c>
      <c r="T29" s="5"/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41361</v>
      </c>
      <c r="B30" s="1"/>
      <c r="C30" s="2">
        <f t="shared" si="3"/>
        <v>40</v>
      </c>
      <c r="D30" s="3"/>
      <c r="E30" s="3">
        <f t="shared" si="4"/>
        <v>44.873999999999995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13"/>
      <c r="N30" s="16">
        <f t="shared" si="0"/>
        <v>0</v>
      </c>
      <c r="O30" s="14"/>
      <c r="Q30" s="1"/>
      <c r="R30" s="2">
        <f t="shared" si="7"/>
        <v>0</v>
      </c>
      <c r="S30" s="3">
        <f>T30*7.2/1000</f>
        <v>0</v>
      </c>
      <c r="T30" s="5"/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41362</v>
      </c>
      <c r="B31" s="1">
        <v>14</v>
      </c>
      <c r="C31" s="2">
        <f t="shared" si="3"/>
        <v>54</v>
      </c>
      <c r="D31" s="7">
        <f>630*8.1/1000</f>
        <v>5.1029999999999998</v>
      </c>
      <c r="E31" s="3">
        <f t="shared" si="4"/>
        <v>49.976999999999997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13"/>
      <c r="N31" s="16">
        <f t="shared" si="0"/>
        <v>0</v>
      </c>
      <c r="O31" s="29"/>
      <c r="Q31" s="1"/>
      <c r="R31" s="2">
        <f t="shared" si="7"/>
        <v>0</v>
      </c>
      <c r="S31" s="3">
        <f>T31*9.6/1000</f>
        <v>3.1487999999999996</v>
      </c>
      <c r="T31" s="5">
        <f>268+60</f>
        <v>328</v>
      </c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41363</v>
      </c>
      <c r="B32" s="1">
        <v>14</v>
      </c>
      <c r="C32" s="2">
        <f t="shared" si="3"/>
        <v>68</v>
      </c>
      <c r="D32" s="7">
        <f>1895*8.1/1000</f>
        <v>15.349500000000001</v>
      </c>
      <c r="E32" s="3">
        <f t="shared" si="4"/>
        <v>65.326499999999996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13"/>
      <c r="N32" s="16">
        <f t="shared" si="0"/>
        <v>0</v>
      </c>
      <c r="O32" s="29"/>
      <c r="Q32" s="1"/>
      <c r="R32" s="2">
        <f t="shared" si="7"/>
        <v>0</v>
      </c>
      <c r="S32" s="3">
        <f>T32*9.6/1000</f>
        <v>10.368</v>
      </c>
      <c r="T32" s="5">
        <f>960+120</f>
        <v>1080</v>
      </c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41364</v>
      </c>
      <c r="B33" s="1">
        <v>10</v>
      </c>
      <c r="C33" s="2">
        <f>B33+C32</f>
        <v>78</v>
      </c>
      <c r="D33" s="7">
        <f>1685*8.1/1000</f>
        <v>13.6485</v>
      </c>
      <c r="E33" s="3">
        <f>D33+E32</f>
        <v>78.974999999999994</v>
      </c>
      <c r="F33" s="62"/>
      <c r="G33" s="1"/>
      <c r="H33" s="2">
        <f>H32+G33</f>
        <v>0</v>
      </c>
      <c r="I33" s="3">
        <f>J33*7.2/1000</f>
        <v>0</v>
      </c>
      <c r="J33" s="5"/>
      <c r="K33" s="62"/>
      <c r="L33" s="42"/>
      <c r="M33" s="13"/>
      <c r="N33" s="16">
        <f>+M33*7.2/1000</f>
        <v>0</v>
      </c>
      <c r="O33" s="29"/>
      <c r="Q33" s="1"/>
      <c r="R33" s="2">
        <f>R32+Q33</f>
        <v>0</v>
      </c>
      <c r="S33" s="3">
        <f>T33*9.6/1000</f>
        <v>2.88</v>
      </c>
      <c r="T33" s="5">
        <v>300</v>
      </c>
      <c r="U33" s="62"/>
      <c r="W33" s="13"/>
      <c r="X33" s="63">
        <f>+W33*9.6/1000</f>
        <v>0</v>
      </c>
      <c r="Y33" s="29"/>
    </row>
    <row r="34" spans="1:25" ht="21" customHeight="1" thickBot="1" x14ac:dyDescent="0.3">
      <c r="A34" s="17" t="s">
        <v>8</v>
      </c>
      <c r="B34" s="40">
        <f>SUM(B3:B33)</f>
        <v>78</v>
      </c>
      <c r="C34" s="40">
        <f>+B34</f>
        <v>78</v>
      </c>
      <c r="D34" s="24">
        <f>SUM(D3:D33)</f>
        <v>78.974999999999994</v>
      </c>
      <c r="E34" s="23">
        <f>+D34</f>
        <v>78.974999999999994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29">
        <f>SUM(M3:M33)</f>
        <v>7577</v>
      </c>
      <c r="N34" s="63">
        <f>SUM(N3:N33)</f>
        <v>54.554400000000001</v>
      </c>
      <c r="O34" s="16"/>
      <c r="Q34" s="26">
        <f>SUM(Q3:Q33)</f>
        <v>0</v>
      </c>
      <c r="R34" s="40">
        <f>+Q34</f>
        <v>0</v>
      </c>
      <c r="S34" s="23">
        <f>SUM(S3:S33)</f>
        <v>29.968799999999998</v>
      </c>
      <c r="T34" s="27">
        <f>SUM(T3:T33)</f>
        <v>3593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M32" sqref="M32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22</v>
      </c>
      <c r="R1" s="219"/>
      <c r="S1" s="219"/>
      <c r="T1" s="219"/>
      <c r="U1" s="220"/>
      <c r="W1" s="37" t="s">
        <v>30</v>
      </c>
    </row>
    <row r="2" spans="1:2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41395</v>
      </c>
      <c r="B3" s="1"/>
      <c r="C3" s="2">
        <f>B3</f>
        <v>0</v>
      </c>
      <c r="D3" s="3"/>
      <c r="E3" s="3">
        <f>D3</f>
        <v>0</v>
      </c>
      <c r="F3" s="4"/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29">
        <f t="shared" ref="N3:N33" si="0">+M3*7.2/1000</f>
        <v>0</v>
      </c>
      <c r="O3" s="62"/>
      <c r="Q3" s="1"/>
      <c r="R3" s="2">
        <f>Q3</f>
        <v>0</v>
      </c>
      <c r="S3" s="3">
        <f t="shared" ref="S3:S25" si="1">T3*7.2/1000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41396</v>
      </c>
      <c r="B4" s="1"/>
      <c r="C4" s="2">
        <f t="shared" ref="C4:C33" si="3">B4+C3</f>
        <v>0</v>
      </c>
      <c r="D4" s="3"/>
      <c r="E4" s="3">
        <f t="shared" ref="E4:E33" si="4">D4+E3</f>
        <v>0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44"/>
      <c r="N4" s="29">
        <f t="shared" si="0"/>
        <v>0</v>
      </c>
      <c r="O4" s="38"/>
      <c r="Q4" s="1"/>
      <c r="R4" s="2">
        <f t="shared" ref="R4:R33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41397</v>
      </c>
      <c r="B5" s="1"/>
      <c r="C5" s="2">
        <f t="shared" si="3"/>
        <v>0</v>
      </c>
      <c r="D5" s="3"/>
      <c r="E5" s="3">
        <f t="shared" si="4"/>
        <v>0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13"/>
      <c r="N5" s="29">
        <f t="shared" si="0"/>
        <v>0</v>
      </c>
      <c r="O5" s="38"/>
      <c r="Q5" s="1"/>
      <c r="R5" s="2">
        <f t="shared" si="7"/>
        <v>0</v>
      </c>
      <c r="S5" s="3">
        <f t="shared" si="1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41398</v>
      </c>
      <c r="B6" s="1"/>
      <c r="C6" s="2">
        <f t="shared" si="3"/>
        <v>0</v>
      </c>
      <c r="D6" s="3"/>
      <c r="E6" s="3">
        <f t="shared" si="4"/>
        <v>0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13"/>
      <c r="N6" s="29">
        <f t="shared" si="0"/>
        <v>0</v>
      </c>
      <c r="O6" s="38"/>
      <c r="Q6" s="1"/>
      <c r="R6" s="2">
        <f t="shared" si="7"/>
        <v>0</v>
      </c>
      <c r="S6" s="3">
        <f t="shared" si="1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41399</v>
      </c>
      <c r="B7" s="1"/>
      <c r="C7" s="2">
        <f t="shared" si="3"/>
        <v>0</v>
      </c>
      <c r="D7" s="3"/>
      <c r="E7" s="3">
        <f t="shared" si="4"/>
        <v>0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68"/>
      <c r="N7" s="29">
        <f t="shared" si="0"/>
        <v>0</v>
      </c>
      <c r="O7" s="68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41400</v>
      </c>
      <c r="B8" s="1">
        <v>3</v>
      </c>
      <c r="C8" s="2">
        <f t="shared" si="3"/>
        <v>3</v>
      </c>
      <c r="D8" s="3">
        <f>390*8.1/1000</f>
        <v>3.1589999999999998</v>
      </c>
      <c r="E8" s="3">
        <f t="shared" si="4"/>
        <v>3.1589999999999998</v>
      </c>
      <c r="F8" s="117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66"/>
      <c r="N8" s="29">
        <f t="shared" si="0"/>
        <v>0</v>
      </c>
      <c r="O8" s="14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41401</v>
      </c>
      <c r="B9" s="1">
        <v>18</v>
      </c>
      <c r="C9" s="2">
        <f t="shared" si="3"/>
        <v>21</v>
      </c>
      <c r="D9" s="3">
        <f>(642+870)*8.1/1000</f>
        <v>12.247199999999999</v>
      </c>
      <c r="E9" s="3">
        <f t="shared" si="4"/>
        <v>15.406199999999998</v>
      </c>
      <c r="F9" s="117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13"/>
      <c r="N9" s="29">
        <f t="shared" si="0"/>
        <v>0</v>
      </c>
      <c r="O9" s="29"/>
      <c r="Q9" s="1"/>
      <c r="R9" s="2">
        <f t="shared" si="7"/>
        <v>0</v>
      </c>
      <c r="S9" s="3">
        <f t="shared" si="1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41402</v>
      </c>
      <c r="B10" s="1">
        <v>18</v>
      </c>
      <c r="C10" s="2">
        <f t="shared" si="3"/>
        <v>39</v>
      </c>
      <c r="D10" s="3">
        <f>(1168+1170)*8.1/1000</f>
        <v>18.937799999999999</v>
      </c>
      <c r="E10" s="3">
        <f t="shared" si="4"/>
        <v>34.343999999999994</v>
      </c>
      <c r="F10" s="117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13"/>
      <c r="N10" s="29">
        <f t="shared" si="0"/>
        <v>0</v>
      </c>
      <c r="O10" s="38"/>
      <c r="Q10" s="1">
        <v>6</v>
      </c>
      <c r="R10" s="2">
        <f t="shared" si="7"/>
        <v>6</v>
      </c>
      <c r="S10" s="3">
        <f t="shared" si="1"/>
        <v>5.2919999999999998</v>
      </c>
      <c r="T10" s="5">
        <v>735</v>
      </c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41403</v>
      </c>
      <c r="B11" s="1">
        <v>18</v>
      </c>
      <c r="C11" s="2">
        <f t="shared" si="3"/>
        <v>57</v>
      </c>
      <c r="D11" s="3">
        <f>(1270+1265)*8.1/1000</f>
        <v>20.5335</v>
      </c>
      <c r="E11" s="3">
        <f t="shared" si="4"/>
        <v>54.877499999999998</v>
      </c>
      <c r="F11" s="117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13">
        <f>435+720+975</f>
        <v>2130</v>
      </c>
      <c r="N11" s="29">
        <f t="shared" si="0"/>
        <v>15.336</v>
      </c>
      <c r="O11" s="38"/>
      <c r="Q11" s="1">
        <v>8</v>
      </c>
      <c r="R11" s="2">
        <f t="shared" si="7"/>
        <v>14</v>
      </c>
      <c r="S11" s="3">
        <f t="shared" si="1"/>
        <v>10.44</v>
      </c>
      <c r="T11" s="5">
        <v>1450</v>
      </c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41404</v>
      </c>
      <c r="B12" s="1">
        <v>18</v>
      </c>
      <c r="C12" s="2">
        <f t="shared" si="3"/>
        <v>75</v>
      </c>
      <c r="D12" s="3">
        <f>(1220+1200)*8.1/1000</f>
        <v>19.602</v>
      </c>
      <c r="E12" s="3">
        <f t="shared" si="4"/>
        <v>74.479500000000002</v>
      </c>
      <c r="F12" s="117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30"/>
      <c r="N12" s="29">
        <f t="shared" si="0"/>
        <v>0</v>
      </c>
      <c r="O12" s="29"/>
      <c r="Q12" s="1">
        <v>8</v>
      </c>
      <c r="R12" s="2">
        <f t="shared" si="7"/>
        <v>22</v>
      </c>
      <c r="S12" s="3">
        <f t="shared" si="1"/>
        <v>9.0503999999999998</v>
      </c>
      <c r="T12" s="5">
        <v>1257</v>
      </c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41405</v>
      </c>
      <c r="B13" s="1">
        <v>18</v>
      </c>
      <c r="C13" s="2">
        <f t="shared" si="3"/>
        <v>93</v>
      </c>
      <c r="D13" s="3">
        <f>(1125+1125)*8.1/1000</f>
        <v>18.225000000000001</v>
      </c>
      <c r="E13" s="3">
        <f t="shared" si="4"/>
        <v>92.704499999999996</v>
      </c>
      <c r="F13" s="117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13"/>
      <c r="N13" s="29">
        <f t="shared" si="0"/>
        <v>0</v>
      </c>
      <c r="O13" s="29"/>
      <c r="Q13" s="1">
        <v>8</v>
      </c>
      <c r="R13" s="2">
        <f t="shared" si="7"/>
        <v>30</v>
      </c>
      <c r="S13" s="3">
        <f t="shared" si="1"/>
        <v>5.94</v>
      </c>
      <c r="T13" s="5">
        <v>825</v>
      </c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41406</v>
      </c>
      <c r="B14" s="1">
        <v>9</v>
      </c>
      <c r="C14" s="2">
        <f t="shared" si="3"/>
        <v>102</v>
      </c>
      <c r="D14" s="3">
        <f>1200*8.1/1000</f>
        <v>9.7200000000000006</v>
      </c>
      <c r="E14" s="3">
        <f t="shared" si="4"/>
        <v>102.42449999999999</v>
      </c>
      <c r="F14" s="117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13"/>
      <c r="N14" s="29">
        <f t="shared" si="0"/>
        <v>0</v>
      </c>
      <c r="O14" s="29"/>
      <c r="Q14" s="1"/>
      <c r="R14" s="2">
        <f t="shared" si="7"/>
        <v>30</v>
      </c>
      <c r="S14" s="3">
        <f t="shared" si="1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41407</v>
      </c>
      <c r="B15" s="1"/>
      <c r="C15" s="2">
        <f t="shared" si="3"/>
        <v>102</v>
      </c>
      <c r="D15" s="3"/>
      <c r="E15" s="3">
        <f t="shared" si="4"/>
        <v>102.42449999999999</v>
      </c>
      <c r="F15" s="67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13"/>
      <c r="N15" s="29">
        <f t="shared" si="0"/>
        <v>0</v>
      </c>
      <c r="O15" s="38"/>
      <c r="Q15" s="1"/>
      <c r="R15" s="2">
        <f t="shared" si="7"/>
        <v>30</v>
      </c>
      <c r="S15" s="3">
        <f t="shared" si="1"/>
        <v>3.528</v>
      </c>
      <c r="T15" s="5">
        <v>490</v>
      </c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41408</v>
      </c>
      <c r="B16" s="1"/>
      <c r="C16" s="2">
        <f t="shared" si="3"/>
        <v>102</v>
      </c>
      <c r="D16" s="3"/>
      <c r="E16" s="3">
        <f t="shared" si="4"/>
        <v>102.42449999999999</v>
      </c>
      <c r="F16" s="39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13"/>
      <c r="N16" s="29">
        <f t="shared" si="0"/>
        <v>0</v>
      </c>
      <c r="O16" s="29"/>
      <c r="Q16" s="1"/>
      <c r="R16" s="2">
        <f t="shared" si="7"/>
        <v>30</v>
      </c>
      <c r="S16" s="3">
        <f t="shared" si="1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41409</v>
      </c>
      <c r="B17" s="1"/>
      <c r="C17" s="2">
        <f t="shared" si="3"/>
        <v>102</v>
      </c>
      <c r="D17" s="6"/>
      <c r="E17" s="6">
        <f t="shared" si="4"/>
        <v>102.42449999999999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13"/>
      <c r="N17" s="29">
        <f t="shared" si="0"/>
        <v>0</v>
      </c>
      <c r="O17" s="29"/>
      <c r="Q17" s="1"/>
      <c r="R17" s="2">
        <f t="shared" si="7"/>
        <v>30</v>
      </c>
      <c r="S17" s="3">
        <f t="shared" si="1"/>
        <v>6.48</v>
      </c>
      <c r="T17" s="5">
        <v>900</v>
      </c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41410</v>
      </c>
      <c r="B18" s="1"/>
      <c r="C18" s="2">
        <f t="shared" si="3"/>
        <v>102</v>
      </c>
      <c r="D18" s="3"/>
      <c r="E18" s="3">
        <f t="shared" si="4"/>
        <v>102.42449999999999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13"/>
      <c r="N18" s="29">
        <f t="shared" si="0"/>
        <v>0</v>
      </c>
      <c r="O18" s="29"/>
      <c r="Q18" s="1">
        <v>8</v>
      </c>
      <c r="R18" s="2">
        <f t="shared" si="7"/>
        <v>38</v>
      </c>
      <c r="S18" s="3">
        <f t="shared" si="1"/>
        <v>4.8600000000000003</v>
      </c>
      <c r="T18" s="5">
        <f>525+150</f>
        <v>675</v>
      </c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41411</v>
      </c>
      <c r="B19" s="1"/>
      <c r="C19" s="2">
        <f>B19+C18</f>
        <v>102</v>
      </c>
      <c r="D19" s="3"/>
      <c r="E19" s="3">
        <f t="shared" si="4"/>
        <v>102.42449999999999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13"/>
      <c r="N19" s="29">
        <f t="shared" si="0"/>
        <v>0</v>
      </c>
      <c r="O19" s="29"/>
      <c r="Q19" s="1">
        <v>8</v>
      </c>
      <c r="R19" s="2">
        <f t="shared" si="7"/>
        <v>46</v>
      </c>
      <c r="S19" s="3">
        <f t="shared" si="1"/>
        <v>4.8600000000000003</v>
      </c>
      <c r="T19" s="5">
        <v>675</v>
      </c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41412</v>
      </c>
      <c r="B20" s="1"/>
      <c r="C20" s="2">
        <f t="shared" si="3"/>
        <v>102</v>
      </c>
      <c r="D20" s="3"/>
      <c r="E20" s="3">
        <f t="shared" si="4"/>
        <v>102.42449999999999</v>
      </c>
      <c r="F20" s="67" t="s">
        <v>32</v>
      </c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13"/>
      <c r="N20" s="29">
        <f t="shared" si="0"/>
        <v>0</v>
      </c>
      <c r="O20" s="29"/>
      <c r="Q20" s="1">
        <v>8</v>
      </c>
      <c r="R20" s="2">
        <f t="shared" si="7"/>
        <v>54</v>
      </c>
      <c r="S20" s="3">
        <f t="shared" si="1"/>
        <v>6.444</v>
      </c>
      <c r="T20" s="5">
        <f>595+300</f>
        <v>895</v>
      </c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41413</v>
      </c>
      <c r="B21" s="1"/>
      <c r="C21" s="2">
        <f t="shared" si="3"/>
        <v>102</v>
      </c>
      <c r="D21" s="3"/>
      <c r="E21" s="3">
        <f t="shared" si="4"/>
        <v>102.42449999999999</v>
      </c>
      <c r="F21" s="62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13"/>
      <c r="N21" s="29">
        <f t="shared" si="0"/>
        <v>0</v>
      </c>
      <c r="O21" s="29"/>
      <c r="Q21" s="1">
        <v>8</v>
      </c>
      <c r="R21" s="2">
        <f t="shared" si="7"/>
        <v>62</v>
      </c>
      <c r="S21" s="3">
        <f t="shared" si="1"/>
        <v>6.48</v>
      </c>
      <c r="T21" s="5">
        <v>900</v>
      </c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41414</v>
      </c>
      <c r="B22" s="1"/>
      <c r="C22" s="2">
        <f t="shared" si="3"/>
        <v>102</v>
      </c>
      <c r="D22" s="3"/>
      <c r="E22" s="3">
        <f t="shared" si="4"/>
        <v>102.42449999999999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13">
        <f>1312+1315+1425+1420</f>
        <v>5472</v>
      </c>
      <c r="N22" s="63">
        <f t="shared" si="0"/>
        <v>39.398400000000002</v>
      </c>
      <c r="O22" s="14"/>
      <c r="Q22" s="1">
        <v>8</v>
      </c>
      <c r="R22" s="2">
        <f t="shared" si="7"/>
        <v>70</v>
      </c>
      <c r="S22" s="3">
        <f t="shared" si="1"/>
        <v>7.1639999999999997</v>
      </c>
      <c r="T22" s="5">
        <v>995</v>
      </c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41415</v>
      </c>
      <c r="B23" s="1"/>
      <c r="C23" s="2">
        <f t="shared" si="3"/>
        <v>102</v>
      </c>
      <c r="D23" s="3"/>
      <c r="E23" s="3">
        <f t="shared" si="4"/>
        <v>102.42449999999999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13"/>
      <c r="N23" s="114">
        <f t="shared" si="0"/>
        <v>0</v>
      </c>
      <c r="O23" s="29"/>
      <c r="Q23" s="1">
        <v>8</v>
      </c>
      <c r="R23" s="2">
        <f t="shared" si="7"/>
        <v>78</v>
      </c>
      <c r="S23" s="3">
        <f t="shared" si="1"/>
        <v>7.0056000000000003</v>
      </c>
      <c r="T23" s="5">
        <v>973</v>
      </c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41416</v>
      </c>
      <c r="B24" s="1"/>
      <c r="C24" s="2">
        <f t="shared" si="3"/>
        <v>102</v>
      </c>
      <c r="D24" s="3"/>
      <c r="E24" s="3">
        <f t="shared" si="4"/>
        <v>102.42449999999999</v>
      </c>
      <c r="F24" s="62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13"/>
      <c r="N24" s="114">
        <f t="shared" si="0"/>
        <v>0</v>
      </c>
      <c r="O24" s="29"/>
      <c r="Q24" s="1">
        <v>8</v>
      </c>
      <c r="R24" s="2">
        <f t="shared" si="7"/>
        <v>86</v>
      </c>
      <c r="S24" s="3">
        <f t="shared" si="1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41417</v>
      </c>
      <c r="B25" s="1"/>
      <c r="C25" s="2">
        <f t="shared" si="3"/>
        <v>102</v>
      </c>
      <c r="D25" s="3"/>
      <c r="E25" s="3">
        <f t="shared" si="4"/>
        <v>102.42449999999999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13"/>
      <c r="N25" s="114">
        <f t="shared" si="0"/>
        <v>0</v>
      </c>
      <c r="O25" s="38"/>
      <c r="Q25" s="1">
        <v>8</v>
      </c>
      <c r="R25" s="2">
        <f t="shared" si="7"/>
        <v>94</v>
      </c>
      <c r="S25" s="3">
        <f t="shared" si="1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41418</v>
      </c>
      <c r="B26" s="1"/>
      <c r="C26" s="2">
        <f t="shared" si="3"/>
        <v>102</v>
      </c>
      <c r="D26" s="3"/>
      <c r="E26" s="3">
        <f t="shared" si="4"/>
        <v>102.42449999999999</v>
      </c>
      <c r="F26" s="62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13"/>
      <c r="N26" s="114">
        <f t="shared" si="0"/>
        <v>0</v>
      </c>
      <c r="O26" s="29"/>
      <c r="Q26" s="1">
        <v>8</v>
      </c>
      <c r="R26" s="2">
        <f t="shared" si="7"/>
        <v>102</v>
      </c>
      <c r="S26" s="3">
        <f>T26*7.2/1000</f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41419</v>
      </c>
      <c r="B27" s="1"/>
      <c r="C27" s="2">
        <f t="shared" si="3"/>
        <v>102</v>
      </c>
      <c r="D27" s="3"/>
      <c r="E27" s="3">
        <f t="shared" si="4"/>
        <v>102.42449999999999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13"/>
      <c r="N27" s="114">
        <f t="shared" si="0"/>
        <v>0</v>
      </c>
      <c r="O27" s="29"/>
      <c r="Q27" s="1"/>
      <c r="R27" s="2">
        <f t="shared" si="7"/>
        <v>102</v>
      </c>
      <c r="S27" s="3">
        <f>T27*7.2/1000</f>
        <v>0</v>
      </c>
      <c r="T27" s="5"/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41420</v>
      </c>
      <c r="B28" s="1"/>
      <c r="C28" s="2">
        <f t="shared" si="3"/>
        <v>102</v>
      </c>
      <c r="D28" s="3"/>
      <c r="E28" s="3">
        <f t="shared" si="4"/>
        <v>102.42449999999999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13"/>
      <c r="N28" s="114">
        <f t="shared" si="0"/>
        <v>0</v>
      </c>
      <c r="O28" s="29"/>
      <c r="Q28" s="1"/>
      <c r="R28" s="2">
        <f t="shared" si="7"/>
        <v>102</v>
      </c>
      <c r="S28" s="3">
        <f>T28*7.2/1000</f>
        <v>3.78</v>
      </c>
      <c r="T28" s="5">
        <v>525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41421</v>
      </c>
      <c r="B29" s="1"/>
      <c r="C29" s="2">
        <f t="shared" si="3"/>
        <v>102</v>
      </c>
      <c r="D29" s="3"/>
      <c r="E29" s="3">
        <f t="shared" si="4"/>
        <v>102.42449999999999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13">
        <v>2754</v>
      </c>
      <c r="N29" s="63">
        <f t="shared" si="0"/>
        <v>19.828799999999998</v>
      </c>
      <c r="O29" s="29"/>
      <c r="Q29" s="1"/>
      <c r="R29" s="2">
        <f t="shared" si="7"/>
        <v>102</v>
      </c>
      <c r="S29" s="3">
        <f>T29*7.2/1000</f>
        <v>5.58</v>
      </c>
      <c r="T29" s="5">
        <v>775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41422</v>
      </c>
      <c r="B30" s="1"/>
      <c r="C30" s="2">
        <f t="shared" si="3"/>
        <v>102</v>
      </c>
      <c r="D30" s="3"/>
      <c r="E30" s="3">
        <f t="shared" si="4"/>
        <v>102.42449999999999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13"/>
      <c r="N30" s="29">
        <f t="shared" si="0"/>
        <v>0</v>
      </c>
      <c r="O30" s="14"/>
      <c r="Q30" s="1"/>
      <c r="R30" s="2">
        <f t="shared" si="7"/>
        <v>102</v>
      </c>
      <c r="S30" s="3">
        <f>T30*7.2/1000</f>
        <v>5.8680000000000003</v>
      </c>
      <c r="T30" s="5">
        <v>815</v>
      </c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41423</v>
      </c>
      <c r="B31" s="1"/>
      <c r="C31" s="2">
        <f t="shared" si="3"/>
        <v>102</v>
      </c>
      <c r="D31" s="7"/>
      <c r="E31" s="3">
        <f t="shared" si="4"/>
        <v>102.42449999999999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13"/>
      <c r="N31" s="29">
        <f t="shared" si="0"/>
        <v>0</v>
      </c>
      <c r="O31" s="29"/>
      <c r="Q31" s="1"/>
      <c r="R31" s="2">
        <f t="shared" si="7"/>
        <v>102</v>
      </c>
      <c r="S31" s="3">
        <f>T31*9.6/1000</f>
        <v>10.9824</v>
      </c>
      <c r="T31" s="5">
        <v>1144</v>
      </c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41424</v>
      </c>
      <c r="B32" s="1"/>
      <c r="C32" s="2">
        <f t="shared" si="3"/>
        <v>102</v>
      </c>
      <c r="D32" s="7"/>
      <c r="E32" s="3">
        <f t="shared" si="4"/>
        <v>102.42449999999999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13">
        <f>1264+1265+1144</f>
        <v>3673</v>
      </c>
      <c r="N32" s="29">
        <f t="shared" si="0"/>
        <v>26.445600000000002</v>
      </c>
      <c r="O32" s="29"/>
      <c r="Q32" s="1"/>
      <c r="R32" s="2">
        <f t="shared" si="7"/>
        <v>102</v>
      </c>
      <c r="S32" s="3">
        <f>T32*9.6/1000</f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41425</v>
      </c>
      <c r="B33" s="1"/>
      <c r="C33" s="2">
        <f t="shared" si="3"/>
        <v>102</v>
      </c>
      <c r="D33" s="53"/>
      <c r="E33" s="3">
        <f t="shared" si="4"/>
        <v>102.42449999999999</v>
      </c>
      <c r="F33" s="69"/>
      <c r="G33" s="55"/>
      <c r="H33" s="2"/>
      <c r="I33" s="53"/>
      <c r="J33" s="56"/>
      <c r="K33" s="69"/>
      <c r="L33" s="42"/>
      <c r="M33" s="13"/>
      <c r="N33" s="29">
        <f t="shared" si="0"/>
        <v>0</v>
      </c>
      <c r="O33" s="29"/>
      <c r="Q33" s="55"/>
      <c r="R33" s="2">
        <f t="shared" si="7"/>
        <v>102</v>
      </c>
      <c r="S33" s="3">
        <f>T33*9.6/1000</f>
        <v>0</v>
      </c>
      <c r="T33" s="56"/>
      <c r="U33" s="69"/>
      <c r="W33" s="13"/>
      <c r="X33" s="63"/>
      <c r="Y33" s="29"/>
    </row>
    <row r="34" spans="1:25" ht="21" customHeight="1" thickBot="1" x14ac:dyDescent="0.3">
      <c r="A34" s="17" t="s">
        <v>8</v>
      </c>
      <c r="B34" s="40">
        <f>SUM(B3:B33)</f>
        <v>102</v>
      </c>
      <c r="C34" s="40">
        <f>+B34</f>
        <v>102</v>
      </c>
      <c r="D34" s="40">
        <f>SUM(D3:D33)</f>
        <v>102.42449999999999</v>
      </c>
      <c r="E34" s="40">
        <f>SUM(E3:E33)</f>
        <v>2323.4607000000005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29">
        <f>SUM(M3:M33)</f>
        <v>14029</v>
      </c>
      <c r="N34" s="63">
        <f>SUM(N3:N33)</f>
        <v>101.00879999999999</v>
      </c>
      <c r="O34" s="16"/>
      <c r="Q34" s="26">
        <f>SUM(Q3:Q32)</f>
        <v>102</v>
      </c>
      <c r="R34" s="70">
        <f>+Q34</f>
        <v>102</v>
      </c>
      <c r="S34" s="23">
        <f>SUM(S3:S32)</f>
        <v>103.7544</v>
      </c>
      <c r="T34" s="27">
        <f>SUM(T3:T32)</f>
        <v>14029</v>
      </c>
      <c r="U34" s="28"/>
      <c r="W34" s="29">
        <f>SUM(W3:W32)</f>
        <v>0</v>
      </c>
      <c r="X34" s="63">
        <f>SUM(X3:X32)</f>
        <v>0</v>
      </c>
      <c r="Y34" s="16"/>
    </row>
    <row r="35" spans="1:25" x14ac:dyDescent="0.2">
      <c r="D35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1" workbookViewId="0">
      <selection activeCell="D34" sqref="D34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22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41426</v>
      </c>
      <c r="B3" s="1">
        <v>8</v>
      </c>
      <c r="C3" s="87">
        <f>B3</f>
        <v>8</v>
      </c>
      <c r="D3" s="3">
        <f>765*8.1/1000</f>
        <v>6.1965000000000003</v>
      </c>
      <c r="E3" s="3">
        <f>D3</f>
        <v>6.1965000000000003</v>
      </c>
      <c r="F3" s="86" t="s">
        <v>36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3">
        <f t="shared" ref="S3:S25" si="1">T3*7.2/1000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41427</v>
      </c>
      <c r="B4" s="1">
        <v>14</v>
      </c>
      <c r="C4" s="2">
        <f t="shared" ref="C4:C33" si="3">B4+C3</f>
        <v>22</v>
      </c>
      <c r="D4" s="3">
        <f>1915*8.1/1000</f>
        <v>15.5115</v>
      </c>
      <c r="E4" s="3">
        <f t="shared" ref="E4:E33" si="4">D4+E3</f>
        <v>21.707999999999998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41428</v>
      </c>
      <c r="B5" s="1">
        <v>14</v>
      </c>
      <c r="C5" s="2">
        <f t="shared" si="3"/>
        <v>36</v>
      </c>
      <c r="D5" s="3">
        <f>1445*8.1/1000</f>
        <v>11.704499999999999</v>
      </c>
      <c r="E5" s="3">
        <f t="shared" si="4"/>
        <v>33.412499999999994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77"/>
      <c r="N5" s="29">
        <f t="shared" si="0"/>
        <v>0</v>
      </c>
      <c r="O5" s="76"/>
      <c r="Q5" s="1"/>
      <c r="R5" s="2">
        <f t="shared" si="7"/>
        <v>0</v>
      </c>
      <c r="S5" s="3">
        <f t="shared" si="1"/>
        <v>3.78</v>
      </c>
      <c r="T5" s="5">
        <v>525</v>
      </c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41429</v>
      </c>
      <c r="B6" s="1">
        <v>14</v>
      </c>
      <c r="C6" s="2">
        <f t="shared" si="3"/>
        <v>50</v>
      </c>
      <c r="D6" s="3">
        <f>1905*8.1/1000</f>
        <v>15.4305</v>
      </c>
      <c r="E6" s="3">
        <f t="shared" si="4"/>
        <v>48.842999999999996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77"/>
      <c r="N6" s="29">
        <f t="shared" si="0"/>
        <v>0</v>
      </c>
      <c r="O6" s="76"/>
      <c r="Q6" s="1"/>
      <c r="R6" s="2">
        <f t="shared" si="7"/>
        <v>0</v>
      </c>
      <c r="S6" s="3">
        <f t="shared" si="1"/>
        <v>7.2720000000000002</v>
      </c>
      <c r="T6" s="5">
        <f>335+675</f>
        <v>1010</v>
      </c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41430</v>
      </c>
      <c r="B7" s="1">
        <v>14</v>
      </c>
      <c r="C7" s="2">
        <f t="shared" si="3"/>
        <v>64</v>
      </c>
      <c r="D7" s="3">
        <f>1555*8.1/1000</f>
        <v>12.595499999999999</v>
      </c>
      <c r="E7" s="3">
        <f t="shared" si="4"/>
        <v>61.438499999999998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78"/>
      <c r="N7" s="29">
        <f t="shared" si="0"/>
        <v>0</v>
      </c>
      <c r="O7" s="68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41431</v>
      </c>
      <c r="B8" s="1">
        <v>14</v>
      </c>
      <c r="C8" s="2">
        <f t="shared" si="3"/>
        <v>78</v>
      </c>
      <c r="D8" s="3">
        <f>1115*8.1/1000</f>
        <v>9.0314999999999994</v>
      </c>
      <c r="E8" s="3">
        <f t="shared" si="4"/>
        <v>70.47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41432</v>
      </c>
      <c r="B9" s="1"/>
      <c r="C9" s="2">
        <f t="shared" si="3"/>
        <v>78</v>
      </c>
      <c r="D9" s="3">
        <f>1329*8.1/1000</f>
        <v>10.764899999999999</v>
      </c>
      <c r="E9" s="3">
        <f t="shared" si="4"/>
        <v>81.234899999999996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7"/>
        <v>0</v>
      </c>
      <c r="S9" s="3">
        <f t="shared" si="1"/>
        <v>6.5880000000000001</v>
      </c>
      <c r="T9" s="5">
        <f>315+600</f>
        <v>915</v>
      </c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41433</v>
      </c>
      <c r="B10" s="1"/>
      <c r="C10" s="2">
        <f t="shared" si="3"/>
        <v>78</v>
      </c>
      <c r="D10" s="3"/>
      <c r="E10" s="3">
        <f t="shared" si="4"/>
        <v>81.234899999999996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7"/>
        <v>0</v>
      </c>
      <c r="S10" s="3">
        <f t="shared" si="1"/>
        <v>6.7464000000000004</v>
      </c>
      <c r="T10" s="5">
        <f>562+375</f>
        <v>937</v>
      </c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41434</v>
      </c>
      <c r="B11" s="1"/>
      <c r="C11" s="2">
        <f t="shared" si="3"/>
        <v>78</v>
      </c>
      <c r="D11" s="3"/>
      <c r="E11" s="3">
        <f t="shared" si="4"/>
        <v>81.234899999999996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7"/>
        <v>0</v>
      </c>
      <c r="S11" s="3">
        <f t="shared" si="1"/>
        <v>5.7384000000000004</v>
      </c>
      <c r="T11" s="5">
        <f>422+375</f>
        <v>797</v>
      </c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41435</v>
      </c>
      <c r="B12" s="1"/>
      <c r="C12" s="2">
        <f t="shared" si="3"/>
        <v>78</v>
      </c>
      <c r="D12" s="3"/>
      <c r="E12" s="3">
        <f t="shared" si="4"/>
        <v>81.234899999999996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82">
        <f>860+990+1162</f>
        <v>3012</v>
      </c>
      <c r="N12" s="29">
        <f t="shared" si="0"/>
        <v>21.686400000000003</v>
      </c>
      <c r="O12" s="81"/>
      <c r="Q12" s="1"/>
      <c r="R12" s="2">
        <f t="shared" si="7"/>
        <v>0</v>
      </c>
      <c r="S12" s="3">
        <f t="shared" si="1"/>
        <v>6.48</v>
      </c>
      <c r="T12" s="5">
        <f>450+450</f>
        <v>900</v>
      </c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41436</v>
      </c>
      <c r="B13" s="1"/>
      <c r="C13" s="2">
        <f t="shared" si="3"/>
        <v>78</v>
      </c>
      <c r="D13" s="3"/>
      <c r="E13" s="3">
        <f t="shared" si="4"/>
        <v>81.234899999999996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7"/>
        <v>0</v>
      </c>
      <c r="S13" s="3">
        <f t="shared" si="1"/>
        <v>8.2656000000000009</v>
      </c>
      <c r="T13" s="5">
        <f>623+525</f>
        <v>1148</v>
      </c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41437</v>
      </c>
      <c r="B14" s="1"/>
      <c r="C14" s="2">
        <f t="shared" si="3"/>
        <v>78</v>
      </c>
      <c r="D14" s="3"/>
      <c r="E14" s="3">
        <f t="shared" si="4"/>
        <v>81.234899999999996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7"/>
        <v>0</v>
      </c>
      <c r="S14" s="3">
        <f t="shared" si="1"/>
        <v>6.0552000000000001</v>
      </c>
      <c r="T14" s="5">
        <f>541+300</f>
        <v>841</v>
      </c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41438</v>
      </c>
      <c r="B15" s="1"/>
      <c r="C15" s="2">
        <f t="shared" si="3"/>
        <v>78</v>
      </c>
      <c r="D15" s="3"/>
      <c r="E15" s="3">
        <f t="shared" si="4"/>
        <v>81.234899999999996</v>
      </c>
      <c r="F15" s="67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77">
        <f>797+825+1073+1066</f>
        <v>3761</v>
      </c>
      <c r="N15" s="29">
        <f t="shared" si="0"/>
        <v>27.0792</v>
      </c>
      <c r="O15" s="76"/>
      <c r="Q15" s="1"/>
      <c r="R15" s="2">
        <f t="shared" si="7"/>
        <v>0</v>
      </c>
      <c r="S15" s="3">
        <f t="shared" si="1"/>
        <v>6.048</v>
      </c>
      <c r="T15" s="5">
        <f>390+450</f>
        <v>840</v>
      </c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41439</v>
      </c>
      <c r="B16" s="1"/>
      <c r="C16" s="2">
        <f t="shared" si="3"/>
        <v>78</v>
      </c>
      <c r="D16" s="3"/>
      <c r="E16" s="3">
        <f t="shared" si="4"/>
        <v>81.234899999999996</v>
      </c>
      <c r="F16" s="39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7"/>
        <v>0</v>
      </c>
      <c r="S16" s="3">
        <f t="shared" si="1"/>
        <v>7.5960000000000001</v>
      </c>
      <c r="T16" s="5">
        <f>605+450</f>
        <v>1055</v>
      </c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41440</v>
      </c>
      <c r="B17" s="1"/>
      <c r="C17" s="2">
        <f t="shared" si="3"/>
        <v>78</v>
      </c>
      <c r="D17" s="6"/>
      <c r="E17" s="6">
        <f t="shared" si="4"/>
        <v>81.234899999999996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7"/>
        <v>0</v>
      </c>
      <c r="S17" s="3">
        <f t="shared" si="1"/>
        <v>6.3144000000000009</v>
      </c>
      <c r="T17" s="5">
        <f>147+655+75</f>
        <v>877</v>
      </c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41441</v>
      </c>
      <c r="B18" s="1"/>
      <c r="C18" s="2">
        <f t="shared" si="3"/>
        <v>78</v>
      </c>
      <c r="D18" s="3"/>
      <c r="E18" s="3">
        <f t="shared" si="4"/>
        <v>81.234899999999996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7"/>
        <v>0</v>
      </c>
      <c r="S18" s="3">
        <f t="shared" si="1"/>
        <v>5.4</v>
      </c>
      <c r="T18" s="5">
        <v>750</v>
      </c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41442</v>
      </c>
      <c r="B19" s="1"/>
      <c r="C19" s="2">
        <f>B19+C18</f>
        <v>78</v>
      </c>
      <c r="D19" s="3"/>
      <c r="E19" s="3">
        <f t="shared" si="4"/>
        <v>81.234899999999996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7"/>
        <v>0</v>
      </c>
      <c r="S19" s="3">
        <f t="shared" si="1"/>
        <v>3.5928</v>
      </c>
      <c r="T19" s="5">
        <f>95+404</f>
        <v>499</v>
      </c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41443</v>
      </c>
      <c r="B20" s="1"/>
      <c r="C20" s="2">
        <f t="shared" si="3"/>
        <v>78</v>
      </c>
      <c r="D20" s="3"/>
      <c r="E20" s="3">
        <f t="shared" si="4"/>
        <v>81.234899999999996</v>
      </c>
      <c r="F20" s="67" t="s">
        <v>32</v>
      </c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77">
        <f>690+1055+597+655+920+404</f>
        <v>4321</v>
      </c>
      <c r="N20" s="29">
        <f t="shared" si="0"/>
        <v>31.1112</v>
      </c>
      <c r="O20" s="81"/>
      <c r="Q20" s="1"/>
      <c r="R20" s="2">
        <f t="shared" si="7"/>
        <v>0</v>
      </c>
      <c r="S20" s="3">
        <f t="shared" si="1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41444</v>
      </c>
      <c r="B21" s="1"/>
      <c r="C21" s="2">
        <f t="shared" si="3"/>
        <v>78</v>
      </c>
      <c r="D21" s="3"/>
      <c r="E21" s="3">
        <f t="shared" si="4"/>
        <v>81.234899999999996</v>
      </c>
      <c r="F21" s="62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7"/>
        <v>0</v>
      </c>
      <c r="S21" s="3">
        <f t="shared" si="1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41445</v>
      </c>
      <c r="B22" s="1"/>
      <c r="C22" s="2">
        <f t="shared" si="3"/>
        <v>78</v>
      </c>
      <c r="D22" s="3"/>
      <c r="E22" s="3">
        <f t="shared" si="4"/>
        <v>81.234899999999996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7"/>
        <v>0</v>
      </c>
      <c r="S22" s="3">
        <f t="shared" si="1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41446</v>
      </c>
      <c r="B23" s="1"/>
      <c r="C23" s="2">
        <f t="shared" si="3"/>
        <v>78</v>
      </c>
      <c r="D23" s="3"/>
      <c r="E23" s="3">
        <f t="shared" si="4"/>
        <v>81.234899999999996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7"/>
        <v>0</v>
      </c>
      <c r="S23" s="3">
        <f t="shared" si="1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41447</v>
      </c>
      <c r="B24" s="1"/>
      <c r="C24" s="2">
        <f t="shared" si="3"/>
        <v>78</v>
      </c>
      <c r="D24" s="3"/>
      <c r="E24" s="3">
        <f t="shared" si="4"/>
        <v>81.234899999999996</v>
      </c>
      <c r="F24" s="62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77"/>
      <c r="N24" s="29">
        <f t="shared" si="0"/>
        <v>0</v>
      </c>
      <c r="O24" s="81"/>
      <c r="Q24" s="1"/>
      <c r="R24" s="2">
        <f t="shared" si="7"/>
        <v>0</v>
      </c>
      <c r="S24" s="3">
        <f t="shared" si="1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41448</v>
      </c>
      <c r="B25" s="1"/>
      <c r="C25" s="2">
        <f t="shared" si="3"/>
        <v>78</v>
      </c>
      <c r="D25" s="3"/>
      <c r="E25" s="3">
        <f t="shared" si="4"/>
        <v>81.234899999999996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77"/>
      <c r="N25" s="29">
        <f t="shared" si="0"/>
        <v>0</v>
      </c>
      <c r="O25" s="76"/>
      <c r="Q25" s="1"/>
      <c r="R25" s="2">
        <f t="shared" si="7"/>
        <v>0</v>
      </c>
      <c r="S25" s="3">
        <f t="shared" si="1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41449</v>
      </c>
      <c r="B26" s="1"/>
      <c r="C26" s="2">
        <f t="shared" si="3"/>
        <v>78</v>
      </c>
      <c r="D26" s="3"/>
      <c r="E26" s="3">
        <f t="shared" si="4"/>
        <v>81.234899999999996</v>
      </c>
      <c r="F26" s="62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77"/>
      <c r="N26" s="29">
        <f t="shared" si="0"/>
        <v>0</v>
      </c>
      <c r="O26" s="81"/>
      <c r="Q26" s="1"/>
      <c r="R26" s="2">
        <f t="shared" si="7"/>
        <v>0</v>
      </c>
      <c r="S26" s="3">
        <f>T26*7.2/1000</f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41450</v>
      </c>
      <c r="B27" s="1"/>
      <c r="C27" s="2">
        <f t="shared" si="3"/>
        <v>78</v>
      </c>
      <c r="D27" s="3"/>
      <c r="E27" s="3">
        <f t="shared" si="4"/>
        <v>81.234899999999996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77"/>
      <c r="N27" s="29">
        <f t="shared" si="0"/>
        <v>0</v>
      </c>
      <c r="O27" s="81"/>
      <c r="Q27" s="1"/>
      <c r="R27" s="2">
        <f t="shared" si="7"/>
        <v>0</v>
      </c>
      <c r="S27" s="3">
        <f>T27*7.2/1000</f>
        <v>0</v>
      </c>
      <c r="T27" s="5"/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41451</v>
      </c>
      <c r="B28" s="1"/>
      <c r="C28" s="2">
        <f t="shared" si="3"/>
        <v>78</v>
      </c>
      <c r="D28" s="3"/>
      <c r="E28" s="3">
        <f t="shared" si="4"/>
        <v>81.234899999999996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77"/>
      <c r="N28" s="29">
        <f t="shared" si="0"/>
        <v>0</v>
      </c>
      <c r="O28" s="81"/>
      <c r="Q28" s="1"/>
      <c r="R28" s="2">
        <f t="shared" si="7"/>
        <v>0</v>
      </c>
      <c r="S28" s="3">
        <f>T28*7.2/1000</f>
        <v>0</v>
      </c>
      <c r="T28" s="5"/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41452</v>
      </c>
      <c r="B29" s="1"/>
      <c r="C29" s="2">
        <f t="shared" si="3"/>
        <v>78</v>
      </c>
      <c r="D29" s="3"/>
      <c r="E29" s="3">
        <f t="shared" si="4"/>
        <v>81.234899999999996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77"/>
      <c r="N29" s="29">
        <f t="shared" si="0"/>
        <v>0</v>
      </c>
      <c r="O29" s="81"/>
      <c r="Q29" s="1"/>
      <c r="R29" s="2">
        <f t="shared" si="7"/>
        <v>0</v>
      </c>
      <c r="S29" s="3">
        <f>T29*7.2/1000</f>
        <v>0</v>
      </c>
      <c r="T29" s="5"/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41453</v>
      </c>
      <c r="B30" s="1"/>
      <c r="C30" s="2">
        <f t="shared" si="3"/>
        <v>78</v>
      </c>
      <c r="D30" s="3"/>
      <c r="E30" s="3">
        <f t="shared" si="4"/>
        <v>81.234899999999996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77"/>
      <c r="N30" s="29">
        <f t="shared" si="0"/>
        <v>0</v>
      </c>
      <c r="O30" s="80"/>
      <c r="Q30" s="1"/>
      <c r="R30" s="2">
        <f t="shared" si="7"/>
        <v>0</v>
      </c>
      <c r="S30" s="3">
        <f>T30*7.2/1000</f>
        <v>0</v>
      </c>
      <c r="T30" s="5"/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41454</v>
      </c>
      <c r="B31" s="1"/>
      <c r="C31" s="2">
        <f t="shared" si="3"/>
        <v>78</v>
      </c>
      <c r="D31" s="7"/>
      <c r="E31" s="3">
        <f t="shared" si="4"/>
        <v>81.234899999999996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77"/>
      <c r="N31" s="29">
        <f t="shared" si="0"/>
        <v>0</v>
      </c>
      <c r="O31" s="81"/>
      <c r="Q31" s="1"/>
      <c r="R31" s="2">
        <f t="shared" si="7"/>
        <v>0</v>
      </c>
      <c r="S31" s="3">
        <f>T31*9.6/1000</f>
        <v>0</v>
      </c>
      <c r="T31" s="5"/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41455</v>
      </c>
      <c r="B32" s="1"/>
      <c r="C32" s="2">
        <f t="shared" si="3"/>
        <v>78</v>
      </c>
      <c r="D32" s="7"/>
      <c r="E32" s="3">
        <f t="shared" si="4"/>
        <v>81.234899999999996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77"/>
      <c r="N32" s="29">
        <f t="shared" si="0"/>
        <v>0</v>
      </c>
      <c r="O32" s="81"/>
      <c r="Q32" s="1"/>
      <c r="R32" s="2">
        <f t="shared" si="7"/>
        <v>0</v>
      </c>
      <c r="S32" s="3">
        <f>T32*9.6/1000</f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41456</v>
      </c>
      <c r="B33" s="1"/>
      <c r="C33" s="2">
        <f t="shared" si="3"/>
        <v>78</v>
      </c>
      <c r="D33" s="53"/>
      <c r="E33" s="3">
        <f t="shared" si="4"/>
        <v>81.234899999999996</v>
      </c>
      <c r="F33" s="69"/>
      <c r="G33" s="55"/>
      <c r="H33" s="2"/>
      <c r="I33" s="53"/>
      <c r="J33" s="56"/>
      <c r="K33" s="69"/>
      <c r="L33" s="42"/>
      <c r="M33" s="77"/>
      <c r="N33" s="29">
        <f t="shared" si="0"/>
        <v>0</v>
      </c>
      <c r="O33" s="81"/>
      <c r="Q33" s="55"/>
      <c r="R33" s="2">
        <f t="shared" si="7"/>
        <v>0</v>
      </c>
      <c r="S33" s="3">
        <f>T33*9.6/1000</f>
        <v>0</v>
      </c>
      <c r="T33" s="56"/>
      <c r="U33" s="69"/>
      <c r="W33" s="13"/>
      <c r="X33" s="63"/>
      <c r="Y33" s="29"/>
    </row>
    <row r="34" spans="1:25" ht="21" customHeight="1" thickBot="1" x14ac:dyDescent="0.3">
      <c r="A34" s="17" t="s">
        <v>8</v>
      </c>
      <c r="B34" s="40">
        <f>SUM(B3:B33)</f>
        <v>78</v>
      </c>
      <c r="C34" s="40">
        <f>+B34</f>
        <v>78</v>
      </c>
      <c r="D34" s="88">
        <f>SUM(D3:D33)</f>
        <v>81.234899999999996</v>
      </c>
      <c r="E34" s="40">
        <f>SUM(E3:E33)</f>
        <v>2272.9409999999993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83">
        <f>SUM(M3:M33)</f>
        <v>11094</v>
      </c>
      <c r="N34" s="84">
        <f>SUM(N3:N33)</f>
        <v>79.876800000000003</v>
      </c>
      <c r="O34" s="85"/>
      <c r="Q34" s="26">
        <f>SUM(Q3:Q32)</f>
        <v>0</v>
      </c>
      <c r="R34" s="70">
        <f>+Q34</f>
        <v>0</v>
      </c>
      <c r="S34" s="23">
        <f>SUM(S3:S32)</f>
        <v>79.876800000000003</v>
      </c>
      <c r="T34" s="27">
        <f>SUM(T3:T32)</f>
        <v>11094</v>
      </c>
      <c r="U34" s="28"/>
      <c r="W34" s="29">
        <f>SUM(W3:W32)</f>
        <v>0</v>
      </c>
      <c r="X34" s="63">
        <f>SUM(X3:X32)</f>
        <v>0</v>
      </c>
      <c r="Y34" s="16"/>
    </row>
    <row r="35" spans="1:25" x14ac:dyDescent="0.2">
      <c r="D35" s="64"/>
    </row>
    <row r="36" spans="1:25" x14ac:dyDescent="0.2">
      <c r="T36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8" max="18" width="13.140625" bestFit="1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22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41456</v>
      </c>
      <c r="B3" s="1"/>
      <c r="C3" s="87">
        <f>B3</f>
        <v>0</v>
      </c>
      <c r="D3" s="3"/>
      <c r="E3" s="3">
        <f>D3</f>
        <v>0</v>
      </c>
      <c r="F3" s="86" t="s">
        <v>37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3">
        <f t="shared" ref="S3:S25" si="1">T3*7.2/1000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41457</v>
      </c>
      <c r="B4" s="1"/>
      <c r="C4" s="2">
        <f t="shared" ref="C4:C33" si="3">B4+C3</f>
        <v>0</v>
      </c>
      <c r="D4" s="3"/>
      <c r="E4" s="3">
        <f t="shared" ref="E4:E33" si="4">D4+E3</f>
        <v>0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41458</v>
      </c>
      <c r="B5" s="1"/>
      <c r="C5" s="2">
        <f t="shared" si="3"/>
        <v>0</v>
      </c>
      <c r="D5" s="3"/>
      <c r="E5" s="3">
        <f t="shared" si="4"/>
        <v>0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77"/>
      <c r="N5" s="29">
        <f t="shared" si="0"/>
        <v>0</v>
      </c>
      <c r="O5" s="76"/>
      <c r="Q5" s="1"/>
      <c r="R5" s="2">
        <f t="shared" si="7"/>
        <v>0</v>
      </c>
      <c r="S5" s="3">
        <f t="shared" si="1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41459</v>
      </c>
      <c r="B6" s="1"/>
      <c r="C6" s="2">
        <f t="shared" si="3"/>
        <v>0</v>
      </c>
      <c r="D6" s="3"/>
      <c r="E6" s="3">
        <f t="shared" si="4"/>
        <v>0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77"/>
      <c r="N6" s="29">
        <f t="shared" si="0"/>
        <v>0</v>
      </c>
      <c r="O6" s="76"/>
      <c r="Q6" s="1"/>
      <c r="R6" s="2">
        <f t="shared" si="7"/>
        <v>0</v>
      </c>
      <c r="S6" s="3">
        <f t="shared" si="1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41460</v>
      </c>
      <c r="B7" s="1"/>
      <c r="C7" s="2">
        <f t="shared" si="3"/>
        <v>0</v>
      </c>
      <c r="D7" s="3"/>
      <c r="E7" s="3">
        <f t="shared" si="4"/>
        <v>0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78"/>
      <c r="N7" s="29">
        <f t="shared" si="0"/>
        <v>0</v>
      </c>
      <c r="O7" s="68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41461</v>
      </c>
      <c r="B8" s="1"/>
      <c r="C8" s="2">
        <f t="shared" si="3"/>
        <v>0</v>
      </c>
      <c r="D8" s="3"/>
      <c r="E8" s="3">
        <f t="shared" si="4"/>
        <v>0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41462</v>
      </c>
      <c r="B9" s="1"/>
      <c r="C9" s="2">
        <f t="shared" si="3"/>
        <v>0</v>
      </c>
      <c r="D9" s="3"/>
      <c r="E9" s="3">
        <f t="shared" si="4"/>
        <v>0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7"/>
        <v>0</v>
      </c>
      <c r="S9" s="3">
        <f t="shared" si="1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41463</v>
      </c>
      <c r="B10" s="1"/>
      <c r="C10" s="2">
        <f t="shared" si="3"/>
        <v>0</v>
      </c>
      <c r="D10" s="3"/>
      <c r="E10" s="3">
        <f t="shared" si="4"/>
        <v>0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7"/>
        <v>0</v>
      </c>
      <c r="S10" s="3">
        <f t="shared" si="1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41464</v>
      </c>
      <c r="B11" s="1"/>
      <c r="C11" s="2">
        <f t="shared" si="3"/>
        <v>0</v>
      </c>
      <c r="D11" s="3"/>
      <c r="E11" s="3">
        <f t="shared" si="4"/>
        <v>0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7"/>
        <v>0</v>
      </c>
      <c r="S11" s="3">
        <f t="shared" si="1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41465</v>
      </c>
      <c r="B12" s="1">
        <v>5</v>
      </c>
      <c r="C12" s="2">
        <f t="shared" si="3"/>
        <v>5</v>
      </c>
      <c r="D12" s="3">
        <f>160*8.1/1000</f>
        <v>1.296</v>
      </c>
      <c r="E12" s="3">
        <f t="shared" si="4"/>
        <v>1.296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7"/>
        <v>0</v>
      </c>
      <c r="S12" s="3">
        <f t="shared" si="1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41466</v>
      </c>
      <c r="B13" s="1">
        <v>12</v>
      </c>
      <c r="C13" s="2">
        <f t="shared" si="3"/>
        <v>17</v>
      </c>
      <c r="D13" s="3">
        <f>1295*8.1/1000</f>
        <v>10.4895</v>
      </c>
      <c r="E13" s="3">
        <f t="shared" si="4"/>
        <v>11.785499999999999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7"/>
        <v>0</v>
      </c>
      <c r="S13" s="3">
        <f t="shared" si="1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41467</v>
      </c>
      <c r="B14" s="1">
        <v>14</v>
      </c>
      <c r="C14" s="2">
        <f t="shared" si="3"/>
        <v>31</v>
      </c>
      <c r="D14" s="3">
        <f>1990*8.1/1000</f>
        <v>16.119</v>
      </c>
      <c r="E14" s="3">
        <f t="shared" si="4"/>
        <v>27.904499999999999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7"/>
        <v>0</v>
      </c>
      <c r="S14" s="3">
        <f t="shared" si="1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41468</v>
      </c>
      <c r="B15" s="1">
        <v>14</v>
      </c>
      <c r="C15" s="2">
        <f t="shared" si="3"/>
        <v>45</v>
      </c>
      <c r="D15" s="3">
        <f>1800*8.1/1000</f>
        <v>14.58</v>
      </c>
      <c r="E15" s="3">
        <f t="shared" si="4"/>
        <v>42.484499999999997</v>
      </c>
      <c r="F15" s="67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7"/>
        <v>0</v>
      </c>
      <c r="S15" s="3">
        <f t="shared" si="1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41469</v>
      </c>
      <c r="B16" s="1">
        <v>14</v>
      </c>
      <c r="C16" s="2">
        <f t="shared" si="3"/>
        <v>59</v>
      </c>
      <c r="D16" s="3">
        <f>1970*8.1/1000</f>
        <v>15.957000000000001</v>
      </c>
      <c r="E16" s="3">
        <f t="shared" si="4"/>
        <v>58.441499999999998</v>
      </c>
      <c r="F16" s="39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7"/>
        <v>0</v>
      </c>
      <c r="S16" s="3">
        <f t="shared" si="1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41470</v>
      </c>
      <c r="B17" s="1">
        <v>14</v>
      </c>
      <c r="C17" s="2">
        <f t="shared" si="3"/>
        <v>73</v>
      </c>
      <c r="D17" s="6">
        <f>(1340+290)*8.1/1000</f>
        <v>13.202999999999999</v>
      </c>
      <c r="E17" s="6">
        <f t="shared" si="4"/>
        <v>71.644499999999994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77"/>
      <c r="N17" s="29">
        <f t="shared" si="0"/>
        <v>0</v>
      </c>
      <c r="O17" s="81"/>
      <c r="Q17" s="1">
        <v>3</v>
      </c>
      <c r="R17" s="2">
        <f t="shared" si="7"/>
        <v>3</v>
      </c>
      <c r="S17" s="3">
        <f t="shared" si="1"/>
        <v>6.5376000000000003</v>
      </c>
      <c r="T17" s="5">
        <f>(758+150)</f>
        <v>908</v>
      </c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41471</v>
      </c>
      <c r="B18" s="1">
        <v>14</v>
      </c>
      <c r="C18" s="2">
        <f t="shared" si="3"/>
        <v>87</v>
      </c>
      <c r="D18" s="3">
        <f>1675*8.1/1000</f>
        <v>13.567500000000001</v>
      </c>
      <c r="E18" s="3">
        <f t="shared" si="4"/>
        <v>85.211999999999989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77"/>
      <c r="N18" s="29">
        <f t="shared" si="0"/>
        <v>0</v>
      </c>
      <c r="O18" s="81"/>
      <c r="Q18" s="1">
        <v>8</v>
      </c>
      <c r="R18" s="2">
        <f t="shared" si="7"/>
        <v>11</v>
      </c>
      <c r="S18" s="3">
        <f t="shared" si="1"/>
        <v>6.3</v>
      </c>
      <c r="T18" s="5">
        <f>725+150</f>
        <v>875</v>
      </c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41472</v>
      </c>
      <c r="B19" s="1">
        <v>14</v>
      </c>
      <c r="C19" s="2">
        <f>B19+C18</f>
        <v>101</v>
      </c>
      <c r="D19" s="3">
        <f>760*8.1/1000</f>
        <v>6.1559999999999997</v>
      </c>
      <c r="E19" s="3">
        <f t="shared" si="4"/>
        <v>91.367999999999995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77"/>
      <c r="N19" s="29">
        <f t="shared" si="0"/>
        <v>0</v>
      </c>
      <c r="O19" s="81"/>
      <c r="Q19" s="1">
        <v>8</v>
      </c>
      <c r="R19" s="2">
        <f t="shared" si="7"/>
        <v>19</v>
      </c>
      <c r="S19" s="3">
        <f t="shared" si="1"/>
        <v>8.0136000000000003</v>
      </c>
      <c r="T19" s="5">
        <f>963+150</f>
        <v>1113</v>
      </c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41473</v>
      </c>
      <c r="B20" s="1">
        <v>4</v>
      </c>
      <c r="C20" s="2">
        <f t="shared" si="3"/>
        <v>105</v>
      </c>
      <c r="D20" s="3">
        <f>1895*8.1/1000</f>
        <v>15.349500000000001</v>
      </c>
      <c r="E20" s="3">
        <f t="shared" si="4"/>
        <v>106.7175</v>
      </c>
      <c r="F20" s="67" t="s">
        <v>32</v>
      </c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77"/>
      <c r="N20" s="29">
        <f t="shared" si="0"/>
        <v>0</v>
      </c>
      <c r="O20" s="81"/>
      <c r="Q20" s="1">
        <v>8</v>
      </c>
      <c r="R20" s="2">
        <f t="shared" si="7"/>
        <v>27</v>
      </c>
      <c r="S20" s="3">
        <f t="shared" si="1"/>
        <v>8.4239999999999995</v>
      </c>
      <c r="T20" s="5">
        <f>945+225</f>
        <v>1170</v>
      </c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41474</v>
      </c>
      <c r="B21" s="1"/>
      <c r="C21" s="2">
        <f t="shared" si="3"/>
        <v>105</v>
      </c>
      <c r="D21" s="3"/>
      <c r="E21" s="3">
        <f t="shared" si="4"/>
        <v>106.7175</v>
      </c>
      <c r="F21" s="62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77"/>
      <c r="N21" s="29">
        <f t="shared" si="0"/>
        <v>0</v>
      </c>
      <c r="O21" s="81"/>
      <c r="Q21" s="1">
        <v>8</v>
      </c>
      <c r="R21" s="2">
        <f t="shared" si="7"/>
        <v>35</v>
      </c>
      <c r="S21" s="3">
        <f t="shared" si="1"/>
        <v>8.7119999999999997</v>
      </c>
      <c r="T21" s="5">
        <f>685+525</f>
        <v>1210</v>
      </c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41475</v>
      </c>
      <c r="B22" s="1"/>
      <c r="C22" s="2">
        <f t="shared" si="3"/>
        <v>105</v>
      </c>
      <c r="D22" s="3"/>
      <c r="E22" s="3">
        <f t="shared" si="4"/>
        <v>106.7175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77"/>
      <c r="N22" s="29">
        <f t="shared" si="0"/>
        <v>0</v>
      </c>
      <c r="O22" s="80"/>
      <c r="Q22" s="1">
        <v>8</v>
      </c>
      <c r="R22" s="2">
        <f t="shared" si="7"/>
        <v>43</v>
      </c>
      <c r="S22" s="3">
        <f t="shared" si="1"/>
        <v>6.9264000000000001</v>
      </c>
      <c r="T22" s="5">
        <f>587+375</f>
        <v>962</v>
      </c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41476</v>
      </c>
      <c r="B23" s="1"/>
      <c r="C23" s="2">
        <f t="shared" si="3"/>
        <v>105</v>
      </c>
      <c r="D23" s="3"/>
      <c r="E23" s="3">
        <f t="shared" si="4"/>
        <v>106.7175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77"/>
      <c r="N23" s="29">
        <f t="shared" si="0"/>
        <v>0</v>
      </c>
      <c r="O23" s="81"/>
      <c r="Q23" s="1">
        <v>8</v>
      </c>
      <c r="R23" s="2">
        <f t="shared" si="7"/>
        <v>51</v>
      </c>
      <c r="S23" s="3">
        <f t="shared" si="1"/>
        <v>8.8344000000000005</v>
      </c>
      <c r="T23" s="5">
        <f>777+450</f>
        <v>1227</v>
      </c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41477</v>
      </c>
      <c r="B24" s="1"/>
      <c r="C24" s="2">
        <f t="shared" si="3"/>
        <v>105</v>
      </c>
      <c r="D24" s="3"/>
      <c r="E24" s="3">
        <f t="shared" si="4"/>
        <v>106.7175</v>
      </c>
      <c r="F24" s="62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77">
        <f>758+875+1140+1095</f>
        <v>3868</v>
      </c>
      <c r="N24" s="63">
        <f t="shared" si="0"/>
        <v>27.849600000000002</v>
      </c>
      <c r="O24" s="81"/>
      <c r="Q24" s="1">
        <v>8</v>
      </c>
      <c r="R24" s="2">
        <f t="shared" si="7"/>
        <v>59</v>
      </c>
      <c r="S24" s="3">
        <f t="shared" si="1"/>
        <v>8.7263999999999999</v>
      </c>
      <c r="T24" s="5">
        <f>612+600</f>
        <v>1212</v>
      </c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41478</v>
      </c>
      <c r="B25" s="1"/>
      <c r="C25" s="2">
        <f t="shared" si="3"/>
        <v>105</v>
      </c>
      <c r="D25" s="3"/>
      <c r="E25" s="3">
        <f t="shared" si="4"/>
        <v>106.7175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77"/>
      <c r="N25" s="63">
        <f t="shared" si="0"/>
        <v>0</v>
      </c>
      <c r="O25" s="76"/>
      <c r="Q25" s="1">
        <v>8</v>
      </c>
      <c r="R25" s="2">
        <f t="shared" si="7"/>
        <v>67</v>
      </c>
      <c r="S25" s="3">
        <f t="shared" si="1"/>
        <v>8.877600000000001</v>
      </c>
      <c r="T25" s="5">
        <f>60+771+27+375</f>
        <v>1233</v>
      </c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41479</v>
      </c>
      <c r="B26" s="1"/>
      <c r="C26" s="2">
        <f t="shared" si="3"/>
        <v>105</v>
      </c>
      <c r="D26" s="3"/>
      <c r="E26" s="3">
        <f t="shared" si="4"/>
        <v>106.7175</v>
      </c>
      <c r="F26" s="62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77">
        <f>910+1112+1152+1062+660+792</f>
        <v>5688</v>
      </c>
      <c r="N26" s="63">
        <f t="shared" si="0"/>
        <v>40.953600000000002</v>
      </c>
      <c r="O26" s="81"/>
      <c r="Q26" s="1">
        <v>8</v>
      </c>
      <c r="R26" s="2">
        <f t="shared" si="7"/>
        <v>75</v>
      </c>
      <c r="S26" s="3">
        <f>T26*7.2/1000</f>
        <v>8.1216000000000008</v>
      </c>
      <c r="T26" s="5">
        <f>603+525</f>
        <v>1128</v>
      </c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41480</v>
      </c>
      <c r="B27" s="1"/>
      <c r="C27" s="2">
        <f t="shared" si="3"/>
        <v>105</v>
      </c>
      <c r="D27" s="3"/>
      <c r="E27" s="3">
        <f t="shared" si="4"/>
        <v>106.7175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77"/>
      <c r="N27" s="29">
        <f t="shared" si="0"/>
        <v>0</v>
      </c>
      <c r="O27" s="81"/>
      <c r="Q27" s="1">
        <v>8</v>
      </c>
      <c r="R27" s="2">
        <f t="shared" si="7"/>
        <v>83</v>
      </c>
      <c r="S27" s="3">
        <f>T27*7.2/1000</f>
        <v>7.8336000000000006</v>
      </c>
      <c r="T27" s="5">
        <f>480+308+300</f>
        <v>1088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41481</v>
      </c>
      <c r="B28" s="1"/>
      <c r="C28" s="2">
        <f t="shared" si="3"/>
        <v>105</v>
      </c>
      <c r="D28" s="3"/>
      <c r="E28" s="3">
        <f t="shared" si="4"/>
        <v>106.7175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77"/>
      <c r="N28" s="29">
        <f t="shared" si="0"/>
        <v>0</v>
      </c>
      <c r="O28" s="81"/>
      <c r="Q28" s="1">
        <v>8</v>
      </c>
      <c r="R28" s="2">
        <f t="shared" si="7"/>
        <v>91</v>
      </c>
      <c r="S28" s="3">
        <f>T28*7.2/1000</f>
        <v>7.7039999999999997</v>
      </c>
      <c r="T28" s="5">
        <f>170+900</f>
        <v>1070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41482</v>
      </c>
      <c r="B29" s="1"/>
      <c r="C29" s="2">
        <f t="shared" si="3"/>
        <v>105</v>
      </c>
      <c r="D29" s="3"/>
      <c r="E29" s="3">
        <f t="shared" si="4"/>
        <v>106.7175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77"/>
      <c r="N29" s="29">
        <f t="shared" si="0"/>
        <v>0</v>
      </c>
      <c r="O29" s="81"/>
      <c r="Q29" s="1">
        <v>8</v>
      </c>
      <c r="R29" s="2">
        <f t="shared" si="7"/>
        <v>99</v>
      </c>
      <c r="S29" s="3">
        <f>T29*7.2/1000</f>
        <v>6.84</v>
      </c>
      <c r="T29" s="5">
        <f>200+750</f>
        <v>950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41483</v>
      </c>
      <c r="B30" s="1"/>
      <c r="C30" s="2">
        <f t="shared" si="3"/>
        <v>105</v>
      </c>
      <c r="D30" s="3"/>
      <c r="E30" s="3">
        <f t="shared" si="4"/>
        <v>106.7175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77"/>
      <c r="N30" s="29">
        <f t="shared" si="0"/>
        <v>0</v>
      </c>
      <c r="O30" s="80"/>
      <c r="Q30" s="1">
        <v>6</v>
      </c>
      <c r="R30" s="2">
        <f t="shared" si="7"/>
        <v>105</v>
      </c>
      <c r="S30" s="3">
        <f>T30*7.2/1000</f>
        <v>3.2328000000000001</v>
      </c>
      <c r="T30" s="5">
        <v>449</v>
      </c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41484</v>
      </c>
      <c r="B31" s="1"/>
      <c r="C31" s="2">
        <f t="shared" si="3"/>
        <v>105</v>
      </c>
      <c r="D31" s="7"/>
      <c r="E31" s="3">
        <f t="shared" si="4"/>
        <v>106.7175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77"/>
      <c r="N31" s="29">
        <f t="shared" si="0"/>
        <v>0</v>
      </c>
      <c r="O31" s="81"/>
      <c r="Q31" s="1"/>
      <c r="R31" s="2">
        <f t="shared" si="7"/>
        <v>105</v>
      </c>
      <c r="S31" s="3">
        <f>T31*9.6/1000</f>
        <v>0</v>
      </c>
      <c r="T31" s="5"/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41485</v>
      </c>
      <c r="B32" s="1"/>
      <c r="C32" s="2">
        <f t="shared" si="3"/>
        <v>105</v>
      </c>
      <c r="D32" s="7"/>
      <c r="E32" s="3">
        <f t="shared" si="4"/>
        <v>106.7175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77">
        <f>978+1005+308+470+1100+1242</f>
        <v>5103</v>
      </c>
      <c r="N32" s="63">
        <f t="shared" si="0"/>
        <v>36.741599999999998</v>
      </c>
      <c r="O32" s="81"/>
      <c r="Q32" s="1"/>
      <c r="R32" s="2">
        <f t="shared" si="7"/>
        <v>105</v>
      </c>
      <c r="S32" s="3">
        <f>T32*9.6/1000</f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41486</v>
      </c>
      <c r="B33" s="1"/>
      <c r="C33" s="2">
        <f t="shared" si="3"/>
        <v>105</v>
      </c>
      <c r="D33" s="53"/>
      <c r="E33" s="3">
        <f t="shared" si="4"/>
        <v>106.7175</v>
      </c>
      <c r="F33" s="69"/>
      <c r="G33" s="55"/>
      <c r="H33" s="2"/>
      <c r="I33" s="53"/>
      <c r="J33" s="56"/>
      <c r="K33" s="69"/>
      <c r="L33" s="42"/>
      <c r="M33" s="77"/>
      <c r="N33" s="29">
        <f t="shared" si="0"/>
        <v>0</v>
      </c>
      <c r="O33" s="81"/>
      <c r="Q33" s="55"/>
      <c r="R33" s="2">
        <f t="shared" si="7"/>
        <v>105</v>
      </c>
      <c r="S33" s="3">
        <f>T33*9.6/1000</f>
        <v>0</v>
      </c>
      <c r="T33" s="56"/>
      <c r="U33" s="69"/>
      <c r="W33" s="13"/>
      <c r="X33" s="63"/>
      <c r="Y33" s="29"/>
    </row>
    <row r="34" spans="1:25" ht="21" customHeight="1" thickBot="1" x14ac:dyDescent="0.3">
      <c r="A34" s="17" t="s">
        <v>8</v>
      </c>
      <c r="B34" s="40">
        <f>SUM(B3:B33)</f>
        <v>105</v>
      </c>
      <c r="C34" s="40">
        <f>+B34</f>
        <v>105</v>
      </c>
      <c r="D34" s="88">
        <f>SUM(D3:D33)</f>
        <v>106.7175</v>
      </c>
      <c r="E34" s="89">
        <f>SUM(E3:E33)</f>
        <v>1884.1814999999997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83">
        <f>SUM(M3:M33)</f>
        <v>14659</v>
      </c>
      <c r="N34" s="84">
        <f>SUM(N3:N33)</f>
        <v>105.54480000000001</v>
      </c>
      <c r="O34" s="85"/>
      <c r="Q34" s="26">
        <f>SUM(Q3:Q33)</f>
        <v>105</v>
      </c>
      <c r="R34" s="70">
        <f>+Q34</f>
        <v>105</v>
      </c>
      <c r="S34" s="26">
        <f>SUM(S3:S33)</f>
        <v>105.084</v>
      </c>
      <c r="T34" s="26">
        <f>SUM(T3:T33)</f>
        <v>14595</v>
      </c>
      <c r="U34" s="28"/>
      <c r="W34" s="29">
        <f>SUM(W3:W32)</f>
        <v>0</v>
      </c>
      <c r="X34" s="63">
        <f>SUM(X3:X32)</f>
        <v>0</v>
      </c>
      <c r="Y34" s="16"/>
    </row>
    <row r="35" spans="1:25" x14ac:dyDescent="0.2">
      <c r="D35" s="64"/>
    </row>
    <row r="36" spans="1:25" x14ac:dyDescent="0.2">
      <c r="T36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"/>
  <sheetViews>
    <sheetView workbookViewId="0">
      <selection sqref="A1:F1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8" max="18" width="13.140625" bestFit="1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22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41487</v>
      </c>
      <c r="B3" s="1"/>
      <c r="C3" s="87">
        <f>B3</f>
        <v>0</v>
      </c>
      <c r="D3" s="3"/>
      <c r="E3" s="3">
        <f>D3</f>
        <v>0</v>
      </c>
      <c r="F3" s="86" t="s">
        <v>37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3">
        <f t="shared" ref="S3:S25" si="1">T3*7.2/1000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41488</v>
      </c>
      <c r="B4" s="1"/>
      <c r="C4" s="2">
        <f t="shared" ref="C4:C33" si="3">B4+C3</f>
        <v>0</v>
      </c>
      <c r="D4" s="3"/>
      <c r="E4" s="3">
        <f t="shared" ref="E4:E33" si="4">D4+E3</f>
        <v>0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41489</v>
      </c>
      <c r="B5" s="1"/>
      <c r="C5" s="2">
        <f t="shared" si="3"/>
        <v>0</v>
      </c>
      <c r="D5" s="3"/>
      <c r="E5" s="3">
        <f t="shared" si="4"/>
        <v>0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77"/>
      <c r="N5" s="29">
        <f t="shared" si="0"/>
        <v>0</v>
      </c>
      <c r="O5" s="76"/>
      <c r="Q5" s="1"/>
      <c r="R5" s="2">
        <f t="shared" si="7"/>
        <v>0</v>
      </c>
      <c r="S5" s="3">
        <f t="shared" si="1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41490</v>
      </c>
      <c r="B6" s="1"/>
      <c r="C6" s="2">
        <f t="shared" si="3"/>
        <v>0</v>
      </c>
      <c r="D6" s="3"/>
      <c r="E6" s="3">
        <f t="shared" si="4"/>
        <v>0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77"/>
      <c r="N6" s="29">
        <f t="shared" si="0"/>
        <v>0</v>
      </c>
      <c r="O6" s="76"/>
      <c r="Q6" s="1"/>
      <c r="R6" s="2">
        <f t="shared" si="7"/>
        <v>0</v>
      </c>
      <c r="S6" s="3">
        <f t="shared" si="1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41491</v>
      </c>
      <c r="B7" s="1"/>
      <c r="C7" s="2">
        <f t="shared" si="3"/>
        <v>0</v>
      </c>
      <c r="D7" s="3"/>
      <c r="E7" s="3">
        <f t="shared" si="4"/>
        <v>0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78"/>
      <c r="N7" s="29">
        <f t="shared" si="0"/>
        <v>0</v>
      </c>
      <c r="O7" s="68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41492</v>
      </c>
      <c r="B8" s="1"/>
      <c r="C8" s="2">
        <f t="shared" si="3"/>
        <v>0</v>
      </c>
      <c r="D8" s="3"/>
      <c r="E8" s="3">
        <f t="shared" si="4"/>
        <v>0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41493</v>
      </c>
      <c r="B9" s="1"/>
      <c r="C9" s="2">
        <f t="shared" si="3"/>
        <v>0</v>
      </c>
      <c r="D9" s="3"/>
      <c r="E9" s="3">
        <f t="shared" si="4"/>
        <v>0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7"/>
        <v>0</v>
      </c>
      <c r="S9" s="3">
        <f t="shared" si="1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41494</v>
      </c>
      <c r="B10" s="1"/>
      <c r="C10" s="2">
        <f t="shared" si="3"/>
        <v>0</v>
      </c>
      <c r="D10" s="3"/>
      <c r="E10" s="3">
        <f t="shared" si="4"/>
        <v>0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7"/>
        <v>0</v>
      </c>
      <c r="S10" s="3">
        <f t="shared" si="1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41495</v>
      </c>
      <c r="B11" s="1"/>
      <c r="C11" s="2">
        <f t="shared" si="3"/>
        <v>0</v>
      </c>
      <c r="D11" s="3"/>
      <c r="E11" s="3">
        <f t="shared" si="4"/>
        <v>0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7"/>
        <v>0</v>
      </c>
      <c r="S11" s="3">
        <f t="shared" si="1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41496</v>
      </c>
      <c r="B12" s="1"/>
      <c r="C12" s="2">
        <f t="shared" si="3"/>
        <v>0</v>
      </c>
      <c r="D12" s="3"/>
      <c r="E12" s="3">
        <f t="shared" si="4"/>
        <v>0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7"/>
        <v>0</v>
      </c>
      <c r="S12" s="3">
        <f t="shared" si="1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41497</v>
      </c>
      <c r="B13" s="1"/>
      <c r="C13" s="2">
        <f t="shared" si="3"/>
        <v>0</v>
      </c>
      <c r="D13" s="3"/>
      <c r="E13" s="3">
        <f t="shared" si="4"/>
        <v>0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7"/>
        <v>0</v>
      </c>
      <c r="S13" s="3">
        <f t="shared" si="1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41498</v>
      </c>
      <c r="B14" s="1"/>
      <c r="C14" s="2">
        <f t="shared" si="3"/>
        <v>0</v>
      </c>
      <c r="D14" s="3"/>
      <c r="E14" s="3">
        <f t="shared" si="4"/>
        <v>0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7"/>
        <v>0</v>
      </c>
      <c r="S14" s="3">
        <f t="shared" si="1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41499</v>
      </c>
      <c r="B15" s="1"/>
      <c r="C15" s="2">
        <f t="shared" si="3"/>
        <v>0</v>
      </c>
      <c r="D15" s="3"/>
      <c r="E15" s="3">
        <f t="shared" si="4"/>
        <v>0</v>
      </c>
      <c r="F15" s="67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7"/>
        <v>0</v>
      </c>
      <c r="S15" s="3">
        <f t="shared" si="1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41500</v>
      </c>
      <c r="B16" s="1"/>
      <c r="C16" s="2">
        <f t="shared" si="3"/>
        <v>0</v>
      </c>
      <c r="D16" s="3"/>
      <c r="E16" s="3">
        <f t="shared" si="4"/>
        <v>0</v>
      </c>
      <c r="F16" s="39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7"/>
        <v>0</v>
      </c>
      <c r="S16" s="3">
        <f t="shared" si="1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41501</v>
      </c>
      <c r="B17" s="1"/>
      <c r="C17" s="2">
        <f t="shared" si="3"/>
        <v>0</v>
      </c>
      <c r="D17" s="6"/>
      <c r="E17" s="6">
        <f t="shared" si="4"/>
        <v>0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7"/>
        <v>0</v>
      </c>
      <c r="S17" s="3">
        <f t="shared" si="1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41502</v>
      </c>
      <c r="B18" s="1"/>
      <c r="C18" s="2">
        <f t="shared" si="3"/>
        <v>0</v>
      </c>
      <c r="D18" s="3"/>
      <c r="E18" s="3">
        <f t="shared" si="4"/>
        <v>0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7"/>
        <v>0</v>
      </c>
      <c r="S18" s="3">
        <f t="shared" si="1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41503</v>
      </c>
      <c r="B19" s="1"/>
      <c r="C19" s="2">
        <f>B19+C18</f>
        <v>0</v>
      </c>
      <c r="D19" s="3"/>
      <c r="E19" s="3">
        <f t="shared" si="4"/>
        <v>0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7"/>
        <v>0</v>
      </c>
      <c r="S19" s="3">
        <f t="shared" si="1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41504</v>
      </c>
      <c r="B20" s="1"/>
      <c r="C20" s="2">
        <f t="shared" si="3"/>
        <v>0</v>
      </c>
      <c r="D20" s="3"/>
      <c r="E20" s="3">
        <f t="shared" si="4"/>
        <v>0</v>
      </c>
      <c r="F20" s="67" t="s">
        <v>32</v>
      </c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7"/>
        <v>0</v>
      </c>
      <c r="S20" s="3">
        <f t="shared" si="1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41505</v>
      </c>
      <c r="B21" s="1"/>
      <c r="C21" s="2">
        <f t="shared" si="3"/>
        <v>0</v>
      </c>
      <c r="D21" s="3"/>
      <c r="E21" s="3">
        <f t="shared" si="4"/>
        <v>0</v>
      </c>
      <c r="F21" s="62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7"/>
        <v>0</v>
      </c>
      <c r="S21" s="3">
        <f t="shared" si="1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41506</v>
      </c>
      <c r="B22" s="1"/>
      <c r="C22" s="2">
        <f t="shared" si="3"/>
        <v>0</v>
      </c>
      <c r="D22" s="3"/>
      <c r="E22" s="3">
        <f t="shared" si="4"/>
        <v>0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7"/>
        <v>0</v>
      </c>
      <c r="S22" s="3">
        <f t="shared" si="1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41507</v>
      </c>
      <c r="B23" s="1"/>
      <c r="C23" s="2">
        <f t="shared" si="3"/>
        <v>0</v>
      </c>
      <c r="D23" s="3"/>
      <c r="E23" s="3">
        <f t="shared" si="4"/>
        <v>0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7"/>
        <v>0</v>
      </c>
      <c r="S23" s="3">
        <f t="shared" si="1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41508</v>
      </c>
      <c r="B24" s="1">
        <v>5</v>
      </c>
      <c r="C24" s="2">
        <f t="shared" si="3"/>
        <v>5</v>
      </c>
      <c r="D24" s="3">
        <f>560*8.1/1000</f>
        <v>4.5359999999999996</v>
      </c>
      <c r="E24" s="3">
        <f t="shared" si="4"/>
        <v>4.5359999999999996</v>
      </c>
      <c r="F24" s="86" t="s">
        <v>37</v>
      </c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7"/>
        <v>0</v>
      </c>
      <c r="S24" s="3">
        <f t="shared" si="1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41509</v>
      </c>
      <c r="B25" s="1">
        <v>15</v>
      </c>
      <c r="C25" s="2">
        <f t="shared" si="3"/>
        <v>20</v>
      </c>
      <c r="D25" s="3">
        <f>1330*8.1/1000</f>
        <v>10.773</v>
      </c>
      <c r="E25" s="3">
        <f t="shared" si="4"/>
        <v>15.308999999999999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77"/>
      <c r="N25" s="90">
        <f t="shared" si="0"/>
        <v>0</v>
      </c>
      <c r="O25" s="76"/>
      <c r="Q25" s="1"/>
      <c r="R25" s="2">
        <f t="shared" si="7"/>
        <v>0</v>
      </c>
      <c r="S25" s="3">
        <f t="shared" si="1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41510</v>
      </c>
      <c r="B26" s="1">
        <v>15</v>
      </c>
      <c r="C26" s="2">
        <f t="shared" si="3"/>
        <v>35</v>
      </c>
      <c r="D26" s="3">
        <f>(1065+925)*8.1/1000</f>
        <v>16.119</v>
      </c>
      <c r="E26" s="3">
        <f t="shared" si="4"/>
        <v>31.427999999999997</v>
      </c>
      <c r="F26" s="86" t="s">
        <v>38</v>
      </c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77"/>
      <c r="N26" s="90">
        <f t="shared" si="0"/>
        <v>0</v>
      </c>
      <c r="O26" s="81"/>
      <c r="Q26" s="1"/>
      <c r="R26" s="2">
        <f t="shared" si="7"/>
        <v>0</v>
      </c>
      <c r="S26" s="3">
        <f t="shared" ref="S26:S33" si="9">T26*7.2/1000</f>
        <v>7.2359999999999998</v>
      </c>
      <c r="T26" s="5">
        <v>1005</v>
      </c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41511</v>
      </c>
      <c r="B27" s="1">
        <v>15</v>
      </c>
      <c r="C27" s="2">
        <f t="shared" si="3"/>
        <v>50</v>
      </c>
      <c r="D27" s="3">
        <f>2360*8.1/1000</f>
        <v>19.116</v>
      </c>
      <c r="E27" s="3">
        <f t="shared" si="4"/>
        <v>50.543999999999997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77"/>
      <c r="N27" s="29">
        <f t="shared" si="0"/>
        <v>0</v>
      </c>
      <c r="O27" s="81"/>
      <c r="Q27" s="1"/>
      <c r="R27" s="2">
        <f t="shared" si="7"/>
        <v>0</v>
      </c>
      <c r="S27" s="3">
        <f t="shared" si="9"/>
        <v>7.1135999999999999</v>
      </c>
      <c r="T27" s="5">
        <v>988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41512</v>
      </c>
      <c r="B28" s="1">
        <v>15</v>
      </c>
      <c r="C28" s="2">
        <f t="shared" si="3"/>
        <v>65</v>
      </c>
      <c r="D28" s="3">
        <f>1920*8.1/1000</f>
        <v>15.552</v>
      </c>
      <c r="E28" s="3">
        <f t="shared" si="4"/>
        <v>66.096000000000004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77"/>
      <c r="N28" s="29">
        <f t="shared" si="0"/>
        <v>0</v>
      </c>
      <c r="O28" s="81"/>
      <c r="Q28" s="1"/>
      <c r="R28" s="2">
        <f t="shared" si="7"/>
        <v>0</v>
      </c>
      <c r="S28" s="3">
        <f t="shared" si="9"/>
        <v>8.1359999999999992</v>
      </c>
      <c r="T28" s="5">
        <f>130+1000</f>
        <v>1130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41513</v>
      </c>
      <c r="B29" s="1">
        <v>15</v>
      </c>
      <c r="C29" s="2">
        <f t="shared" si="3"/>
        <v>80</v>
      </c>
      <c r="D29" s="3">
        <f>2390*8.1/1000</f>
        <v>19.359000000000002</v>
      </c>
      <c r="E29" s="3">
        <f t="shared" si="4"/>
        <v>85.455000000000013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77">
        <f>630+763+730+1000</f>
        <v>3123</v>
      </c>
      <c r="N29" s="63">
        <f t="shared" si="0"/>
        <v>22.485600000000002</v>
      </c>
      <c r="O29" s="81"/>
      <c r="Q29" s="1"/>
      <c r="R29" s="2">
        <f t="shared" si="7"/>
        <v>0</v>
      </c>
      <c r="S29" s="3">
        <f t="shared" si="9"/>
        <v>11.628</v>
      </c>
      <c r="T29" s="5">
        <f>275+1040+300</f>
        <v>1615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41514</v>
      </c>
      <c r="B30" s="1">
        <v>15</v>
      </c>
      <c r="C30" s="2">
        <f t="shared" si="3"/>
        <v>95</v>
      </c>
      <c r="D30" s="3">
        <f>2120*8.1/1000</f>
        <v>17.172000000000001</v>
      </c>
      <c r="E30" s="3">
        <f t="shared" si="4"/>
        <v>102.62700000000001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77">
        <f>1040+1355+1295</f>
        <v>3690</v>
      </c>
      <c r="N30" s="29">
        <f t="shared" si="0"/>
        <v>26.568000000000001</v>
      </c>
      <c r="O30" s="80"/>
      <c r="Q30" s="1"/>
      <c r="R30" s="2">
        <f t="shared" si="7"/>
        <v>0</v>
      </c>
      <c r="S30" s="3">
        <f t="shared" si="9"/>
        <v>11.764800000000001</v>
      </c>
      <c r="T30" s="5">
        <f>310+780+544</f>
        <v>1634</v>
      </c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41515</v>
      </c>
      <c r="B31" s="1">
        <v>11</v>
      </c>
      <c r="C31" s="2">
        <f t="shared" si="3"/>
        <v>106</v>
      </c>
      <c r="D31" s="7">
        <f>270*8.1/1000</f>
        <v>2.1869999999999998</v>
      </c>
      <c r="E31" s="3">
        <f t="shared" si="4"/>
        <v>104.81400000000001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77"/>
      <c r="N31" s="63">
        <f t="shared" si="0"/>
        <v>0</v>
      </c>
      <c r="O31" s="81"/>
      <c r="Q31" s="1"/>
      <c r="R31" s="2">
        <f t="shared" si="7"/>
        <v>0</v>
      </c>
      <c r="S31" s="3">
        <f t="shared" si="9"/>
        <v>11.3832</v>
      </c>
      <c r="T31" s="5">
        <f>441+1140</f>
        <v>1581</v>
      </c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41516</v>
      </c>
      <c r="B32" s="1"/>
      <c r="C32" s="2">
        <f t="shared" si="3"/>
        <v>106</v>
      </c>
      <c r="D32" s="3"/>
      <c r="E32" s="3">
        <f t="shared" si="4"/>
        <v>104.81400000000001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77"/>
      <c r="N32" s="63">
        <f t="shared" si="0"/>
        <v>0</v>
      </c>
      <c r="O32" s="81"/>
      <c r="Q32" s="1"/>
      <c r="R32" s="2">
        <f t="shared" si="7"/>
        <v>0</v>
      </c>
      <c r="S32" s="3">
        <f t="shared" si="9"/>
        <v>8.9423999999999992</v>
      </c>
      <c r="T32" s="5">
        <f>1017+225</f>
        <v>1242</v>
      </c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41517</v>
      </c>
      <c r="B33" s="1"/>
      <c r="C33" s="2">
        <f t="shared" si="3"/>
        <v>106</v>
      </c>
      <c r="D33" s="53"/>
      <c r="E33" s="3">
        <f t="shared" si="4"/>
        <v>104.81400000000001</v>
      </c>
      <c r="F33" s="69"/>
      <c r="G33" s="55"/>
      <c r="H33" s="2"/>
      <c r="I33" s="53"/>
      <c r="J33" s="56"/>
      <c r="K33" s="69"/>
      <c r="L33" s="42"/>
      <c r="M33" s="77">
        <f>1140+1017</f>
        <v>2157</v>
      </c>
      <c r="N33" s="63">
        <f t="shared" si="0"/>
        <v>15.5304</v>
      </c>
      <c r="O33" s="81"/>
      <c r="Q33" s="55"/>
      <c r="R33" s="93">
        <f t="shared" si="7"/>
        <v>0</v>
      </c>
      <c r="S33" s="3">
        <f t="shared" si="9"/>
        <v>7.452</v>
      </c>
      <c r="T33" s="56">
        <v>1035</v>
      </c>
      <c r="U33" s="69"/>
      <c r="W33" s="13"/>
      <c r="X33" s="63"/>
      <c r="Y33" s="29"/>
    </row>
    <row r="34" spans="1:25" ht="21" customHeight="1" thickBot="1" x14ac:dyDescent="0.3">
      <c r="A34" s="17" t="s">
        <v>8</v>
      </c>
      <c r="B34" s="40">
        <f>SUM(B3:B33)</f>
        <v>106</v>
      </c>
      <c r="C34" s="40">
        <f>+B34</f>
        <v>106</v>
      </c>
      <c r="D34" s="88">
        <f>SUM(D3:D33)</f>
        <v>104.81400000000001</v>
      </c>
      <c r="E34" s="88">
        <f>+D34</f>
        <v>104.81400000000001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83">
        <f>SUM(M3:M33)</f>
        <v>8970</v>
      </c>
      <c r="N34" s="84">
        <f>SUM(N3:N33)</f>
        <v>64.584000000000003</v>
      </c>
      <c r="O34" s="85"/>
      <c r="Q34" s="95">
        <f>SUM(Q3:Q33)</f>
        <v>0</v>
      </c>
      <c r="R34" s="94">
        <f>+Q34</f>
        <v>0</v>
      </c>
      <c r="S34" s="92">
        <f>SUM(S3:S33)</f>
        <v>73.656000000000006</v>
      </c>
      <c r="T34" s="27">
        <f>SUM(T3:T33)</f>
        <v>10230</v>
      </c>
      <c r="U34" s="28"/>
      <c r="W34" s="29">
        <f>SUM(W3:W32)</f>
        <v>0</v>
      </c>
      <c r="X34" s="63">
        <f>SUM(X3:X32)</f>
        <v>0</v>
      </c>
      <c r="Y34" s="16"/>
    </row>
    <row r="35" spans="1:25" x14ac:dyDescent="0.2">
      <c r="D35" s="64"/>
      <c r="S35" s="64">
        <f>106-S34</f>
        <v>32.343999999999994</v>
      </c>
    </row>
    <row r="36" spans="1:25" x14ac:dyDescent="0.2">
      <c r="D36" s="91"/>
      <c r="T36" s="64"/>
    </row>
    <row r="41" spans="1:25" x14ac:dyDescent="0.2">
      <c r="D41" s="37"/>
    </row>
  </sheetData>
  <mergeCells count="3">
    <mergeCell ref="A1:F1"/>
    <mergeCell ref="G1:K1"/>
    <mergeCell ref="Q1: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A13" workbookViewId="0">
      <selection activeCell="P24" sqref="P24:P31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7" max="7" width="11.85546875" hidden="1" customWidth="1"/>
    <col min="8" max="8" width="9.85546875" hidden="1" customWidth="1"/>
    <col min="9" max="9" width="10.42578125" hidden="1" customWidth="1"/>
    <col min="10" max="11" width="0" hidden="1" customWidth="1"/>
    <col min="12" max="12" width="13.85546875" bestFit="1" customWidth="1"/>
    <col min="13" max="13" width="13.140625" bestFit="1" customWidth="1"/>
    <col min="14" max="14" width="10.7109375" bestFit="1" customWidth="1"/>
    <col min="16" max="16" width="10.85546875" customWidth="1"/>
    <col min="17" max="17" width="10" customWidth="1"/>
    <col min="18" max="18" width="14" customWidth="1"/>
    <col min="22" max="23" width="0" hidden="1" customWidth="1"/>
    <col min="24" max="24" width="10.140625" hidden="1" customWidth="1"/>
  </cols>
  <sheetData>
    <row r="1" spans="1:24" ht="16.5" thickBot="1" x14ac:dyDescent="0.3">
      <c r="A1" s="218" t="s">
        <v>0</v>
      </c>
      <c r="B1" s="219"/>
      <c r="C1" s="219"/>
      <c r="D1" s="219"/>
      <c r="E1" s="219"/>
      <c r="F1" s="220"/>
      <c r="G1" s="219" t="s">
        <v>14</v>
      </c>
      <c r="H1" s="219"/>
      <c r="I1" s="219"/>
      <c r="J1" s="219"/>
      <c r="K1" s="220"/>
      <c r="L1" s="219" t="s">
        <v>15</v>
      </c>
      <c r="M1" s="219"/>
      <c r="N1" s="219"/>
      <c r="O1" s="219"/>
      <c r="P1" s="220"/>
      <c r="Q1" s="31"/>
      <c r="R1" s="37" t="s">
        <v>17</v>
      </c>
      <c r="V1" s="37" t="s">
        <v>18</v>
      </c>
    </row>
    <row r="2" spans="1:24" ht="45.75" customHeight="1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19" t="s">
        <v>6</v>
      </c>
      <c r="M2" s="19" t="s">
        <v>3</v>
      </c>
      <c r="N2" s="15" t="s">
        <v>4</v>
      </c>
      <c r="O2" s="15" t="s">
        <v>7</v>
      </c>
      <c r="P2" s="21" t="s">
        <v>5</v>
      </c>
      <c r="Q2" s="32"/>
      <c r="R2" s="36" t="s">
        <v>9</v>
      </c>
      <c r="S2" s="10" t="s">
        <v>10</v>
      </c>
      <c r="T2" s="10" t="s">
        <v>11</v>
      </c>
      <c r="V2" s="36" t="s">
        <v>9</v>
      </c>
      <c r="W2" s="10" t="s">
        <v>10</v>
      </c>
      <c r="X2" s="10" t="s">
        <v>11</v>
      </c>
    </row>
    <row r="3" spans="1:24" ht="15" x14ac:dyDescent="0.2">
      <c r="A3" s="11">
        <v>40940</v>
      </c>
      <c r="B3" s="1"/>
      <c r="C3" s="2">
        <f>B3</f>
        <v>0</v>
      </c>
      <c r="D3" s="3"/>
      <c r="E3" s="3">
        <f>D3</f>
        <v>0</v>
      </c>
      <c r="F3" s="4"/>
      <c r="G3" s="1"/>
      <c r="H3" s="2">
        <f>G3</f>
        <v>0</v>
      </c>
      <c r="I3" s="3">
        <f>J3*9.6/1000</f>
        <v>0</v>
      </c>
      <c r="J3" s="5"/>
      <c r="K3" s="4" t="s">
        <v>13</v>
      </c>
      <c r="L3" s="1"/>
      <c r="M3" s="2">
        <f>L3</f>
        <v>0</v>
      </c>
      <c r="N3" s="3">
        <f>O3*7.2/1000</f>
        <v>0</v>
      </c>
      <c r="O3" s="5"/>
      <c r="P3" s="4"/>
      <c r="Q3" s="33"/>
      <c r="R3" s="30"/>
      <c r="S3" s="29">
        <f t="shared" ref="S3:S31" si="0">+R3*7.2/1000</f>
        <v>0</v>
      </c>
      <c r="T3" s="29"/>
      <c r="V3" s="30"/>
      <c r="W3" s="29">
        <f>+V3*9.6/1000</f>
        <v>0</v>
      </c>
      <c r="X3" s="29"/>
    </row>
    <row r="4" spans="1:24" x14ac:dyDescent="0.2">
      <c r="A4" s="11">
        <f t="shared" ref="A4:A31" si="1">A3+1</f>
        <v>40941</v>
      </c>
      <c r="B4" s="1"/>
      <c r="C4" s="2">
        <f t="shared" ref="C4:C31" si="2">B4+C3</f>
        <v>0</v>
      </c>
      <c r="D4" s="6"/>
      <c r="E4" s="3">
        <f t="shared" ref="E4:E31" si="3">D4+E3</f>
        <v>0</v>
      </c>
      <c r="F4" s="4"/>
      <c r="G4" s="1"/>
      <c r="H4" s="2">
        <f t="shared" ref="H4:H31" si="4">H3+G4</f>
        <v>0</v>
      </c>
      <c r="I4" s="3">
        <f t="shared" ref="I4:I31" si="5">J4*9.6/1000</f>
        <v>0</v>
      </c>
      <c r="J4" s="5"/>
      <c r="K4" s="4" t="s">
        <v>13</v>
      </c>
      <c r="L4" s="1"/>
      <c r="M4" s="2">
        <f t="shared" ref="M4:M31" si="6">M3+L4</f>
        <v>0</v>
      </c>
      <c r="N4" s="3">
        <f t="shared" ref="N4:N32" si="7">O4*7.2/1000</f>
        <v>0</v>
      </c>
      <c r="O4" s="5"/>
      <c r="P4" s="4"/>
      <c r="Q4" s="34"/>
      <c r="R4" s="15">
        <v>2175</v>
      </c>
      <c r="S4" s="29">
        <f t="shared" si="0"/>
        <v>15.66</v>
      </c>
      <c r="T4" s="29"/>
      <c r="V4" s="15"/>
      <c r="W4" s="29">
        <f t="shared" ref="W4:W31" si="8">+V4*9.6/1000</f>
        <v>0</v>
      </c>
      <c r="X4" s="38"/>
    </row>
    <row r="5" spans="1:24" ht="15" x14ac:dyDescent="0.25">
      <c r="A5" s="11">
        <f t="shared" si="1"/>
        <v>40942</v>
      </c>
      <c r="B5" s="1"/>
      <c r="C5" s="2">
        <f t="shared" si="2"/>
        <v>0</v>
      </c>
      <c r="D5" s="6"/>
      <c r="E5" s="3">
        <f t="shared" si="3"/>
        <v>0</v>
      </c>
      <c r="F5" s="4"/>
      <c r="G5" s="1"/>
      <c r="H5" s="2">
        <f t="shared" si="4"/>
        <v>0</v>
      </c>
      <c r="I5" s="3">
        <f t="shared" si="5"/>
        <v>0</v>
      </c>
      <c r="J5" s="5"/>
      <c r="K5" s="4" t="s">
        <v>13</v>
      </c>
      <c r="L5" s="1"/>
      <c r="M5" s="2">
        <f t="shared" si="6"/>
        <v>0</v>
      </c>
      <c r="N5" s="3">
        <f t="shared" si="7"/>
        <v>0</v>
      </c>
      <c r="O5" s="5"/>
      <c r="P5" s="4"/>
      <c r="Q5" s="33"/>
      <c r="R5" s="13"/>
      <c r="S5" s="29">
        <f t="shared" si="0"/>
        <v>0</v>
      </c>
      <c r="T5" s="29"/>
      <c r="V5" s="15">
        <v>2390</v>
      </c>
      <c r="W5" s="29">
        <f t="shared" si="8"/>
        <v>22.943999999999999</v>
      </c>
      <c r="X5" s="38">
        <v>41254</v>
      </c>
    </row>
    <row r="6" spans="1:24" ht="15" x14ac:dyDescent="0.25">
      <c r="A6" s="11">
        <f t="shared" si="1"/>
        <v>40943</v>
      </c>
      <c r="B6" s="1"/>
      <c r="C6" s="2">
        <f t="shared" si="2"/>
        <v>0</v>
      </c>
      <c r="D6" s="3"/>
      <c r="E6" s="3">
        <f t="shared" si="3"/>
        <v>0</v>
      </c>
      <c r="F6" s="4"/>
      <c r="G6" s="1"/>
      <c r="H6" s="2">
        <f t="shared" si="4"/>
        <v>0</v>
      </c>
      <c r="I6" s="3">
        <f t="shared" si="5"/>
        <v>0</v>
      </c>
      <c r="J6" s="5"/>
      <c r="K6" s="4" t="s">
        <v>13</v>
      </c>
      <c r="L6" s="1"/>
      <c r="M6" s="2">
        <f t="shared" si="6"/>
        <v>0</v>
      </c>
      <c r="N6" s="3">
        <f t="shared" si="7"/>
        <v>0</v>
      </c>
      <c r="O6" s="5"/>
      <c r="P6" s="4"/>
      <c r="Q6" s="33"/>
      <c r="R6" s="13"/>
      <c r="S6" s="29">
        <f t="shared" si="0"/>
        <v>0</v>
      </c>
      <c r="T6" s="29"/>
      <c r="V6" s="13"/>
      <c r="W6" s="29">
        <f t="shared" si="8"/>
        <v>0</v>
      </c>
      <c r="X6" s="29"/>
    </row>
    <row r="7" spans="1:24" ht="15" x14ac:dyDescent="0.25">
      <c r="A7" s="11">
        <f t="shared" si="1"/>
        <v>40944</v>
      </c>
      <c r="B7" s="1"/>
      <c r="C7" s="2">
        <f t="shared" si="2"/>
        <v>0</v>
      </c>
      <c r="D7" s="3"/>
      <c r="E7" s="3">
        <f t="shared" si="3"/>
        <v>0</v>
      </c>
      <c r="F7" s="4"/>
      <c r="G7" s="1"/>
      <c r="H7" s="2">
        <f t="shared" si="4"/>
        <v>0</v>
      </c>
      <c r="I7" s="3">
        <f t="shared" si="5"/>
        <v>0</v>
      </c>
      <c r="J7" s="5"/>
      <c r="K7" s="4" t="s">
        <v>13</v>
      </c>
      <c r="L7" s="1"/>
      <c r="M7" s="2">
        <f t="shared" si="6"/>
        <v>0</v>
      </c>
      <c r="N7" s="3">
        <f t="shared" si="7"/>
        <v>0</v>
      </c>
      <c r="O7" s="5"/>
      <c r="P7" s="4"/>
      <c r="Q7" s="33"/>
      <c r="R7" s="13"/>
      <c r="S7" s="29">
        <f t="shared" si="0"/>
        <v>0</v>
      </c>
      <c r="T7" s="29"/>
      <c r="V7" s="13">
        <v>2285</v>
      </c>
      <c r="W7" s="29">
        <f t="shared" si="8"/>
        <v>21.936</v>
      </c>
      <c r="X7" s="38">
        <v>41254</v>
      </c>
    </row>
    <row r="8" spans="1:24" ht="15" x14ac:dyDescent="0.25">
      <c r="A8" s="11">
        <f t="shared" si="1"/>
        <v>40945</v>
      </c>
      <c r="B8" s="1"/>
      <c r="C8" s="2">
        <f t="shared" si="2"/>
        <v>0</v>
      </c>
      <c r="D8" s="3"/>
      <c r="E8" s="3">
        <f t="shared" si="3"/>
        <v>0</v>
      </c>
      <c r="F8" s="4"/>
      <c r="G8" s="1"/>
      <c r="H8" s="2">
        <f t="shared" si="4"/>
        <v>0</v>
      </c>
      <c r="I8" s="3">
        <f t="shared" si="5"/>
        <v>0</v>
      </c>
      <c r="J8" s="5"/>
      <c r="K8" s="4" t="s">
        <v>13</v>
      </c>
      <c r="L8" s="1"/>
      <c r="M8" s="2">
        <f t="shared" si="6"/>
        <v>0</v>
      </c>
      <c r="N8" s="3">
        <f t="shared" si="7"/>
        <v>0</v>
      </c>
      <c r="O8" s="5"/>
      <c r="P8" s="4"/>
      <c r="Q8" s="33"/>
      <c r="R8" s="30"/>
      <c r="S8" s="29">
        <f t="shared" si="0"/>
        <v>0</v>
      </c>
      <c r="T8" s="14"/>
      <c r="V8" s="12"/>
      <c r="W8" s="29">
        <f t="shared" si="8"/>
        <v>0</v>
      </c>
      <c r="X8" s="14"/>
    </row>
    <row r="9" spans="1:24" ht="15" x14ac:dyDescent="0.25">
      <c r="A9" s="11">
        <f t="shared" si="1"/>
        <v>40946</v>
      </c>
      <c r="B9" s="1"/>
      <c r="C9" s="2">
        <f t="shared" si="2"/>
        <v>0</v>
      </c>
      <c r="D9" s="3"/>
      <c r="E9" s="3">
        <f t="shared" si="3"/>
        <v>0</v>
      </c>
      <c r="F9" s="4"/>
      <c r="G9" s="1"/>
      <c r="H9" s="2">
        <f t="shared" si="4"/>
        <v>0</v>
      </c>
      <c r="I9" s="3">
        <f t="shared" si="5"/>
        <v>0</v>
      </c>
      <c r="J9" s="5"/>
      <c r="K9" s="4" t="s">
        <v>13</v>
      </c>
      <c r="L9" s="1"/>
      <c r="M9" s="2">
        <f t="shared" si="6"/>
        <v>0</v>
      </c>
      <c r="N9" s="3">
        <f t="shared" si="7"/>
        <v>0</v>
      </c>
      <c r="O9" s="5"/>
      <c r="P9" s="4"/>
      <c r="Q9" s="33"/>
      <c r="R9" s="12">
        <v>3242</v>
      </c>
      <c r="S9" s="29">
        <f t="shared" si="0"/>
        <v>23.342400000000001</v>
      </c>
      <c r="T9" s="29"/>
      <c r="V9" s="12">
        <v>3258</v>
      </c>
      <c r="W9" s="29">
        <f t="shared" si="8"/>
        <v>31.276799999999998</v>
      </c>
      <c r="X9" s="38">
        <v>41254</v>
      </c>
    </row>
    <row r="10" spans="1:24" ht="15" x14ac:dyDescent="0.25">
      <c r="A10" s="11">
        <f t="shared" si="1"/>
        <v>40947</v>
      </c>
      <c r="B10" s="1"/>
      <c r="C10" s="2">
        <f t="shared" si="2"/>
        <v>0</v>
      </c>
      <c r="D10" s="3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4" t="s">
        <v>13</v>
      </c>
      <c r="L10" s="1"/>
      <c r="M10" s="2">
        <f t="shared" si="6"/>
        <v>0</v>
      </c>
      <c r="N10" s="3">
        <f t="shared" si="7"/>
        <v>0</v>
      </c>
      <c r="O10" s="5"/>
      <c r="P10" s="4"/>
      <c r="Q10" s="33"/>
      <c r="R10" s="13">
        <v>1912</v>
      </c>
      <c r="S10" s="29">
        <f t="shared" si="0"/>
        <v>13.766399999999999</v>
      </c>
      <c r="T10" s="29"/>
      <c r="V10" s="13"/>
      <c r="W10" s="29">
        <f t="shared" si="8"/>
        <v>0</v>
      </c>
      <c r="X10" s="29"/>
    </row>
    <row r="11" spans="1:24" ht="15" x14ac:dyDescent="0.25">
      <c r="A11" s="11">
        <f t="shared" si="1"/>
        <v>40948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4" t="s">
        <v>13</v>
      </c>
      <c r="L11" s="1"/>
      <c r="M11" s="2">
        <f t="shared" si="6"/>
        <v>0</v>
      </c>
      <c r="N11" s="3">
        <f t="shared" si="7"/>
        <v>0</v>
      </c>
      <c r="O11" s="5"/>
      <c r="P11" s="4"/>
      <c r="Q11" s="33"/>
      <c r="R11" s="13"/>
      <c r="S11" s="29">
        <f t="shared" si="0"/>
        <v>0</v>
      </c>
      <c r="T11" s="29"/>
      <c r="V11" s="13"/>
      <c r="W11" s="29">
        <f t="shared" si="8"/>
        <v>0</v>
      </c>
      <c r="X11" s="29"/>
    </row>
    <row r="12" spans="1:24" ht="15" x14ac:dyDescent="0.2">
      <c r="A12" s="11">
        <f t="shared" si="1"/>
        <v>40949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4" t="s">
        <v>13</v>
      </c>
      <c r="L12" s="1"/>
      <c r="M12" s="2">
        <f t="shared" si="6"/>
        <v>0</v>
      </c>
      <c r="N12" s="3">
        <f t="shared" si="7"/>
        <v>0</v>
      </c>
      <c r="O12" s="5"/>
      <c r="P12" s="4"/>
      <c r="Q12" s="33"/>
      <c r="R12" s="30"/>
      <c r="S12" s="29">
        <f t="shared" si="0"/>
        <v>0</v>
      </c>
      <c r="T12" s="29"/>
      <c r="V12" s="30">
        <v>3145</v>
      </c>
      <c r="W12" s="29">
        <f t="shared" si="8"/>
        <v>30.192</v>
      </c>
      <c r="X12" s="38">
        <v>41254</v>
      </c>
    </row>
    <row r="13" spans="1:24" ht="15" x14ac:dyDescent="0.25">
      <c r="A13" s="11">
        <f t="shared" si="1"/>
        <v>40950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4" t="s">
        <v>13</v>
      </c>
      <c r="L13" s="1"/>
      <c r="M13" s="2">
        <f t="shared" si="6"/>
        <v>0</v>
      </c>
      <c r="N13" s="3">
        <f t="shared" si="7"/>
        <v>0</v>
      </c>
      <c r="O13" s="5"/>
      <c r="P13" s="4"/>
      <c r="Q13" s="33"/>
      <c r="R13" s="13"/>
      <c r="S13" s="29">
        <f t="shared" si="0"/>
        <v>0</v>
      </c>
      <c r="T13" s="29"/>
      <c r="V13" s="13"/>
      <c r="W13" s="29">
        <f t="shared" si="8"/>
        <v>0</v>
      </c>
      <c r="X13" s="29"/>
    </row>
    <row r="14" spans="1:24" ht="15" x14ac:dyDescent="0.25">
      <c r="A14" s="11">
        <f t="shared" si="1"/>
        <v>40951</v>
      </c>
      <c r="B14" s="1"/>
      <c r="C14" s="2">
        <f t="shared" si="2"/>
        <v>0</v>
      </c>
      <c r="D14" s="3"/>
      <c r="E14" s="3">
        <f t="shared" si="3"/>
        <v>0</v>
      </c>
      <c r="F14" s="4"/>
      <c r="G14" s="1"/>
      <c r="H14" s="2">
        <f t="shared" si="4"/>
        <v>0</v>
      </c>
      <c r="I14" s="3">
        <f t="shared" si="5"/>
        <v>0</v>
      </c>
      <c r="J14" s="5"/>
      <c r="K14" s="4" t="s">
        <v>13</v>
      </c>
      <c r="L14" s="1"/>
      <c r="M14" s="2">
        <f t="shared" si="6"/>
        <v>0</v>
      </c>
      <c r="N14" s="3">
        <f t="shared" si="7"/>
        <v>0</v>
      </c>
      <c r="O14" s="5"/>
      <c r="P14" s="4"/>
      <c r="Q14" s="33"/>
      <c r="R14" s="13"/>
      <c r="S14" s="29">
        <f t="shared" si="0"/>
        <v>0</v>
      </c>
      <c r="T14" s="29"/>
      <c r="V14" s="13">
        <v>3540</v>
      </c>
      <c r="W14" s="29">
        <f t="shared" si="8"/>
        <v>33.984000000000002</v>
      </c>
      <c r="X14" s="38">
        <v>41254</v>
      </c>
    </row>
    <row r="15" spans="1:24" ht="15" x14ac:dyDescent="0.25">
      <c r="A15" s="11">
        <f t="shared" si="1"/>
        <v>40952</v>
      </c>
      <c r="B15" s="1"/>
      <c r="C15" s="2">
        <f t="shared" si="2"/>
        <v>0</v>
      </c>
      <c r="D15" s="3"/>
      <c r="E15" s="3">
        <f t="shared" si="3"/>
        <v>0</v>
      </c>
      <c r="F15" s="4"/>
      <c r="G15" s="1"/>
      <c r="H15" s="2">
        <f t="shared" si="4"/>
        <v>0</v>
      </c>
      <c r="I15" s="3">
        <f t="shared" si="5"/>
        <v>0</v>
      </c>
      <c r="J15" s="5"/>
      <c r="K15" s="4" t="s">
        <v>13</v>
      </c>
      <c r="L15" s="1"/>
      <c r="M15" s="2">
        <f t="shared" si="6"/>
        <v>0</v>
      </c>
      <c r="N15" s="3">
        <f t="shared" si="7"/>
        <v>0</v>
      </c>
      <c r="O15" s="5"/>
      <c r="P15" s="4"/>
      <c r="Q15" s="33"/>
      <c r="R15" s="13"/>
      <c r="S15" s="29">
        <f t="shared" si="0"/>
        <v>0</v>
      </c>
      <c r="T15" s="29"/>
      <c r="V15" s="13">
        <v>2372</v>
      </c>
      <c r="W15" s="29">
        <f t="shared" si="8"/>
        <v>22.7712</v>
      </c>
      <c r="X15" s="38">
        <v>41254</v>
      </c>
    </row>
    <row r="16" spans="1:24" ht="15" x14ac:dyDescent="0.25">
      <c r="A16" s="11">
        <f t="shared" si="1"/>
        <v>40953</v>
      </c>
      <c r="B16" s="1"/>
      <c r="C16" s="2">
        <f t="shared" si="2"/>
        <v>0</v>
      </c>
      <c r="D16" s="3"/>
      <c r="E16" s="3">
        <f t="shared" si="3"/>
        <v>0</v>
      </c>
      <c r="F16" s="4"/>
      <c r="G16" s="1"/>
      <c r="H16" s="2">
        <f t="shared" si="4"/>
        <v>0</v>
      </c>
      <c r="I16" s="3">
        <f t="shared" si="5"/>
        <v>0</v>
      </c>
      <c r="J16" s="5"/>
      <c r="K16" s="4" t="s">
        <v>13</v>
      </c>
      <c r="L16" s="1"/>
      <c r="M16" s="2">
        <f t="shared" si="6"/>
        <v>0</v>
      </c>
      <c r="N16" s="3">
        <f t="shared" si="7"/>
        <v>0</v>
      </c>
      <c r="O16" s="5"/>
      <c r="P16" s="4"/>
      <c r="Q16" s="33"/>
      <c r="R16" s="13"/>
      <c r="S16" s="29">
        <f t="shared" si="0"/>
        <v>0</v>
      </c>
      <c r="T16" s="29"/>
      <c r="V16" s="13"/>
      <c r="W16" s="29">
        <f t="shared" si="8"/>
        <v>0</v>
      </c>
      <c r="X16" s="14"/>
    </row>
    <row r="17" spans="1:24" ht="15" x14ac:dyDescent="0.25">
      <c r="A17" s="11">
        <f t="shared" si="1"/>
        <v>40954</v>
      </c>
      <c r="B17" s="1"/>
      <c r="C17" s="2">
        <f t="shared" si="2"/>
        <v>0</v>
      </c>
      <c r="D17" s="6"/>
      <c r="E17" s="6">
        <f t="shared" si="3"/>
        <v>0</v>
      </c>
      <c r="F17" s="4"/>
      <c r="G17" s="1"/>
      <c r="H17" s="2">
        <f t="shared" si="4"/>
        <v>0</v>
      </c>
      <c r="I17" s="3">
        <f t="shared" si="5"/>
        <v>0</v>
      </c>
      <c r="J17" s="5"/>
      <c r="K17" s="4" t="s">
        <v>13</v>
      </c>
      <c r="L17" s="1"/>
      <c r="M17" s="2">
        <f t="shared" si="6"/>
        <v>0</v>
      </c>
      <c r="N17" s="3">
        <f t="shared" si="7"/>
        <v>0</v>
      </c>
      <c r="O17" s="5"/>
      <c r="P17" s="4"/>
      <c r="Q17" s="33"/>
      <c r="R17" s="13"/>
      <c r="S17" s="29">
        <f t="shared" si="0"/>
        <v>0</v>
      </c>
      <c r="T17" s="29"/>
      <c r="V17" s="13"/>
      <c r="W17" s="29">
        <f t="shared" si="8"/>
        <v>0</v>
      </c>
      <c r="X17" s="29"/>
    </row>
    <row r="18" spans="1:24" ht="15" x14ac:dyDescent="0.25">
      <c r="A18" s="11">
        <f t="shared" si="1"/>
        <v>40955</v>
      </c>
      <c r="B18" s="1"/>
      <c r="C18" s="2">
        <f t="shared" si="2"/>
        <v>0</v>
      </c>
      <c r="D18" s="3"/>
      <c r="E18" s="3">
        <f t="shared" si="3"/>
        <v>0</v>
      </c>
      <c r="F18" s="4"/>
      <c r="G18" s="1"/>
      <c r="H18" s="2">
        <f t="shared" si="4"/>
        <v>0</v>
      </c>
      <c r="I18" s="3">
        <f t="shared" si="5"/>
        <v>0</v>
      </c>
      <c r="J18" s="5"/>
      <c r="K18" s="4"/>
      <c r="L18" s="1"/>
      <c r="M18" s="2">
        <f t="shared" si="6"/>
        <v>0</v>
      </c>
      <c r="N18" s="3">
        <f t="shared" si="7"/>
        <v>0</v>
      </c>
      <c r="O18" s="5"/>
      <c r="P18" s="4"/>
      <c r="Q18" s="33"/>
      <c r="R18" s="13"/>
      <c r="S18" s="29">
        <f t="shared" si="0"/>
        <v>0</v>
      </c>
      <c r="T18" s="29"/>
      <c r="V18" s="13">
        <v>1576</v>
      </c>
      <c r="W18" s="29">
        <f t="shared" si="8"/>
        <v>15.129599999999998</v>
      </c>
      <c r="X18" s="38">
        <v>41254</v>
      </c>
    </row>
    <row r="19" spans="1:24" ht="15" x14ac:dyDescent="0.25">
      <c r="A19" s="11">
        <f t="shared" si="1"/>
        <v>40956</v>
      </c>
      <c r="B19" s="1"/>
      <c r="C19" s="2">
        <f t="shared" si="2"/>
        <v>0</v>
      </c>
      <c r="D19" s="3"/>
      <c r="E19" s="3">
        <f t="shared" si="3"/>
        <v>0</v>
      </c>
      <c r="F19" s="4"/>
      <c r="G19" s="1"/>
      <c r="H19" s="2">
        <f t="shared" si="4"/>
        <v>0</v>
      </c>
      <c r="I19" s="3">
        <f t="shared" si="5"/>
        <v>0</v>
      </c>
      <c r="J19" s="5"/>
      <c r="K19" s="4"/>
      <c r="L19" s="1"/>
      <c r="M19" s="2">
        <f t="shared" si="6"/>
        <v>0</v>
      </c>
      <c r="N19" s="3">
        <f t="shared" si="7"/>
        <v>0</v>
      </c>
      <c r="O19" s="5"/>
      <c r="P19" s="4"/>
      <c r="Q19" s="33"/>
      <c r="R19" s="13"/>
      <c r="S19" s="29">
        <f t="shared" si="0"/>
        <v>0</v>
      </c>
      <c r="T19" s="29"/>
      <c r="V19" s="13"/>
      <c r="W19" s="29">
        <f t="shared" si="8"/>
        <v>0</v>
      </c>
      <c r="X19" s="14"/>
    </row>
    <row r="20" spans="1:24" ht="15" x14ac:dyDescent="0.25">
      <c r="A20" s="11">
        <f t="shared" si="1"/>
        <v>40957</v>
      </c>
      <c r="B20" s="1"/>
      <c r="C20" s="2">
        <f t="shared" si="2"/>
        <v>0</v>
      </c>
      <c r="D20" s="3"/>
      <c r="E20" s="3">
        <f t="shared" si="3"/>
        <v>0</v>
      </c>
      <c r="F20" s="4"/>
      <c r="G20" s="1"/>
      <c r="H20" s="2">
        <f t="shared" si="4"/>
        <v>0</v>
      </c>
      <c r="I20" s="3">
        <f t="shared" si="5"/>
        <v>0</v>
      </c>
      <c r="J20" s="5"/>
      <c r="K20" s="4" t="s">
        <v>13</v>
      </c>
      <c r="L20" s="1"/>
      <c r="M20" s="2">
        <f t="shared" si="6"/>
        <v>0</v>
      </c>
      <c r="N20" s="3">
        <f t="shared" si="7"/>
        <v>0</v>
      </c>
      <c r="O20" s="5"/>
      <c r="P20" s="4"/>
      <c r="Q20" s="33"/>
      <c r="R20" s="13"/>
      <c r="S20" s="29">
        <f t="shared" si="0"/>
        <v>0</v>
      </c>
      <c r="T20" s="29"/>
      <c r="V20" s="13"/>
      <c r="W20" s="29">
        <f t="shared" si="8"/>
        <v>0</v>
      </c>
      <c r="X20" s="29"/>
    </row>
    <row r="21" spans="1:24" ht="15" x14ac:dyDescent="0.25">
      <c r="A21" s="11">
        <f t="shared" si="1"/>
        <v>40958</v>
      </c>
      <c r="B21" s="1">
        <v>12</v>
      </c>
      <c r="C21" s="2">
        <f t="shared" si="2"/>
        <v>12</v>
      </c>
      <c r="D21" s="3">
        <f>1230*8.1/1000</f>
        <v>9.9629999999999992</v>
      </c>
      <c r="E21" s="3">
        <f t="shared" si="3"/>
        <v>9.9629999999999992</v>
      </c>
      <c r="F21" s="39" t="s">
        <v>19</v>
      </c>
      <c r="G21" s="1"/>
      <c r="H21" s="2">
        <f t="shared" si="4"/>
        <v>0</v>
      </c>
      <c r="I21" s="3">
        <f t="shared" si="5"/>
        <v>0</v>
      </c>
      <c r="J21" s="5"/>
      <c r="K21" s="4" t="s">
        <v>13</v>
      </c>
      <c r="L21" s="1"/>
      <c r="M21" s="2">
        <f t="shared" si="6"/>
        <v>0</v>
      </c>
      <c r="N21" s="3">
        <f t="shared" si="7"/>
        <v>0</v>
      </c>
      <c r="O21" s="5"/>
      <c r="P21" s="4"/>
      <c r="Q21" s="33"/>
      <c r="R21" s="13"/>
      <c r="S21" s="29">
        <f t="shared" si="0"/>
        <v>0</v>
      </c>
      <c r="T21" s="29"/>
      <c r="V21" s="13"/>
      <c r="W21" s="29">
        <f t="shared" si="8"/>
        <v>0</v>
      </c>
      <c r="X21" s="29"/>
    </row>
    <row r="22" spans="1:24" ht="15" x14ac:dyDescent="0.25">
      <c r="A22" s="11">
        <f t="shared" si="1"/>
        <v>40959</v>
      </c>
      <c r="B22" s="1">
        <v>12</v>
      </c>
      <c r="C22" s="2">
        <f t="shared" si="2"/>
        <v>24</v>
      </c>
      <c r="D22" s="3">
        <f>1270*8.1/1000</f>
        <v>10.287000000000001</v>
      </c>
      <c r="E22" s="3">
        <f t="shared" si="3"/>
        <v>20.25</v>
      </c>
      <c r="F22" s="39" t="s">
        <v>19</v>
      </c>
      <c r="G22" s="1"/>
      <c r="H22" s="2">
        <f t="shared" si="4"/>
        <v>0</v>
      </c>
      <c r="I22" s="3">
        <f t="shared" si="5"/>
        <v>0</v>
      </c>
      <c r="J22" s="5"/>
      <c r="K22" s="4"/>
      <c r="L22" s="1">
        <v>5</v>
      </c>
      <c r="M22" s="2">
        <f t="shared" si="6"/>
        <v>5</v>
      </c>
      <c r="N22" s="3">
        <f t="shared" si="7"/>
        <v>2.16</v>
      </c>
      <c r="O22" s="5">
        <v>300</v>
      </c>
      <c r="P22" s="4" t="s">
        <v>21</v>
      </c>
      <c r="Q22" s="33"/>
      <c r="R22" s="13"/>
      <c r="S22" s="29">
        <f t="shared" si="0"/>
        <v>0</v>
      </c>
      <c r="T22" s="14"/>
      <c r="V22" s="13"/>
      <c r="W22" s="29">
        <f t="shared" si="8"/>
        <v>0</v>
      </c>
      <c r="X22" s="14"/>
    </row>
    <row r="23" spans="1:24" ht="15" x14ac:dyDescent="0.25">
      <c r="A23" s="11">
        <f t="shared" si="1"/>
        <v>40960</v>
      </c>
      <c r="B23" s="1">
        <v>12</v>
      </c>
      <c r="C23" s="2">
        <f t="shared" si="2"/>
        <v>36</v>
      </c>
      <c r="D23" s="3">
        <f>1470*8.1/1000</f>
        <v>11.907</v>
      </c>
      <c r="E23" s="3">
        <f t="shared" si="3"/>
        <v>32.156999999999996</v>
      </c>
      <c r="F23" s="4"/>
      <c r="G23" s="1"/>
      <c r="H23" s="2">
        <f t="shared" si="4"/>
        <v>0</v>
      </c>
      <c r="I23" s="3">
        <f t="shared" si="5"/>
        <v>0</v>
      </c>
      <c r="J23" s="5"/>
      <c r="K23" s="4"/>
      <c r="L23" s="1">
        <v>8</v>
      </c>
      <c r="M23" s="2">
        <f t="shared" si="6"/>
        <v>13</v>
      </c>
      <c r="N23" s="3">
        <f t="shared" si="7"/>
        <v>0</v>
      </c>
      <c r="O23" s="5"/>
      <c r="P23" s="4"/>
      <c r="Q23" s="33"/>
      <c r="R23" s="13"/>
      <c r="S23" s="29">
        <f t="shared" si="0"/>
        <v>0</v>
      </c>
      <c r="T23" s="38"/>
      <c r="V23" s="13"/>
      <c r="W23" s="29">
        <f t="shared" si="8"/>
        <v>0</v>
      </c>
      <c r="X23" s="14"/>
    </row>
    <row r="24" spans="1:24" ht="15" x14ac:dyDescent="0.25">
      <c r="A24" s="11">
        <f t="shared" si="1"/>
        <v>40961</v>
      </c>
      <c r="B24" s="1">
        <v>12</v>
      </c>
      <c r="C24" s="2">
        <f t="shared" si="2"/>
        <v>48</v>
      </c>
      <c r="D24" s="3">
        <f>1270*8.1/1000</f>
        <v>10.287000000000001</v>
      </c>
      <c r="E24" s="3">
        <f t="shared" si="3"/>
        <v>42.443999999999996</v>
      </c>
      <c r="F24" s="4"/>
      <c r="G24" s="1"/>
      <c r="H24" s="2">
        <f t="shared" si="4"/>
        <v>0</v>
      </c>
      <c r="I24" s="3">
        <f t="shared" si="5"/>
        <v>0</v>
      </c>
      <c r="J24" s="5"/>
      <c r="K24" s="4"/>
      <c r="L24" s="1">
        <v>10</v>
      </c>
      <c r="M24" s="2">
        <f t="shared" si="6"/>
        <v>23</v>
      </c>
      <c r="N24" s="3">
        <f t="shared" si="7"/>
        <v>7.7759999999999998</v>
      </c>
      <c r="O24" s="5">
        <v>1080</v>
      </c>
      <c r="P24" s="4" t="s">
        <v>21</v>
      </c>
      <c r="Q24" s="33"/>
      <c r="R24" s="13"/>
      <c r="S24" s="29">
        <f t="shared" si="0"/>
        <v>0</v>
      </c>
      <c r="T24" s="29"/>
      <c r="V24" s="13"/>
      <c r="W24" s="29">
        <f t="shared" si="8"/>
        <v>0</v>
      </c>
      <c r="X24" s="14"/>
    </row>
    <row r="25" spans="1:24" ht="15" x14ac:dyDescent="0.25">
      <c r="A25" s="11">
        <f t="shared" si="1"/>
        <v>40962</v>
      </c>
      <c r="B25" s="1">
        <v>12</v>
      </c>
      <c r="C25" s="2">
        <f t="shared" si="2"/>
        <v>60</v>
      </c>
      <c r="D25" s="3">
        <f>1320*8.1/1000</f>
        <v>10.692</v>
      </c>
      <c r="E25" s="3">
        <f t="shared" si="3"/>
        <v>53.135999999999996</v>
      </c>
      <c r="F25" s="4"/>
      <c r="G25" s="1"/>
      <c r="H25" s="2">
        <f t="shared" si="4"/>
        <v>0</v>
      </c>
      <c r="I25" s="3">
        <f t="shared" si="5"/>
        <v>0</v>
      </c>
      <c r="J25" s="5"/>
      <c r="K25" s="4"/>
      <c r="L25" s="1">
        <v>10</v>
      </c>
      <c r="M25" s="2">
        <f t="shared" si="6"/>
        <v>33</v>
      </c>
      <c r="N25" s="3">
        <f t="shared" si="7"/>
        <v>5.7960000000000003</v>
      </c>
      <c r="O25" s="5">
        <v>805</v>
      </c>
      <c r="P25" s="4" t="s">
        <v>21</v>
      </c>
      <c r="Q25" s="33"/>
      <c r="R25" s="13">
        <v>1380</v>
      </c>
      <c r="S25" s="29">
        <f t="shared" si="0"/>
        <v>9.9359999999999999</v>
      </c>
      <c r="T25" s="38"/>
      <c r="V25" s="13"/>
      <c r="W25" s="29">
        <f t="shared" si="8"/>
        <v>0</v>
      </c>
      <c r="X25" s="14"/>
    </row>
    <row r="26" spans="1:24" ht="15" x14ac:dyDescent="0.25">
      <c r="A26" s="11">
        <f t="shared" si="1"/>
        <v>40963</v>
      </c>
      <c r="B26" s="1">
        <v>12</v>
      </c>
      <c r="C26" s="2">
        <f t="shared" si="2"/>
        <v>72</v>
      </c>
      <c r="D26" s="3">
        <f>1385*8.1/1000</f>
        <v>11.218500000000001</v>
      </c>
      <c r="E26" s="3">
        <f t="shared" si="3"/>
        <v>64.354500000000002</v>
      </c>
      <c r="F26" s="4"/>
      <c r="G26" s="1"/>
      <c r="H26" s="2">
        <f t="shared" si="4"/>
        <v>0</v>
      </c>
      <c r="I26" s="3">
        <f t="shared" si="5"/>
        <v>0</v>
      </c>
      <c r="J26" s="5"/>
      <c r="K26" s="4"/>
      <c r="L26" s="1">
        <v>10</v>
      </c>
      <c r="M26" s="2">
        <f t="shared" si="6"/>
        <v>43</v>
      </c>
      <c r="N26" s="3">
        <f t="shared" si="7"/>
        <v>5.5439999999999996</v>
      </c>
      <c r="O26" s="5">
        <v>770</v>
      </c>
      <c r="P26" s="4" t="s">
        <v>21</v>
      </c>
      <c r="Q26" s="33"/>
      <c r="R26" s="13"/>
      <c r="S26" s="29">
        <f t="shared" si="0"/>
        <v>0</v>
      </c>
      <c r="T26" s="29"/>
      <c r="V26" s="13"/>
      <c r="W26" s="29">
        <f t="shared" si="8"/>
        <v>0</v>
      </c>
      <c r="X26" s="14"/>
    </row>
    <row r="27" spans="1:24" ht="15" x14ac:dyDescent="0.25">
      <c r="A27" s="11">
        <f t="shared" si="1"/>
        <v>40964</v>
      </c>
      <c r="B27" s="1">
        <v>13</v>
      </c>
      <c r="C27" s="2">
        <f t="shared" si="2"/>
        <v>85</v>
      </c>
      <c r="D27" s="3">
        <f>(1275+250)*8.1/1000</f>
        <v>12.352499999999999</v>
      </c>
      <c r="E27" s="3">
        <f t="shared" si="3"/>
        <v>76.706999999999994</v>
      </c>
      <c r="F27" s="4"/>
      <c r="G27" s="1"/>
      <c r="H27" s="2">
        <f t="shared" si="4"/>
        <v>0</v>
      </c>
      <c r="I27" s="3">
        <f t="shared" si="5"/>
        <v>0</v>
      </c>
      <c r="J27" s="5"/>
      <c r="K27" s="4"/>
      <c r="L27" s="1">
        <v>10</v>
      </c>
      <c r="M27" s="2">
        <f t="shared" si="6"/>
        <v>53</v>
      </c>
      <c r="N27" s="3">
        <f t="shared" si="7"/>
        <v>5.8680000000000003</v>
      </c>
      <c r="O27" s="5">
        <v>815</v>
      </c>
      <c r="P27" s="4" t="s">
        <v>21</v>
      </c>
      <c r="Q27" s="33"/>
      <c r="R27" s="13">
        <v>1425</v>
      </c>
      <c r="S27" s="29">
        <f t="shared" si="0"/>
        <v>10.26</v>
      </c>
      <c r="T27" s="29"/>
      <c r="V27" s="13"/>
      <c r="W27" s="29">
        <f t="shared" si="8"/>
        <v>0</v>
      </c>
      <c r="X27" s="29"/>
    </row>
    <row r="28" spans="1:24" ht="15" x14ac:dyDescent="0.25">
      <c r="A28" s="11">
        <f t="shared" si="1"/>
        <v>40965</v>
      </c>
      <c r="B28" s="1">
        <v>13</v>
      </c>
      <c r="C28" s="2">
        <f t="shared" si="2"/>
        <v>98</v>
      </c>
      <c r="D28" s="3">
        <f>(870+580)*8.1/1000</f>
        <v>11.744999999999999</v>
      </c>
      <c r="E28" s="3">
        <f t="shared" si="3"/>
        <v>88.451999999999998</v>
      </c>
      <c r="F28" s="4"/>
      <c r="G28" s="1"/>
      <c r="H28" s="2">
        <f t="shared" si="4"/>
        <v>0</v>
      </c>
      <c r="I28" s="3">
        <f t="shared" si="5"/>
        <v>0</v>
      </c>
      <c r="J28" s="5"/>
      <c r="K28" s="4"/>
      <c r="L28" s="1">
        <v>10</v>
      </c>
      <c r="M28" s="2">
        <f t="shared" si="6"/>
        <v>63</v>
      </c>
      <c r="N28" s="3">
        <f t="shared" si="7"/>
        <v>2.8728000000000002</v>
      </c>
      <c r="O28" s="5">
        <v>399</v>
      </c>
      <c r="P28" s="4" t="s">
        <v>21</v>
      </c>
      <c r="Q28" s="33"/>
      <c r="R28" s="13"/>
      <c r="S28" s="29">
        <f t="shared" si="0"/>
        <v>0</v>
      </c>
      <c r="T28" s="29"/>
      <c r="V28" s="13"/>
      <c r="W28" s="29">
        <f t="shared" si="8"/>
        <v>0</v>
      </c>
      <c r="X28" s="14"/>
    </row>
    <row r="29" spans="1:24" ht="15" x14ac:dyDescent="0.25">
      <c r="A29" s="11">
        <f t="shared" si="1"/>
        <v>40966</v>
      </c>
      <c r="B29" s="1">
        <v>13</v>
      </c>
      <c r="C29" s="2">
        <f t="shared" si="2"/>
        <v>111</v>
      </c>
      <c r="D29" s="3">
        <f>(1030+450)*8.1/1000</f>
        <v>11.988</v>
      </c>
      <c r="E29" s="3">
        <f t="shared" si="3"/>
        <v>100.44</v>
      </c>
      <c r="F29" s="4"/>
      <c r="G29" s="1"/>
      <c r="H29" s="2">
        <f t="shared" si="4"/>
        <v>0</v>
      </c>
      <c r="I29" s="3">
        <f t="shared" si="5"/>
        <v>0</v>
      </c>
      <c r="J29" s="5"/>
      <c r="K29" s="4"/>
      <c r="L29" s="1">
        <v>10</v>
      </c>
      <c r="M29" s="2">
        <f t="shared" si="6"/>
        <v>73</v>
      </c>
      <c r="N29" s="3">
        <f t="shared" si="7"/>
        <v>6.0552000000000001</v>
      </c>
      <c r="O29" s="5">
        <v>841</v>
      </c>
      <c r="P29" s="4" t="s">
        <v>21</v>
      </c>
      <c r="Q29" s="33"/>
      <c r="R29" s="13"/>
      <c r="S29" s="29">
        <f t="shared" si="0"/>
        <v>0</v>
      </c>
      <c r="T29" s="29"/>
      <c r="V29" s="13"/>
      <c r="W29" s="29">
        <f t="shared" si="8"/>
        <v>0</v>
      </c>
      <c r="X29" s="29"/>
    </row>
    <row r="30" spans="1:24" ht="15" x14ac:dyDescent="0.25">
      <c r="A30" s="11">
        <f t="shared" si="1"/>
        <v>40967</v>
      </c>
      <c r="B30" s="1">
        <v>13</v>
      </c>
      <c r="C30" s="2">
        <f t="shared" si="2"/>
        <v>124</v>
      </c>
      <c r="D30" s="3">
        <f>1480*8.1/1000</f>
        <v>11.988</v>
      </c>
      <c r="E30" s="3">
        <f t="shared" si="3"/>
        <v>112.428</v>
      </c>
      <c r="F30" s="4"/>
      <c r="G30" s="1"/>
      <c r="H30" s="2">
        <f t="shared" si="4"/>
        <v>0</v>
      </c>
      <c r="I30" s="3">
        <f t="shared" si="5"/>
        <v>0</v>
      </c>
      <c r="J30" s="5"/>
      <c r="K30" s="4"/>
      <c r="L30" s="1">
        <v>10</v>
      </c>
      <c r="M30" s="2">
        <f t="shared" si="6"/>
        <v>83</v>
      </c>
      <c r="N30" s="3">
        <f t="shared" si="7"/>
        <v>5.1840000000000002</v>
      </c>
      <c r="O30" s="5">
        <v>720</v>
      </c>
      <c r="P30" s="4" t="s">
        <v>21</v>
      </c>
      <c r="Q30" s="33"/>
      <c r="R30" s="13"/>
      <c r="S30" s="29">
        <f t="shared" si="0"/>
        <v>0</v>
      </c>
      <c r="T30" s="14"/>
      <c r="V30" s="13"/>
      <c r="W30" s="29">
        <f t="shared" si="8"/>
        <v>0</v>
      </c>
      <c r="X30" s="14"/>
    </row>
    <row r="31" spans="1:24" ht="15.75" thickBot="1" x14ac:dyDescent="0.3">
      <c r="A31" s="11">
        <f t="shared" si="1"/>
        <v>40968</v>
      </c>
      <c r="B31" s="1">
        <v>13</v>
      </c>
      <c r="C31" s="2">
        <f t="shared" si="2"/>
        <v>137</v>
      </c>
      <c r="D31" s="7">
        <f>(1177+325)*8.1/1000</f>
        <v>12.166199999999998</v>
      </c>
      <c r="E31" s="3">
        <f t="shared" si="3"/>
        <v>124.5942</v>
      </c>
      <c r="F31" s="4"/>
      <c r="G31" s="1"/>
      <c r="H31" s="2">
        <f t="shared" si="4"/>
        <v>0</v>
      </c>
      <c r="I31" s="3">
        <f t="shared" si="5"/>
        <v>0</v>
      </c>
      <c r="J31" s="8"/>
      <c r="K31" s="4"/>
      <c r="L31" s="1">
        <v>10</v>
      </c>
      <c r="M31" s="2">
        <f t="shared" si="6"/>
        <v>93</v>
      </c>
      <c r="N31" s="3">
        <f t="shared" si="7"/>
        <v>5.9616000000000007</v>
      </c>
      <c r="O31" s="8">
        <v>828</v>
      </c>
      <c r="P31" s="4" t="s">
        <v>21</v>
      </c>
      <c r="Q31" s="33"/>
      <c r="R31" s="13"/>
      <c r="S31" s="29">
        <f t="shared" si="0"/>
        <v>0</v>
      </c>
      <c r="T31" s="29"/>
      <c r="V31" s="13"/>
      <c r="W31" s="29">
        <f t="shared" si="8"/>
        <v>0</v>
      </c>
      <c r="X31" s="14"/>
    </row>
    <row r="32" spans="1:24" ht="18.75" thickBot="1" x14ac:dyDescent="0.3">
      <c r="A32" s="17" t="s">
        <v>8</v>
      </c>
      <c r="B32" s="40">
        <f>+SUM(B3:B31)</f>
        <v>137</v>
      </c>
      <c r="C32" s="23">
        <f>+B32</f>
        <v>137</v>
      </c>
      <c r="D32" s="24">
        <f>SUM(D3:D31)</f>
        <v>124.5942</v>
      </c>
      <c r="E32" s="23">
        <f>+D32</f>
        <v>124.5942</v>
      </c>
      <c r="F32" s="25"/>
      <c r="G32" s="26">
        <f>SUM(G3:G31)</f>
        <v>0</v>
      </c>
      <c r="H32" s="23">
        <f>+G32</f>
        <v>0</v>
      </c>
      <c r="I32" s="23">
        <f>SUM(I3:I31)</f>
        <v>0</v>
      </c>
      <c r="J32" s="27">
        <f>SUM(J3:J31)</f>
        <v>0</v>
      </c>
      <c r="K32" s="28"/>
      <c r="L32" s="41">
        <f>+SUM(L3:L31)</f>
        <v>93</v>
      </c>
      <c r="M32" s="23">
        <f>+L32</f>
        <v>93</v>
      </c>
      <c r="N32" s="3">
        <f t="shared" si="7"/>
        <v>47.217599999999997</v>
      </c>
      <c r="O32" s="27">
        <f>SUM(O3:O31)</f>
        <v>6558</v>
      </c>
      <c r="P32" s="28"/>
      <c r="Q32" s="35"/>
      <c r="R32" s="29">
        <f>SUM(R3:R31)</f>
        <v>10134</v>
      </c>
      <c r="S32" s="29">
        <f>SUM(S4:S31)</f>
        <v>72.964799999999997</v>
      </c>
      <c r="T32" s="16">
        <f>SUM(T4:T31)</f>
        <v>0</v>
      </c>
      <c r="V32" s="29">
        <f>SUM(V3:V31)</f>
        <v>18566</v>
      </c>
      <c r="W32" s="29">
        <f>SUM(W4:W31)</f>
        <v>178.2336</v>
      </c>
      <c r="X32" s="16"/>
    </row>
  </sheetData>
  <mergeCells count="3">
    <mergeCell ref="A1:F1"/>
    <mergeCell ref="G1:K1"/>
    <mergeCell ref="L1:P1"/>
  </mergeCells>
  <phoneticPr fontId="14" type="noConversion"/>
  <pageMargins left="0.7" right="0.7" top="0.75" bottom="0.75" header="0.3" footer="0.3"/>
  <pageSetup orientation="portrait" verticalDpi="0" r:id="rId1"/>
  <ignoredErrors>
    <ignoredError sqref="D32 D21:D22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0"/>
  <sheetViews>
    <sheetView topLeftCell="A8" workbookViewId="0">
      <selection activeCell="D15" sqref="D15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8" max="18" width="13.140625" bestFit="1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  <c r="Q1" s="219" t="s">
        <v>22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41518</v>
      </c>
      <c r="B3" s="1"/>
      <c r="C3" s="87">
        <f>B3</f>
        <v>0</v>
      </c>
      <c r="D3" s="3"/>
      <c r="E3" s="3">
        <f>D3</f>
        <v>0</v>
      </c>
      <c r="F3" s="8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2" si="0">+M3*7.2/1000</f>
        <v>0</v>
      </c>
      <c r="O3" s="74"/>
      <c r="Q3" s="1"/>
      <c r="R3" s="2">
        <f>Q3</f>
        <v>0</v>
      </c>
      <c r="S3" s="3">
        <f t="shared" ref="S3:S32" si="1">T3*7.2/1000</f>
        <v>5.4</v>
      </c>
      <c r="T3" s="5">
        <v>750</v>
      </c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2" si="2">A3+1</f>
        <v>41519</v>
      </c>
      <c r="B4" s="1"/>
      <c r="C4" s="2">
        <f t="shared" ref="C4:C32" si="3">B4+C3</f>
        <v>0</v>
      </c>
      <c r="D4" s="3"/>
      <c r="E4" s="3">
        <f t="shared" ref="E4:E32" si="4">D4+E3</f>
        <v>0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2" si="7">R3+Q4</f>
        <v>0</v>
      </c>
      <c r="S4" s="3">
        <f t="shared" si="1"/>
        <v>8.1</v>
      </c>
      <c r="T4" s="5">
        <f>675+450</f>
        <v>1125</v>
      </c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41520</v>
      </c>
      <c r="B5" s="1"/>
      <c r="C5" s="2">
        <f t="shared" si="3"/>
        <v>0</v>
      </c>
      <c r="D5" s="3"/>
      <c r="E5" s="3">
        <f t="shared" si="4"/>
        <v>0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77">
        <f>1260+1425</f>
        <v>2685</v>
      </c>
      <c r="N5" s="29">
        <f t="shared" si="0"/>
        <v>19.332000000000001</v>
      </c>
      <c r="O5" s="76"/>
      <c r="Q5" s="1"/>
      <c r="R5" s="2">
        <f t="shared" si="7"/>
        <v>0</v>
      </c>
      <c r="S5" s="3">
        <f t="shared" si="1"/>
        <v>6.7320000000000002</v>
      </c>
      <c r="T5" s="5">
        <f>860+75</f>
        <v>935</v>
      </c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41521</v>
      </c>
      <c r="B6" s="1"/>
      <c r="C6" s="2">
        <f t="shared" si="3"/>
        <v>0</v>
      </c>
      <c r="D6" s="3"/>
      <c r="E6" s="3">
        <f t="shared" si="4"/>
        <v>0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77"/>
      <c r="N6" s="29">
        <f t="shared" si="0"/>
        <v>0</v>
      </c>
      <c r="O6" s="76"/>
      <c r="Q6" s="1"/>
      <c r="R6" s="2">
        <f t="shared" si="7"/>
        <v>0</v>
      </c>
      <c r="S6" s="3">
        <f t="shared" si="1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41522</v>
      </c>
      <c r="B7" s="1"/>
      <c r="C7" s="2">
        <f t="shared" si="3"/>
        <v>0</v>
      </c>
      <c r="D7" s="3"/>
      <c r="E7" s="3">
        <f t="shared" si="4"/>
        <v>0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78"/>
      <c r="N7" s="29">
        <f t="shared" si="0"/>
        <v>0</v>
      </c>
      <c r="O7" s="68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41523</v>
      </c>
      <c r="B8" s="1"/>
      <c r="C8" s="2">
        <f t="shared" si="3"/>
        <v>0</v>
      </c>
      <c r="D8" s="3"/>
      <c r="E8" s="3">
        <f t="shared" si="4"/>
        <v>0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41524</v>
      </c>
      <c r="B9" s="1"/>
      <c r="C9" s="2">
        <f t="shared" si="3"/>
        <v>0</v>
      </c>
      <c r="D9" s="3"/>
      <c r="E9" s="3">
        <f t="shared" si="4"/>
        <v>0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7"/>
        <v>0</v>
      </c>
      <c r="S9" s="3">
        <f t="shared" si="1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41525</v>
      </c>
      <c r="B10" s="1"/>
      <c r="C10" s="2">
        <f t="shared" si="3"/>
        <v>0</v>
      </c>
      <c r="D10" s="3"/>
      <c r="E10" s="3">
        <f t="shared" si="4"/>
        <v>0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7"/>
        <v>0</v>
      </c>
      <c r="S10" s="3">
        <f t="shared" si="1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41526</v>
      </c>
      <c r="B11" s="1"/>
      <c r="C11" s="2">
        <f t="shared" si="3"/>
        <v>0</v>
      </c>
      <c r="D11" s="3"/>
      <c r="E11" s="3">
        <f t="shared" si="4"/>
        <v>0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7"/>
        <v>0</v>
      </c>
      <c r="S11" s="3">
        <f t="shared" si="1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41527</v>
      </c>
      <c r="B12" s="1"/>
      <c r="C12" s="2">
        <f t="shared" si="3"/>
        <v>0</v>
      </c>
      <c r="D12" s="3"/>
      <c r="E12" s="3">
        <f t="shared" si="4"/>
        <v>0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7"/>
        <v>0</v>
      </c>
      <c r="S12" s="3">
        <f t="shared" si="1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41528</v>
      </c>
      <c r="B13" s="1"/>
      <c r="C13" s="2">
        <f t="shared" si="3"/>
        <v>0</v>
      </c>
      <c r="D13" s="3"/>
      <c r="E13" s="3">
        <f t="shared" si="4"/>
        <v>0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7"/>
        <v>0</v>
      </c>
      <c r="S13" s="3">
        <f t="shared" si="1"/>
        <v>4.32</v>
      </c>
      <c r="T13" s="5">
        <v>600</v>
      </c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41529</v>
      </c>
      <c r="B14" s="1"/>
      <c r="C14" s="2">
        <f t="shared" si="3"/>
        <v>0</v>
      </c>
      <c r="D14" s="3"/>
      <c r="E14" s="3">
        <f t="shared" si="4"/>
        <v>0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7"/>
        <v>0</v>
      </c>
      <c r="S14" s="3">
        <f t="shared" si="1"/>
        <v>3.96</v>
      </c>
      <c r="T14" s="5">
        <v>550</v>
      </c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41530</v>
      </c>
      <c r="B15" s="1">
        <v>5</v>
      </c>
      <c r="C15" s="2">
        <f t="shared" si="3"/>
        <v>5</v>
      </c>
      <c r="D15" s="97">
        <f>(845+215)*8.1/1000</f>
        <v>8.5860000000000003</v>
      </c>
      <c r="E15" s="3">
        <f t="shared" si="4"/>
        <v>8.5860000000000003</v>
      </c>
      <c r="F15" s="96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7"/>
        <v>0</v>
      </c>
      <c r="S15" s="3">
        <f t="shared" si="1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41531</v>
      </c>
      <c r="B16" s="1">
        <v>12</v>
      </c>
      <c r="C16" s="2">
        <f t="shared" si="3"/>
        <v>17</v>
      </c>
      <c r="D16" s="3">
        <f>1860*8.1/1000</f>
        <v>15.066000000000001</v>
      </c>
      <c r="E16" s="3">
        <f t="shared" si="4"/>
        <v>23.652000000000001</v>
      </c>
      <c r="F16" s="96" t="s">
        <v>39</v>
      </c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77">
        <f>1310+1225</f>
        <v>2535</v>
      </c>
      <c r="N16" s="29">
        <f t="shared" si="0"/>
        <v>18.251999999999999</v>
      </c>
      <c r="O16" s="81"/>
      <c r="Q16" s="1">
        <v>5</v>
      </c>
      <c r="R16" s="2">
        <f t="shared" si="7"/>
        <v>5</v>
      </c>
      <c r="S16" s="3">
        <f t="shared" si="1"/>
        <v>3.78</v>
      </c>
      <c r="T16" s="5">
        <v>525</v>
      </c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41532</v>
      </c>
      <c r="B17" s="1">
        <v>14</v>
      </c>
      <c r="C17" s="2">
        <f t="shared" si="3"/>
        <v>31</v>
      </c>
      <c r="D17" s="6">
        <f>1515*8.1/1000</f>
        <v>12.2715</v>
      </c>
      <c r="E17" s="6">
        <f t="shared" si="4"/>
        <v>35.923500000000004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77"/>
      <c r="N17" s="29">
        <f t="shared" si="0"/>
        <v>0</v>
      </c>
      <c r="O17" s="81"/>
      <c r="Q17" s="1">
        <v>7</v>
      </c>
      <c r="R17" s="2">
        <f t="shared" si="7"/>
        <v>12</v>
      </c>
      <c r="S17" s="3">
        <f t="shared" si="1"/>
        <v>3.8304</v>
      </c>
      <c r="T17" s="5">
        <f>382+150</f>
        <v>532</v>
      </c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41533</v>
      </c>
      <c r="B18" s="1">
        <v>11</v>
      </c>
      <c r="C18" s="2">
        <f t="shared" si="3"/>
        <v>42</v>
      </c>
      <c r="D18" s="3">
        <f>995*8.1/1000</f>
        <v>8.0594999999999999</v>
      </c>
      <c r="E18" s="3">
        <f t="shared" si="4"/>
        <v>43.983000000000004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77"/>
      <c r="N18" s="29">
        <f t="shared" si="0"/>
        <v>0</v>
      </c>
      <c r="O18" s="81"/>
      <c r="Q18" s="1">
        <v>7</v>
      </c>
      <c r="R18" s="2">
        <f t="shared" si="7"/>
        <v>19</v>
      </c>
      <c r="S18" s="3">
        <f t="shared" si="1"/>
        <v>7.2216000000000005</v>
      </c>
      <c r="T18" s="5">
        <f>928+75</f>
        <v>1003</v>
      </c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41534</v>
      </c>
      <c r="B19" s="1"/>
      <c r="C19" s="2">
        <f>B19+C18</f>
        <v>42</v>
      </c>
      <c r="D19" s="3"/>
      <c r="E19" s="3">
        <f t="shared" si="4"/>
        <v>43.983000000000004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77"/>
      <c r="N19" s="29">
        <f t="shared" si="0"/>
        <v>0</v>
      </c>
      <c r="O19" s="81"/>
      <c r="Q19" s="1">
        <v>7</v>
      </c>
      <c r="R19" s="2">
        <f t="shared" si="7"/>
        <v>26</v>
      </c>
      <c r="S19" s="3">
        <f t="shared" si="1"/>
        <v>6.7320000000000002</v>
      </c>
      <c r="T19" s="5">
        <v>935</v>
      </c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41535</v>
      </c>
      <c r="B20" s="1"/>
      <c r="C20" s="2">
        <f t="shared" si="3"/>
        <v>42</v>
      </c>
      <c r="D20" s="3"/>
      <c r="E20" s="3">
        <f t="shared" si="4"/>
        <v>43.983000000000004</v>
      </c>
      <c r="F20" s="67" t="s">
        <v>32</v>
      </c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77"/>
      <c r="N20" s="29">
        <f t="shared" si="0"/>
        <v>0</v>
      </c>
      <c r="O20" s="81"/>
      <c r="Q20" s="1">
        <v>7</v>
      </c>
      <c r="R20" s="2">
        <f t="shared" si="7"/>
        <v>33</v>
      </c>
      <c r="S20" s="3">
        <f t="shared" si="1"/>
        <v>7.5671999999999997</v>
      </c>
      <c r="T20" s="5">
        <f>976+75</f>
        <v>1051</v>
      </c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41536</v>
      </c>
      <c r="B21" s="1"/>
      <c r="C21" s="2">
        <f t="shared" si="3"/>
        <v>42</v>
      </c>
      <c r="D21" s="3"/>
      <c r="E21" s="3">
        <f t="shared" si="4"/>
        <v>43.983000000000004</v>
      </c>
      <c r="F21" s="62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77"/>
      <c r="N21" s="29">
        <f t="shared" si="0"/>
        <v>0</v>
      </c>
      <c r="O21" s="81"/>
      <c r="Q21" s="1">
        <v>7</v>
      </c>
      <c r="R21" s="2">
        <f t="shared" si="7"/>
        <v>40</v>
      </c>
      <c r="S21" s="3">
        <f t="shared" si="1"/>
        <v>5.94</v>
      </c>
      <c r="T21" s="5">
        <v>825</v>
      </c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41537</v>
      </c>
      <c r="B22" s="1"/>
      <c r="C22" s="2">
        <f t="shared" si="3"/>
        <v>42</v>
      </c>
      <c r="D22" s="3"/>
      <c r="E22" s="3">
        <f t="shared" si="4"/>
        <v>43.983000000000004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77"/>
      <c r="N22" s="29">
        <f t="shared" si="0"/>
        <v>0</v>
      </c>
      <c r="O22" s="80"/>
      <c r="Q22" s="1">
        <v>2</v>
      </c>
      <c r="R22" s="2">
        <f t="shared" si="7"/>
        <v>42</v>
      </c>
      <c r="S22" s="3">
        <f t="shared" si="1"/>
        <v>8.1504000000000012</v>
      </c>
      <c r="T22" s="5">
        <f>65+1067</f>
        <v>1132</v>
      </c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41538</v>
      </c>
      <c r="B23" s="1"/>
      <c r="C23" s="2">
        <f t="shared" si="3"/>
        <v>42</v>
      </c>
      <c r="D23" s="3"/>
      <c r="E23" s="3">
        <f t="shared" si="4"/>
        <v>43.983000000000004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7"/>
        <v>42</v>
      </c>
      <c r="S23" s="3">
        <f t="shared" si="1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41539</v>
      </c>
      <c r="B24" s="1"/>
      <c r="C24" s="2">
        <f t="shared" si="3"/>
        <v>42</v>
      </c>
      <c r="D24" s="3"/>
      <c r="E24" s="3">
        <f t="shared" si="4"/>
        <v>43.983000000000004</v>
      </c>
      <c r="F24" s="86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7"/>
        <v>42</v>
      </c>
      <c r="S24" s="3">
        <f t="shared" si="1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41540</v>
      </c>
      <c r="B25" s="1"/>
      <c r="C25" s="2">
        <f t="shared" si="3"/>
        <v>42</v>
      </c>
      <c r="D25" s="3"/>
      <c r="E25" s="3">
        <f t="shared" si="4"/>
        <v>43.983000000000004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77"/>
      <c r="N25" s="90">
        <f t="shared" si="0"/>
        <v>0</v>
      </c>
      <c r="O25" s="76"/>
      <c r="Q25" s="1"/>
      <c r="R25" s="2">
        <f t="shared" si="7"/>
        <v>42</v>
      </c>
      <c r="S25" s="3">
        <f t="shared" si="1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41541</v>
      </c>
      <c r="B26" s="1"/>
      <c r="C26" s="2">
        <f t="shared" si="3"/>
        <v>42</v>
      </c>
      <c r="D26" s="3"/>
      <c r="E26" s="3">
        <f t="shared" si="4"/>
        <v>43.983000000000004</v>
      </c>
      <c r="F26" s="86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77">
        <f>908+1078+1010+976+965</f>
        <v>4937</v>
      </c>
      <c r="N26" s="90">
        <f t="shared" si="0"/>
        <v>35.546399999999998</v>
      </c>
      <c r="O26" s="81"/>
      <c r="Q26" s="1"/>
      <c r="R26" s="2">
        <f t="shared" si="7"/>
        <v>42</v>
      </c>
      <c r="S26" s="3">
        <f t="shared" si="1"/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41542</v>
      </c>
      <c r="B27" s="1"/>
      <c r="C27" s="2">
        <f t="shared" si="3"/>
        <v>42</v>
      </c>
      <c r="D27" s="3"/>
      <c r="E27" s="3">
        <f t="shared" si="4"/>
        <v>43.983000000000004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77"/>
      <c r="N27" s="90">
        <f t="shared" si="0"/>
        <v>0</v>
      </c>
      <c r="O27" s="81"/>
      <c r="Q27" s="1"/>
      <c r="R27" s="2">
        <f t="shared" si="7"/>
        <v>42</v>
      </c>
      <c r="S27" s="3">
        <f t="shared" si="1"/>
        <v>0</v>
      </c>
      <c r="T27" s="5"/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41543</v>
      </c>
      <c r="B28" s="1"/>
      <c r="C28" s="2">
        <f t="shared" si="3"/>
        <v>42</v>
      </c>
      <c r="D28" s="3"/>
      <c r="E28" s="3">
        <f t="shared" si="4"/>
        <v>43.983000000000004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77"/>
      <c r="N28" s="90">
        <f t="shared" si="0"/>
        <v>0</v>
      </c>
      <c r="O28" s="81"/>
      <c r="Q28" s="1"/>
      <c r="R28" s="2">
        <f t="shared" si="7"/>
        <v>42</v>
      </c>
      <c r="S28" s="3">
        <f t="shared" si="1"/>
        <v>0</v>
      </c>
      <c r="T28" s="5"/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41544</v>
      </c>
      <c r="B29" s="1"/>
      <c r="C29" s="2">
        <f t="shared" si="3"/>
        <v>42</v>
      </c>
      <c r="D29" s="3"/>
      <c r="E29" s="3">
        <f t="shared" si="4"/>
        <v>43.983000000000004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77"/>
      <c r="N29" s="90">
        <f t="shared" si="0"/>
        <v>0</v>
      </c>
      <c r="O29" s="81"/>
      <c r="Q29" s="1"/>
      <c r="R29" s="2">
        <f t="shared" si="7"/>
        <v>42</v>
      </c>
      <c r="S29" s="3">
        <f t="shared" si="1"/>
        <v>7.6824000000000003</v>
      </c>
      <c r="T29" s="5">
        <v>1067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41545</v>
      </c>
      <c r="B30" s="1"/>
      <c r="C30" s="2">
        <f t="shared" si="3"/>
        <v>42</v>
      </c>
      <c r="D30" s="3"/>
      <c r="E30" s="3">
        <f t="shared" si="4"/>
        <v>43.983000000000004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77"/>
      <c r="N30" s="90">
        <f t="shared" si="0"/>
        <v>0</v>
      </c>
      <c r="O30" s="80"/>
      <c r="Q30" s="1"/>
      <c r="R30" s="2">
        <f t="shared" si="7"/>
        <v>42</v>
      </c>
      <c r="S30" s="3">
        <f t="shared" si="1"/>
        <v>0</v>
      </c>
      <c r="T30" s="5"/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41546</v>
      </c>
      <c r="B31" s="1"/>
      <c r="C31" s="2">
        <f t="shared" si="3"/>
        <v>42</v>
      </c>
      <c r="D31" s="7"/>
      <c r="E31" s="3">
        <f t="shared" si="4"/>
        <v>43.983000000000004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7"/>
        <v>42</v>
      </c>
      <c r="S31" s="3">
        <f t="shared" si="1"/>
        <v>0</v>
      </c>
      <c r="T31" s="5"/>
      <c r="U31" s="62"/>
      <c r="W31" s="13"/>
      <c r="X31" s="63">
        <f t="shared" si="8"/>
        <v>0</v>
      </c>
      <c r="Y31" s="29"/>
    </row>
    <row r="32" spans="1:25" ht="15.75" thickBot="1" x14ac:dyDescent="0.3">
      <c r="A32" s="11">
        <f t="shared" si="2"/>
        <v>41547</v>
      </c>
      <c r="B32" s="1"/>
      <c r="C32" s="2">
        <f t="shared" si="3"/>
        <v>42</v>
      </c>
      <c r="D32" s="3"/>
      <c r="E32" s="3">
        <f t="shared" si="4"/>
        <v>43.983000000000004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7"/>
        <v>42</v>
      </c>
      <c r="S32" s="3">
        <f t="shared" si="1"/>
        <v>0</v>
      </c>
      <c r="T32" s="5"/>
      <c r="U32" s="62"/>
      <c r="W32" s="13"/>
      <c r="X32" s="63">
        <f t="shared" si="8"/>
        <v>0</v>
      </c>
      <c r="Y32" s="29"/>
    </row>
    <row r="33" spans="1:25" ht="21" customHeight="1" thickBot="1" x14ac:dyDescent="0.3">
      <c r="A33" s="17" t="s">
        <v>8</v>
      </c>
      <c r="B33" s="40">
        <f>SUM(B3:B32)</f>
        <v>42</v>
      </c>
      <c r="C33" s="40">
        <f>+B33</f>
        <v>42</v>
      </c>
      <c r="D33" s="88">
        <f>SUM(D3:D32)</f>
        <v>43.983000000000004</v>
      </c>
      <c r="E33" s="88">
        <f>+D33</f>
        <v>43.983000000000004</v>
      </c>
      <c r="F33" s="25"/>
      <c r="G33" s="26">
        <f>SUM(G3:G32)</f>
        <v>0</v>
      </c>
      <c r="H33" s="40">
        <f>+G33</f>
        <v>0</v>
      </c>
      <c r="I33" s="23">
        <f>SUM(I3:I32)</f>
        <v>0</v>
      </c>
      <c r="J33" s="27">
        <f>SUM(J3:J32)</f>
        <v>0</v>
      </c>
      <c r="K33" s="28"/>
      <c r="L33" s="35"/>
      <c r="M33" s="83">
        <f>SUM(M3:M32)</f>
        <v>10157</v>
      </c>
      <c r="N33" s="84">
        <f>SUM(N3:N32)</f>
        <v>73.130400000000009</v>
      </c>
      <c r="O33" s="85"/>
      <c r="Q33" s="95">
        <f>SUM(Q3:Q32)</f>
        <v>42</v>
      </c>
      <c r="R33" s="94">
        <f>+Q33</f>
        <v>42</v>
      </c>
      <c r="S33" s="92">
        <f>SUM(S3:S32)</f>
        <v>79.415999999999997</v>
      </c>
      <c r="T33" s="27">
        <f>SUM(T3:T32)</f>
        <v>11030</v>
      </c>
      <c r="U33" s="28"/>
      <c r="W33" s="29">
        <f>SUM(W3:W32)</f>
        <v>0</v>
      </c>
      <c r="X33" s="63">
        <f>SUM(X3:X32)</f>
        <v>0</v>
      </c>
      <c r="Y33" s="16"/>
    </row>
    <row r="34" spans="1:25" x14ac:dyDescent="0.2">
      <c r="D34" s="64"/>
      <c r="S34" s="98"/>
    </row>
    <row r="35" spans="1:25" x14ac:dyDescent="0.2">
      <c r="C35" s="99"/>
      <c r="D35" s="91"/>
      <c r="S35" s="64"/>
      <c r="T35" s="64"/>
    </row>
    <row r="36" spans="1:25" x14ac:dyDescent="0.2">
      <c r="R36" s="64"/>
      <c r="T36" s="64"/>
    </row>
    <row r="40" spans="1:25" x14ac:dyDescent="0.2">
      <c r="D40" s="37"/>
    </row>
  </sheetData>
  <mergeCells count="3">
    <mergeCell ref="A1:F1"/>
    <mergeCell ref="G1:K1"/>
    <mergeCell ref="Q1:U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D21" sqref="D21:D27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8" max="18" width="13.140625" bestFit="1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22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41548</v>
      </c>
      <c r="B3" s="1"/>
      <c r="C3" s="87">
        <f>B3</f>
        <v>0</v>
      </c>
      <c r="D3" s="3"/>
      <c r="E3" s="3">
        <f>D3</f>
        <v>0</v>
      </c>
      <c r="F3" s="8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3">
        <f t="shared" ref="S3:S33" si="1">T3*7.2/1000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41549</v>
      </c>
      <c r="B4" s="1"/>
      <c r="C4" s="2">
        <f t="shared" ref="C4:C33" si="3">B4+C3</f>
        <v>0</v>
      </c>
      <c r="D4" s="3"/>
      <c r="E4" s="3">
        <f t="shared" ref="E4:E33" si="4">D4+E3</f>
        <v>0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1">
        <f t="shared" si="2"/>
        <v>41550</v>
      </c>
      <c r="B5" s="1"/>
      <c r="C5" s="2">
        <f t="shared" si="3"/>
        <v>0</v>
      </c>
      <c r="D5" s="3"/>
      <c r="E5" s="3">
        <f t="shared" si="4"/>
        <v>0</v>
      </c>
      <c r="F5" s="62"/>
      <c r="G5" s="1"/>
      <c r="H5" s="2">
        <f t="shared" si="5"/>
        <v>0</v>
      </c>
      <c r="I5" s="3">
        <f t="shared" si="6"/>
        <v>0</v>
      </c>
      <c r="J5" s="5"/>
      <c r="K5" s="62"/>
      <c r="L5" s="33"/>
      <c r="M5" s="77"/>
      <c r="N5" s="29">
        <f t="shared" si="0"/>
        <v>0</v>
      </c>
      <c r="O5" s="76"/>
      <c r="Q5" s="1"/>
      <c r="R5" s="2">
        <f t="shared" si="7"/>
        <v>0</v>
      </c>
      <c r="S5" s="3">
        <f t="shared" si="1"/>
        <v>0</v>
      </c>
      <c r="T5" s="5"/>
      <c r="U5" s="62"/>
      <c r="W5" s="13"/>
      <c r="X5" s="63">
        <f t="shared" si="8"/>
        <v>0</v>
      </c>
      <c r="Y5" s="38"/>
    </row>
    <row r="6" spans="1:25" ht="15" x14ac:dyDescent="0.25">
      <c r="A6" s="11">
        <f t="shared" si="2"/>
        <v>41551</v>
      </c>
      <c r="B6" s="1"/>
      <c r="C6" s="2">
        <f t="shared" si="3"/>
        <v>0</v>
      </c>
      <c r="D6" s="3"/>
      <c r="E6" s="3">
        <f t="shared" si="4"/>
        <v>0</v>
      </c>
      <c r="F6" s="62"/>
      <c r="G6" s="1"/>
      <c r="H6" s="2">
        <f t="shared" si="5"/>
        <v>0</v>
      </c>
      <c r="I6" s="3">
        <f t="shared" si="6"/>
        <v>0</v>
      </c>
      <c r="J6" s="5"/>
      <c r="K6" s="62"/>
      <c r="L6" s="33"/>
      <c r="M6" s="77"/>
      <c r="N6" s="29">
        <f t="shared" si="0"/>
        <v>0</v>
      </c>
      <c r="O6" s="76"/>
      <c r="Q6" s="1"/>
      <c r="R6" s="2">
        <f t="shared" si="7"/>
        <v>0</v>
      </c>
      <c r="S6" s="3">
        <f t="shared" si="1"/>
        <v>0</v>
      </c>
      <c r="T6" s="5"/>
      <c r="U6" s="62"/>
      <c r="W6" s="13"/>
      <c r="X6" s="63">
        <f t="shared" si="8"/>
        <v>0</v>
      </c>
      <c r="Y6" s="38"/>
    </row>
    <row r="7" spans="1:25" ht="15" x14ac:dyDescent="0.25">
      <c r="A7" s="11">
        <f t="shared" si="2"/>
        <v>41552</v>
      </c>
      <c r="B7" s="1"/>
      <c r="C7" s="2">
        <f t="shared" si="3"/>
        <v>0</v>
      </c>
      <c r="D7" s="3"/>
      <c r="E7" s="3">
        <f t="shared" si="4"/>
        <v>0</v>
      </c>
      <c r="F7" s="62"/>
      <c r="G7" s="1"/>
      <c r="H7" s="2">
        <f t="shared" si="5"/>
        <v>0</v>
      </c>
      <c r="I7" s="3">
        <f t="shared" si="6"/>
        <v>0</v>
      </c>
      <c r="J7" s="5"/>
      <c r="K7" s="62"/>
      <c r="L7" s="33"/>
      <c r="M7" s="78"/>
      <c r="N7" s="29">
        <f t="shared" si="0"/>
        <v>0</v>
      </c>
      <c r="O7" s="68"/>
      <c r="Q7" s="1"/>
      <c r="R7" s="2">
        <f t="shared" si="7"/>
        <v>0</v>
      </c>
      <c r="S7" s="3">
        <f t="shared" si="1"/>
        <v>0</v>
      </c>
      <c r="T7" s="5"/>
      <c r="U7" s="62"/>
      <c r="W7" s="13"/>
      <c r="X7" s="63">
        <f t="shared" si="8"/>
        <v>0</v>
      </c>
      <c r="Y7" s="38"/>
    </row>
    <row r="8" spans="1:25" ht="15" x14ac:dyDescent="0.25">
      <c r="A8" s="11">
        <f t="shared" si="2"/>
        <v>41553</v>
      </c>
      <c r="B8" s="1"/>
      <c r="C8" s="2">
        <f t="shared" si="3"/>
        <v>0</v>
      </c>
      <c r="D8" s="3"/>
      <c r="E8" s="3">
        <f t="shared" si="4"/>
        <v>0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7"/>
        <v>0</v>
      </c>
      <c r="S8" s="3">
        <f t="shared" si="1"/>
        <v>0</v>
      </c>
      <c r="T8" s="65"/>
      <c r="U8" s="62"/>
      <c r="W8" s="66"/>
      <c r="X8" s="63">
        <f t="shared" si="8"/>
        <v>0</v>
      </c>
      <c r="Y8" s="14"/>
    </row>
    <row r="9" spans="1:25" ht="15" x14ac:dyDescent="0.25">
      <c r="A9" s="11">
        <f t="shared" si="2"/>
        <v>41554</v>
      </c>
      <c r="B9" s="1"/>
      <c r="C9" s="2">
        <f t="shared" si="3"/>
        <v>0</v>
      </c>
      <c r="D9" s="3"/>
      <c r="E9" s="3">
        <f t="shared" si="4"/>
        <v>0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7"/>
        <v>0</v>
      </c>
      <c r="S9" s="3">
        <f t="shared" si="1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41555</v>
      </c>
      <c r="B10" s="1"/>
      <c r="C10" s="2">
        <f t="shared" si="3"/>
        <v>0</v>
      </c>
      <c r="D10" s="3"/>
      <c r="E10" s="3">
        <f t="shared" si="4"/>
        <v>0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7"/>
        <v>0</v>
      </c>
      <c r="S10" s="3">
        <f t="shared" si="1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41556</v>
      </c>
      <c r="B11" s="1"/>
      <c r="C11" s="2">
        <f t="shared" si="3"/>
        <v>0</v>
      </c>
      <c r="D11" s="3"/>
      <c r="E11" s="3">
        <f t="shared" si="4"/>
        <v>0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7"/>
        <v>0</v>
      </c>
      <c r="S11" s="3">
        <f t="shared" si="1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41557</v>
      </c>
      <c r="B12" s="1"/>
      <c r="C12" s="2">
        <f t="shared" si="3"/>
        <v>0</v>
      </c>
      <c r="D12" s="3"/>
      <c r="E12" s="3">
        <f t="shared" si="4"/>
        <v>0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7"/>
        <v>0</v>
      </c>
      <c r="S12" s="3">
        <f t="shared" si="1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41558</v>
      </c>
      <c r="B13" s="1"/>
      <c r="C13" s="2">
        <f t="shared" si="3"/>
        <v>0</v>
      </c>
      <c r="D13" s="3"/>
      <c r="E13" s="3">
        <f t="shared" si="4"/>
        <v>0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7"/>
        <v>0</v>
      </c>
      <c r="S13" s="3">
        <f t="shared" si="1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41559</v>
      </c>
      <c r="B14" s="1"/>
      <c r="C14" s="2">
        <f t="shared" si="3"/>
        <v>0</v>
      </c>
      <c r="D14" s="3"/>
      <c r="E14" s="3">
        <f t="shared" si="4"/>
        <v>0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7"/>
        <v>0</v>
      </c>
      <c r="S14" s="3">
        <f t="shared" si="1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41560</v>
      </c>
      <c r="B15" s="1"/>
      <c r="C15" s="2">
        <f t="shared" si="3"/>
        <v>0</v>
      </c>
      <c r="D15" s="97"/>
      <c r="E15" s="3">
        <f t="shared" si="4"/>
        <v>0</v>
      </c>
      <c r="F15" s="96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7"/>
        <v>0</v>
      </c>
      <c r="S15" s="3">
        <f t="shared" si="1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41561</v>
      </c>
      <c r="B16" s="1"/>
      <c r="C16" s="2">
        <f t="shared" si="3"/>
        <v>0</v>
      </c>
      <c r="D16" s="3"/>
      <c r="E16" s="3">
        <f t="shared" si="4"/>
        <v>0</v>
      </c>
      <c r="F16" s="96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7"/>
        <v>0</v>
      </c>
      <c r="S16" s="3">
        <f t="shared" si="1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41562</v>
      </c>
      <c r="B17" s="1"/>
      <c r="C17" s="2">
        <f t="shared" si="3"/>
        <v>0</v>
      </c>
      <c r="D17" s="6"/>
      <c r="E17" s="6">
        <f t="shared" si="4"/>
        <v>0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7"/>
        <v>0</v>
      </c>
      <c r="S17" s="3">
        <f t="shared" si="1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41563</v>
      </c>
      <c r="B18" s="1"/>
      <c r="C18" s="2">
        <f t="shared" si="3"/>
        <v>0</v>
      </c>
      <c r="D18" s="3"/>
      <c r="E18" s="3">
        <f t="shared" si="4"/>
        <v>0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7"/>
        <v>0</v>
      </c>
      <c r="S18" s="3">
        <f t="shared" si="1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41564</v>
      </c>
      <c r="B19" s="1"/>
      <c r="C19" s="2">
        <f>B19+C18</f>
        <v>0</v>
      </c>
      <c r="D19" s="3"/>
      <c r="E19" s="3">
        <f t="shared" si="4"/>
        <v>0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7"/>
        <v>0</v>
      </c>
      <c r="S19" s="3">
        <f t="shared" si="1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41565</v>
      </c>
      <c r="B20" s="1"/>
      <c r="C20" s="2">
        <f t="shared" si="3"/>
        <v>0</v>
      </c>
      <c r="D20" s="3"/>
      <c r="E20" s="3">
        <f t="shared" si="4"/>
        <v>0</v>
      </c>
      <c r="F20" s="67"/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7"/>
        <v>0</v>
      </c>
      <c r="S20" s="3">
        <f t="shared" si="1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41566</v>
      </c>
      <c r="B21" s="1">
        <v>8</v>
      </c>
      <c r="C21" s="2">
        <f t="shared" si="3"/>
        <v>8</v>
      </c>
      <c r="D21" s="3">
        <f>1020*8.1/1000</f>
        <v>8.2620000000000005</v>
      </c>
      <c r="E21" s="3">
        <f t="shared" si="4"/>
        <v>8.2620000000000005</v>
      </c>
      <c r="F21" s="96" t="s">
        <v>39</v>
      </c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7"/>
        <v>0</v>
      </c>
      <c r="S21" s="3">
        <f t="shared" si="1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41567</v>
      </c>
      <c r="B22" s="1">
        <v>12</v>
      </c>
      <c r="C22" s="2">
        <f t="shared" si="3"/>
        <v>20</v>
      </c>
      <c r="D22" s="3">
        <f>1750*8.1/1000</f>
        <v>14.175000000000001</v>
      </c>
      <c r="E22" s="3">
        <f t="shared" si="4"/>
        <v>22.437000000000001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7"/>
        <v>0</v>
      </c>
      <c r="S22" s="3">
        <f t="shared" si="1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41568</v>
      </c>
      <c r="B23" s="1">
        <v>12</v>
      </c>
      <c r="C23" s="2">
        <f t="shared" si="3"/>
        <v>32</v>
      </c>
      <c r="D23" s="3">
        <f>1885*8.1/1000</f>
        <v>15.2685</v>
      </c>
      <c r="E23" s="3">
        <f t="shared" si="4"/>
        <v>37.705500000000001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7"/>
        <v>0</v>
      </c>
      <c r="S23" s="3">
        <f t="shared" si="1"/>
        <v>8.2439999999999998</v>
      </c>
      <c r="T23" s="5">
        <f>370+775</f>
        <v>1145</v>
      </c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41569</v>
      </c>
      <c r="B24" s="1">
        <v>12</v>
      </c>
      <c r="C24" s="2">
        <f t="shared" si="3"/>
        <v>44</v>
      </c>
      <c r="D24" s="3">
        <f>1505*8.1/1000</f>
        <v>12.1905</v>
      </c>
      <c r="E24" s="3">
        <f t="shared" si="4"/>
        <v>49.896000000000001</v>
      </c>
      <c r="F24" s="86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7"/>
        <v>0</v>
      </c>
      <c r="S24" s="3">
        <f t="shared" si="1"/>
        <v>8.0280000000000005</v>
      </c>
      <c r="T24" s="5">
        <f>1040+75</f>
        <v>1115</v>
      </c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41570</v>
      </c>
      <c r="B25" s="1">
        <v>9</v>
      </c>
      <c r="C25" s="2">
        <f t="shared" si="3"/>
        <v>53</v>
      </c>
      <c r="D25" s="3">
        <f>1495*8.1/1000</f>
        <v>12.109500000000001</v>
      </c>
      <c r="E25" s="3">
        <f t="shared" si="4"/>
        <v>62.005499999999998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77"/>
      <c r="N25" s="90">
        <f t="shared" si="0"/>
        <v>0</v>
      </c>
      <c r="O25" s="76"/>
      <c r="Q25" s="1"/>
      <c r="R25" s="2">
        <f t="shared" si="7"/>
        <v>0</v>
      </c>
      <c r="S25" s="3">
        <f t="shared" si="1"/>
        <v>7.7544000000000004</v>
      </c>
      <c r="T25" s="5">
        <f>852+225</f>
        <v>1077</v>
      </c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41571</v>
      </c>
      <c r="B26" s="1"/>
      <c r="C26" s="2">
        <f t="shared" si="3"/>
        <v>53</v>
      </c>
      <c r="D26" s="3">
        <f>(190+70)*8.1/1000</f>
        <v>2.1059999999999999</v>
      </c>
      <c r="E26" s="3">
        <f t="shared" si="4"/>
        <v>64.111499999999992</v>
      </c>
      <c r="F26" s="86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77"/>
      <c r="N26" s="90">
        <f t="shared" si="0"/>
        <v>0</v>
      </c>
      <c r="O26" s="81"/>
      <c r="Q26" s="1"/>
      <c r="R26" s="2">
        <f t="shared" si="7"/>
        <v>0</v>
      </c>
      <c r="S26" s="3">
        <f t="shared" si="1"/>
        <v>9.2232000000000003</v>
      </c>
      <c r="T26" s="5">
        <f>831+450</f>
        <v>1281</v>
      </c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41572</v>
      </c>
      <c r="B27" s="1"/>
      <c r="C27" s="2">
        <f t="shared" si="3"/>
        <v>53</v>
      </c>
      <c r="D27" s="3"/>
      <c r="E27" s="3">
        <f t="shared" si="4"/>
        <v>64.111499999999992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77">
        <f>370+775+1040+927</f>
        <v>3112</v>
      </c>
      <c r="N27" s="90">
        <f t="shared" si="0"/>
        <v>22.406400000000001</v>
      </c>
      <c r="O27" s="96" t="s">
        <v>39</v>
      </c>
      <c r="Q27" s="1"/>
      <c r="R27" s="2">
        <f t="shared" si="7"/>
        <v>0</v>
      </c>
      <c r="S27" s="3">
        <f t="shared" si="1"/>
        <v>8.1864000000000008</v>
      </c>
      <c r="T27" s="5">
        <f>612+525</f>
        <v>1137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41573</v>
      </c>
      <c r="B28" s="1"/>
      <c r="C28" s="2">
        <f t="shared" si="3"/>
        <v>53</v>
      </c>
      <c r="D28" s="3"/>
      <c r="E28" s="3">
        <f t="shared" si="4"/>
        <v>64.111499999999992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77"/>
      <c r="N28" s="90">
        <f t="shared" si="0"/>
        <v>0</v>
      </c>
      <c r="O28" s="81"/>
      <c r="Q28" s="1"/>
      <c r="R28" s="2">
        <f t="shared" si="7"/>
        <v>0</v>
      </c>
      <c r="S28" s="3">
        <f t="shared" si="1"/>
        <v>7.3440000000000003</v>
      </c>
      <c r="T28" s="5">
        <f>345+675</f>
        <v>1020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41574</v>
      </c>
      <c r="B29" s="1"/>
      <c r="C29" s="2">
        <f t="shared" si="3"/>
        <v>53</v>
      </c>
      <c r="D29" s="3"/>
      <c r="E29" s="3">
        <f t="shared" si="4"/>
        <v>64.111499999999992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77"/>
      <c r="N29" s="90">
        <f t="shared" si="0"/>
        <v>0</v>
      </c>
      <c r="O29" s="81"/>
      <c r="Q29" s="1"/>
      <c r="R29" s="2">
        <f t="shared" si="7"/>
        <v>0</v>
      </c>
      <c r="S29" s="3">
        <f t="shared" si="1"/>
        <v>4.8239999999999998</v>
      </c>
      <c r="T29" s="5">
        <f>145+525</f>
        <v>670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41575</v>
      </c>
      <c r="B30" s="1"/>
      <c r="C30" s="2">
        <f t="shared" si="3"/>
        <v>53</v>
      </c>
      <c r="D30" s="3"/>
      <c r="E30" s="3">
        <f t="shared" si="4"/>
        <v>64.111499999999992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77">
        <f>1056+1062+870+820</f>
        <v>3808</v>
      </c>
      <c r="N30" s="90">
        <f t="shared" si="0"/>
        <v>27.417600000000004</v>
      </c>
      <c r="O30" s="96" t="s">
        <v>39</v>
      </c>
      <c r="Q30" s="1"/>
      <c r="R30" s="2">
        <f t="shared" si="7"/>
        <v>0</v>
      </c>
      <c r="S30" s="3">
        <f t="shared" si="1"/>
        <v>10.504800000000001</v>
      </c>
      <c r="T30" s="5">
        <f>300+1159</f>
        <v>1459</v>
      </c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41576</v>
      </c>
      <c r="B31" s="1"/>
      <c r="C31" s="2">
        <f t="shared" si="3"/>
        <v>53</v>
      </c>
      <c r="D31" s="7"/>
      <c r="E31" s="3">
        <f t="shared" si="4"/>
        <v>64.111499999999992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7"/>
        <v>0</v>
      </c>
      <c r="S31" s="3">
        <f t="shared" si="1"/>
        <v>0</v>
      </c>
      <c r="T31" s="5"/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41577</v>
      </c>
      <c r="B32" s="1"/>
      <c r="C32" s="2">
        <f t="shared" si="3"/>
        <v>53</v>
      </c>
      <c r="D32" s="3"/>
      <c r="E32" s="3">
        <f t="shared" si="4"/>
        <v>64.111499999999992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7"/>
        <v>0</v>
      </c>
      <c r="S32" s="3">
        <f t="shared" si="1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41578</v>
      </c>
      <c r="B33" s="1"/>
      <c r="C33" s="2">
        <f t="shared" si="3"/>
        <v>53</v>
      </c>
      <c r="D33" s="3"/>
      <c r="E33" s="3">
        <f t="shared" si="4"/>
        <v>64.111499999999992</v>
      </c>
      <c r="F33" s="69"/>
      <c r="G33" s="55"/>
      <c r="H33" s="2"/>
      <c r="I33" s="53"/>
      <c r="J33" s="56"/>
      <c r="K33" s="69"/>
      <c r="L33" s="42"/>
      <c r="M33" s="100">
        <f>825+1159</f>
        <v>1984</v>
      </c>
      <c r="N33" s="90">
        <f t="shared" si="0"/>
        <v>14.284800000000001</v>
      </c>
      <c r="O33" s="96" t="s">
        <v>39</v>
      </c>
      <c r="Q33" s="1"/>
      <c r="R33" s="2">
        <f t="shared" si="7"/>
        <v>0</v>
      </c>
      <c r="S33" s="3">
        <f t="shared" si="1"/>
        <v>0</v>
      </c>
      <c r="T33" s="56"/>
      <c r="U33" s="69"/>
      <c r="W33" s="13"/>
      <c r="X33" s="63"/>
      <c r="Y33" s="29"/>
    </row>
    <row r="34" spans="1:25" ht="21" customHeight="1" thickBot="1" x14ac:dyDescent="0.3">
      <c r="A34" s="17" t="s">
        <v>8</v>
      </c>
      <c r="B34" s="40">
        <f>SUM(B3:B33)</f>
        <v>53</v>
      </c>
      <c r="C34" s="40">
        <f>+B34</f>
        <v>53</v>
      </c>
      <c r="D34" s="88">
        <f>SUM(D3:D33)</f>
        <v>64.111499999999992</v>
      </c>
      <c r="E34" s="88">
        <f>+D34</f>
        <v>64.111499999999992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83">
        <f>SUM(M3:M33)</f>
        <v>8904</v>
      </c>
      <c r="N34" s="84">
        <f>SUM(N3:N33)</f>
        <v>64.108800000000002</v>
      </c>
      <c r="O34" s="85"/>
      <c r="Q34" s="95">
        <f>SUM(Q3:Q33)</f>
        <v>0</v>
      </c>
      <c r="R34" s="94">
        <f>+Q34</f>
        <v>0</v>
      </c>
      <c r="S34" s="101">
        <f>SUM(S3:S33)</f>
        <v>64.108800000000002</v>
      </c>
      <c r="T34" s="27">
        <f>SUM(T3:T33)</f>
        <v>8904</v>
      </c>
      <c r="U34" s="28"/>
      <c r="W34" s="29">
        <f>SUM(W3:W32)</f>
        <v>0</v>
      </c>
      <c r="X34" s="63">
        <f>SUM(X3:X32)</f>
        <v>0</v>
      </c>
      <c r="Y34" s="16"/>
    </row>
    <row r="35" spans="1:25" x14ac:dyDescent="0.2">
      <c r="D35" s="64"/>
      <c r="S35" s="98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Q1:U1"/>
    <mergeCell ref="M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C4" sqref="C4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hidden="1" customWidth="1"/>
    <col min="8" max="8" width="13.140625" hidden="1" customWidth="1"/>
    <col min="9" max="9" width="10.7109375" hidden="1" customWidth="1"/>
    <col min="10" max="10" width="9.140625" hidden="1" customWidth="1"/>
    <col min="11" max="11" width="10" hidden="1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4.28515625" customWidth="1"/>
    <col min="17" max="17" width="13.7109375" customWidth="1"/>
    <col min="18" max="18" width="13.140625" bestFit="1" customWidth="1"/>
    <col min="19" max="19" width="9.85546875" customWidth="1"/>
    <col min="21" max="21" width="11.42578125" customWidth="1"/>
    <col min="23" max="23" width="15.85546875" hidden="1" customWidth="1"/>
    <col min="24" max="25" width="0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22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41579</v>
      </c>
      <c r="B3" s="1"/>
      <c r="C3" s="87">
        <f>B3</f>
        <v>0</v>
      </c>
      <c r="D3" s="97">
        <f>285*8.1/1000</f>
        <v>2.3085</v>
      </c>
      <c r="E3" s="3">
        <f>D3</f>
        <v>2.3085</v>
      </c>
      <c r="F3" s="96" t="s">
        <v>39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3">
        <f t="shared" ref="S3:S33" si="1">T3*7.2/1000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2">A3+1</f>
        <v>41580</v>
      </c>
      <c r="B4" s="1"/>
      <c r="C4" s="2">
        <f t="shared" ref="C4:C33" si="3">B4+C3</f>
        <v>0</v>
      </c>
      <c r="D4" s="97">
        <f>1755*8.1/1000</f>
        <v>14.2155</v>
      </c>
      <c r="E4" s="3">
        <f t="shared" ref="E4:E33" si="4">D4+E3</f>
        <v>16.524000000000001</v>
      </c>
      <c r="F4" s="62"/>
      <c r="G4" s="1"/>
      <c r="H4" s="2">
        <f t="shared" ref="H4:H32" si="5">H3+G4</f>
        <v>0</v>
      </c>
      <c r="I4" s="3">
        <f t="shared" ref="I4:I32" si="6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7">R3+Q4</f>
        <v>0</v>
      </c>
      <c r="S4" s="3">
        <f t="shared" si="1"/>
        <v>0</v>
      </c>
      <c r="T4" s="5"/>
      <c r="U4" s="62"/>
      <c r="W4" s="44"/>
      <c r="X4" s="63">
        <f t="shared" ref="X4:X32" si="8">+W4*9.6/1000</f>
        <v>0</v>
      </c>
      <c r="Y4" s="38"/>
    </row>
    <row r="5" spans="1:25" ht="15" x14ac:dyDescent="0.25">
      <c r="A5" s="102">
        <f t="shared" si="2"/>
        <v>41581</v>
      </c>
      <c r="B5" s="103"/>
      <c r="C5" s="104">
        <f t="shared" si="3"/>
        <v>0</v>
      </c>
      <c r="D5" s="104"/>
      <c r="E5" s="104">
        <f t="shared" si="4"/>
        <v>16.524000000000001</v>
      </c>
      <c r="F5" s="105"/>
      <c r="G5" s="103"/>
      <c r="H5" s="104">
        <f t="shared" si="5"/>
        <v>0</v>
      </c>
      <c r="I5" s="104">
        <f t="shared" si="6"/>
        <v>0</v>
      </c>
      <c r="J5" s="106"/>
      <c r="K5" s="105"/>
      <c r="L5" s="107"/>
      <c r="M5" s="108"/>
      <c r="N5" s="109">
        <f t="shared" si="0"/>
        <v>0</v>
      </c>
      <c r="O5" s="110"/>
      <c r="P5" s="111"/>
      <c r="Q5" s="103"/>
      <c r="R5" s="104">
        <f t="shared" si="7"/>
        <v>0</v>
      </c>
      <c r="S5" s="104">
        <f t="shared" si="1"/>
        <v>0</v>
      </c>
      <c r="T5" s="106"/>
      <c r="U5" s="105"/>
      <c r="W5" s="13"/>
      <c r="X5" s="63">
        <f t="shared" si="8"/>
        <v>0</v>
      </c>
      <c r="Y5" s="38"/>
    </row>
    <row r="6" spans="1:25" ht="15" x14ac:dyDescent="0.25">
      <c r="A6" s="102">
        <f t="shared" si="2"/>
        <v>41582</v>
      </c>
      <c r="B6" s="103"/>
      <c r="C6" s="104">
        <f t="shared" si="3"/>
        <v>0</v>
      </c>
      <c r="D6" s="104"/>
      <c r="E6" s="104">
        <f t="shared" si="4"/>
        <v>16.524000000000001</v>
      </c>
      <c r="F6" s="105"/>
      <c r="G6" s="103"/>
      <c r="H6" s="104">
        <f t="shared" si="5"/>
        <v>0</v>
      </c>
      <c r="I6" s="104">
        <f t="shared" si="6"/>
        <v>0</v>
      </c>
      <c r="J6" s="106"/>
      <c r="K6" s="105"/>
      <c r="L6" s="107"/>
      <c r="M6" s="108"/>
      <c r="N6" s="109">
        <f t="shared" si="0"/>
        <v>0</v>
      </c>
      <c r="O6" s="110"/>
      <c r="P6" s="111"/>
      <c r="Q6" s="103"/>
      <c r="R6" s="104">
        <f t="shared" si="7"/>
        <v>0</v>
      </c>
      <c r="S6" s="104">
        <f t="shared" si="1"/>
        <v>0</v>
      </c>
      <c r="T6" s="106"/>
      <c r="U6" s="105"/>
      <c r="W6" s="13"/>
      <c r="X6" s="63">
        <f t="shared" si="8"/>
        <v>0</v>
      </c>
      <c r="Y6" s="38"/>
    </row>
    <row r="7" spans="1:25" ht="15" x14ac:dyDescent="0.25">
      <c r="A7" s="102">
        <f t="shared" si="2"/>
        <v>41583</v>
      </c>
      <c r="B7" s="103"/>
      <c r="C7" s="104">
        <f t="shared" si="3"/>
        <v>0</v>
      </c>
      <c r="D7" s="104"/>
      <c r="E7" s="104">
        <f t="shared" si="4"/>
        <v>16.524000000000001</v>
      </c>
      <c r="F7" s="105"/>
      <c r="G7" s="103"/>
      <c r="H7" s="104">
        <f t="shared" si="5"/>
        <v>0</v>
      </c>
      <c r="I7" s="104">
        <f t="shared" si="6"/>
        <v>0</v>
      </c>
      <c r="J7" s="106"/>
      <c r="K7" s="105"/>
      <c r="L7" s="107"/>
      <c r="M7" s="112"/>
      <c r="N7" s="109">
        <f t="shared" si="0"/>
        <v>0</v>
      </c>
      <c r="O7" s="113"/>
      <c r="P7" s="111"/>
      <c r="Q7" s="103"/>
      <c r="R7" s="104">
        <f t="shared" si="7"/>
        <v>0</v>
      </c>
      <c r="S7" s="104">
        <f t="shared" si="1"/>
        <v>0</v>
      </c>
      <c r="T7" s="106"/>
      <c r="U7" s="105"/>
      <c r="W7" s="13"/>
      <c r="X7" s="63">
        <f t="shared" si="8"/>
        <v>0</v>
      </c>
      <c r="Y7" s="38"/>
    </row>
    <row r="8" spans="1:25" ht="15" x14ac:dyDescent="0.25">
      <c r="A8" s="11">
        <f t="shared" si="2"/>
        <v>41584</v>
      </c>
      <c r="B8" s="1"/>
      <c r="C8" s="2">
        <f t="shared" si="3"/>
        <v>0</v>
      </c>
      <c r="D8" s="97">
        <f>(945+59)*8.1/1000</f>
        <v>8.1324000000000005</v>
      </c>
      <c r="E8" s="3">
        <f t="shared" si="4"/>
        <v>24.656400000000001</v>
      </c>
      <c r="F8" s="62"/>
      <c r="G8" s="1"/>
      <c r="H8" s="2">
        <f t="shared" si="5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7"/>
        <v>0</v>
      </c>
      <c r="S8" s="3">
        <f t="shared" si="1"/>
        <v>5.4</v>
      </c>
      <c r="T8" s="65">
        <v>750</v>
      </c>
      <c r="U8" s="96" t="s">
        <v>39</v>
      </c>
      <c r="W8" s="66"/>
      <c r="X8" s="63">
        <f t="shared" si="8"/>
        <v>0</v>
      </c>
      <c r="Y8" s="14"/>
    </row>
    <row r="9" spans="1:25" ht="15" x14ac:dyDescent="0.25">
      <c r="A9" s="11">
        <f t="shared" si="2"/>
        <v>41585</v>
      </c>
      <c r="B9" s="1"/>
      <c r="C9" s="2">
        <f t="shared" si="3"/>
        <v>0</v>
      </c>
      <c r="D9" s="3"/>
      <c r="E9" s="3">
        <f t="shared" si="4"/>
        <v>24.656400000000001</v>
      </c>
      <c r="F9" s="62"/>
      <c r="G9" s="1"/>
      <c r="H9" s="2">
        <f t="shared" si="5"/>
        <v>0</v>
      </c>
      <c r="I9" s="3">
        <f t="shared" si="6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7"/>
        <v>0</v>
      </c>
      <c r="S9" s="3">
        <f t="shared" si="1"/>
        <v>6.66</v>
      </c>
      <c r="T9" s="5">
        <f>195+730</f>
        <v>925</v>
      </c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2"/>
        <v>41586</v>
      </c>
      <c r="B10" s="1"/>
      <c r="C10" s="2">
        <f t="shared" si="3"/>
        <v>0</v>
      </c>
      <c r="D10" s="3"/>
      <c r="E10" s="3">
        <f t="shared" si="4"/>
        <v>24.656400000000001</v>
      </c>
      <c r="F10" s="4"/>
      <c r="G10" s="1"/>
      <c r="H10" s="2">
        <f t="shared" si="5"/>
        <v>0</v>
      </c>
      <c r="I10" s="3">
        <f t="shared" si="6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7"/>
        <v>0</v>
      </c>
      <c r="S10" s="3">
        <f t="shared" si="1"/>
        <v>5.3856000000000002</v>
      </c>
      <c r="T10" s="5">
        <f>298+450</f>
        <v>748</v>
      </c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2"/>
        <v>41587</v>
      </c>
      <c r="B11" s="1"/>
      <c r="C11" s="2">
        <f t="shared" si="3"/>
        <v>0</v>
      </c>
      <c r="D11" s="3"/>
      <c r="E11" s="3">
        <f t="shared" si="4"/>
        <v>24.656400000000001</v>
      </c>
      <c r="F11" s="4"/>
      <c r="G11" s="1"/>
      <c r="H11" s="2">
        <f t="shared" si="5"/>
        <v>0</v>
      </c>
      <c r="I11" s="3">
        <f t="shared" si="6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7"/>
        <v>0</v>
      </c>
      <c r="S11" s="3">
        <f t="shared" si="1"/>
        <v>4.6079999999999997</v>
      </c>
      <c r="T11" s="5">
        <v>640</v>
      </c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2"/>
        <v>41588</v>
      </c>
      <c r="B12" s="1"/>
      <c r="C12" s="2">
        <f t="shared" si="3"/>
        <v>0</v>
      </c>
      <c r="D12" s="3"/>
      <c r="E12" s="3">
        <f t="shared" si="4"/>
        <v>24.656400000000001</v>
      </c>
      <c r="F12" s="4"/>
      <c r="G12" s="1"/>
      <c r="H12" s="2">
        <f t="shared" si="5"/>
        <v>0</v>
      </c>
      <c r="I12" s="3">
        <f t="shared" si="6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7"/>
        <v>0</v>
      </c>
      <c r="S12" s="3">
        <f t="shared" si="1"/>
        <v>2.3039999999999998</v>
      </c>
      <c r="T12" s="5">
        <v>320</v>
      </c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2"/>
        <v>41589</v>
      </c>
      <c r="B13" s="1"/>
      <c r="C13" s="2">
        <f t="shared" si="3"/>
        <v>0</v>
      </c>
      <c r="D13" s="3"/>
      <c r="E13" s="3">
        <f t="shared" si="4"/>
        <v>24.656400000000001</v>
      </c>
      <c r="F13" s="4"/>
      <c r="G13" s="1"/>
      <c r="H13" s="2">
        <f t="shared" si="5"/>
        <v>0</v>
      </c>
      <c r="I13" s="3">
        <f t="shared" si="6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7"/>
        <v>0</v>
      </c>
      <c r="S13" s="3">
        <f t="shared" si="1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2"/>
        <v>41590</v>
      </c>
      <c r="B14" s="1"/>
      <c r="C14" s="2">
        <f t="shared" si="3"/>
        <v>0</v>
      </c>
      <c r="D14" s="3"/>
      <c r="E14" s="3">
        <f t="shared" si="4"/>
        <v>24.656400000000001</v>
      </c>
      <c r="F14" s="39"/>
      <c r="G14" s="1"/>
      <c r="H14" s="2">
        <f t="shared" si="5"/>
        <v>0</v>
      </c>
      <c r="I14" s="3">
        <f t="shared" si="6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7"/>
        <v>0</v>
      </c>
      <c r="S14" s="3">
        <f t="shared" si="1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2"/>
        <v>41591</v>
      </c>
      <c r="B15" s="1"/>
      <c r="C15" s="2">
        <f t="shared" si="3"/>
        <v>0</v>
      </c>
      <c r="D15" s="97"/>
      <c r="E15" s="3">
        <f t="shared" si="4"/>
        <v>24.656400000000001</v>
      </c>
      <c r="F15" s="96"/>
      <c r="G15" s="1"/>
      <c r="H15" s="2">
        <f t="shared" si="5"/>
        <v>0</v>
      </c>
      <c r="I15" s="3">
        <f t="shared" si="6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7"/>
        <v>0</v>
      </c>
      <c r="S15" s="3">
        <f t="shared" si="1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2"/>
        <v>41592</v>
      </c>
      <c r="B16" s="1"/>
      <c r="C16" s="2">
        <f t="shared" si="3"/>
        <v>0</v>
      </c>
      <c r="D16" s="3"/>
      <c r="E16" s="3">
        <f t="shared" si="4"/>
        <v>24.656400000000001</v>
      </c>
      <c r="F16" s="96"/>
      <c r="G16" s="1"/>
      <c r="H16" s="2">
        <f t="shared" si="5"/>
        <v>0</v>
      </c>
      <c r="I16" s="3">
        <f t="shared" si="6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7"/>
        <v>0</v>
      </c>
      <c r="S16" s="3">
        <f t="shared" si="1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2"/>
        <v>41593</v>
      </c>
      <c r="B17" s="1"/>
      <c r="C17" s="2">
        <f t="shared" si="3"/>
        <v>0</v>
      </c>
      <c r="D17" s="6"/>
      <c r="E17" s="6">
        <f t="shared" si="4"/>
        <v>24.656400000000001</v>
      </c>
      <c r="F17" s="61"/>
      <c r="G17" s="1"/>
      <c r="H17" s="2">
        <f t="shared" si="5"/>
        <v>0</v>
      </c>
      <c r="I17" s="6">
        <f t="shared" si="6"/>
        <v>0</v>
      </c>
      <c r="J17" s="5"/>
      <c r="K17" s="62"/>
      <c r="L17" s="33"/>
      <c r="M17" s="77">
        <f>945+1348+1090</f>
        <v>3383</v>
      </c>
      <c r="N17" s="29">
        <f t="shared" si="0"/>
        <v>24.357600000000001</v>
      </c>
      <c r="O17" s="81"/>
      <c r="Q17" s="1"/>
      <c r="R17" s="2">
        <f t="shared" si="7"/>
        <v>0</v>
      </c>
      <c r="S17" s="3">
        <f t="shared" si="1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2"/>
        <v>41594</v>
      </c>
      <c r="B18" s="1"/>
      <c r="C18" s="2">
        <f t="shared" si="3"/>
        <v>0</v>
      </c>
      <c r="D18" s="3"/>
      <c r="E18" s="3">
        <f t="shared" si="4"/>
        <v>24.656400000000001</v>
      </c>
      <c r="F18" s="39"/>
      <c r="G18" s="1"/>
      <c r="H18" s="2">
        <f t="shared" si="5"/>
        <v>0</v>
      </c>
      <c r="I18" s="3">
        <f t="shared" si="6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7"/>
        <v>0</v>
      </c>
      <c r="S18" s="3">
        <f t="shared" si="1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2"/>
        <v>41595</v>
      </c>
      <c r="B19" s="1"/>
      <c r="C19" s="2">
        <f>B19+C18</f>
        <v>0</v>
      </c>
      <c r="D19" s="3"/>
      <c r="E19" s="3">
        <f t="shared" si="4"/>
        <v>24.656400000000001</v>
      </c>
      <c r="F19" s="39"/>
      <c r="G19" s="1"/>
      <c r="H19" s="2">
        <f t="shared" si="5"/>
        <v>0</v>
      </c>
      <c r="I19" s="3">
        <f t="shared" si="6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7"/>
        <v>0</v>
      </c>
      <c r="S19" s="3">
        <f t="shared" si="1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2"/>
        <v>41596</v>
      </c>
      <c r="B20" s="1"/>
      <c r="C20" s="2">
        <f t="shared" si="3"/>
        <v>0</v>
      </c>
      <c r="D20" s="3"/>
      <c r="E20" s="3">
        <f t="shared" si="4"/>
        <v>24.656400000000001</v>
      </c>
      <c r="F20" s="67"/>
      <c r="G20" s="1"/>
      <c r="H20" s="2">
        <f t="shared" si="5"/>
        <v>0</v>
      </c>
      <c r="I20" s="3">
        <f t="shared" si="6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7"/>
        <v>0</v>
      </c>
      <c r="S20" s="3">
        <f t="shared" si="1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2"/>
        <v>41597</v>
      </c>
      <c r="B21" s="1"/>
      <c r="C21" s="2">
        <f t="shared" si="3"/>
        <v>0</v>
      </c>
      <c r="D21" s="3"/>
      <c r="E21" s="3">
        <f t="shared" si="4"/>
        <v>24.656400000000001</v>
      </c>
      <c r="F21" s="96"/>
      <c r="G21" s="1"/>
      <c r="H21" s="2">
        <f t="shared" si="5"/>
        <v>0</v>
      </c>
      <c r="I21" s="3">
        <f t="shared" si="6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7"/>
        <v>0</v>
      </c>
      <c r="S21" s="3">
        <f t="shared" si="1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2"/>
        <v>41598</v>
      </c>
      <c r="B22" s="1"/>
      <c r="C22" s="2">
        <f t="shared" si="3"/>
        <v>0</v>
      </c>
      <c r="D22" s="3"/>
      <c r="E22" s="3">
        <f t="shared" si="4"/>
        <v>24.656400000000001</v>
      </c>
      <c r="F22" s="67"/>
      <c r="G22" s="1"/>
      <c r="H22" s="2">
        <f t="shared" si="5"/>
        <v>0</v>
      </c>
      <c r="I22" s="3">
        <f t="shared" si="6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7"/>
        <v>0</v>
      </c>
      <c r="S22" s="3">
        <f t="shared" si="1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2"/>
        <v>41599</v>
      </c>
      <c r="B23" s="1"/>
      <c r="C23" s="2">
        <f t="shared" si="3"/>
        <v>0</v>
      </c>
      <c r="D23" s="3"/>
      <c r="E23" s="3">
        <f t="shared" si="4"/>
        <v>24.656400000000001</v>
      </c>
      <c r="F23" s="62"/>
      <c r="G23" s="1"/>
      <c r="H23" s="2">
        <f t="shared" si="5"/>
        <v>0</v>
      </c>
      <c r="I23" s="3">
        <f t="shared" si="6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7"/>
        <v>0</v>
      </c>
      <c r="S23" s="3">
        <f t="shared" si="1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2"/>
        <v>41600</v>
      </c>
      <c r="B24" s="1"/>
      <c r="C24" s="2">
        <f t="shared" si="3"/>
        <v>0</v>
      </c>
      <c r="D24" s="3"/>
      <c r="E24" s="3">
        <f t="shared" si="4"/>
        <v>24.656400000000001</v>
      </c>
      <c r="F24" s="86"/>
      <c r="G24" s="1"/>
      <c r="H24" s="2">
        <f t="shared" si="5"/>
        <v>0</v>
      </c>
      <c r="I24" s="3">
        <f t="shared" si="6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7"/>
        <v>0</v>
      </c>
      <c r="S24" s="3">
        <f t="shared" si="1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2"/>
        <v>41601</v>
      </c>
      <c r="B25" s="1"/>
      <c r="C25" s="2">
        <f t="shared" si="3"/>
        <v>0</v>
      </c>
      <c r="D25" s="3"/>
      <c r="E25" s="3">
        <f t="shared" si="4"/>
        <v>24.656400000000001</v>
      </c>
      <c r="F25" s="62"/>
      <c r="G25" s="1"/>
      <c r="H25" s="2">
        <f t="shared" si="5"/>
        <v>0</v>
      </c>
      <c r="I25" s="3">
        <f t="shared" si="6"/>
        <v>0</v>
      </c>
      <c r="J25" s="5"/>
      <c r="K25" s="62"/>
      <c r="L25" s="33"/>
      <c r="M25" s="77"/>
      <c r="N25" s="90">
        <f t="shared" si="0"/>
        <v>0</v>
      </c>
      <c r="O25" s="76"/>
      <c r="Q25" s="1"/>
      <c r="R25" s="2">
        <f t="shared" si="7"/>
        <v>0</v>
      </c>
      <c r="S25" s="3">
        <f t="shared" si="1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2"/>
        <v>41602</v>
      </c>
      <c r="B26" s="1"/>
      <c r="C26" s="2">
        <f t="shared" si="3"/>
        <v>0</v>
      </c>
      <c r="D26" s="3"/>
      <c r="E26" s="3">
        <f t="shared" si="4"/>
        <v>24.656400000000001</v>
      </c>
      <c r="F26" s="86"/>
      <c r="G26" s="1"/>
      <c r="H26" s="2">
        <f t="shared" si="5"/>
        <v>0</v>
      </c>
      <c r="I26" s="3">
        <f t="shared" si="6"/>
        <v>0</v>
      </c>
      <c r="J26" s="5"/>
      <c r="K26" s="62"/>
      <c r="L26" s="33"/>
      <c r="M26" s="77"/>
      <c r="N26" s="90">
        <f t="shared" si="0"/>
        <v>0</v>
      </c>
      <c r="O26" s="81"/>
      <c r="Q26" s="1"/>
      <c r="R26" s="2">
        <f t="shared" si="7"/>
        <v>0</v>
      </c>
      <c r="S26" s="3">
        <f t="shared" si="1"/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2"/>
        <v>41603</v>
      </c>
      <c r="B27" s="1"/>
      <c r="C27" s="2">
        <f t="shared" si="3"/>
        <v>0</v>
      </c>
      <c r="D27" s="3"/>
      <c r="E27" s="3">
        <f t="shared" si="4"/>
        <v>24.656400000000001</v>
      </c>
      <c r="F27" s="62"/>
      <c r="G27" s="1"/>
      <c r="H27" s="2">
        <f t="shared" si="5"/>
        <v>0</v>
      </c>
      <c r="I27" s="3">
        <f t="shared" si="6"/>
        <v>0</v>
      </c>
      <c r="J27" s="5"/>
      <c r="K27" s="62"/>
      <c r="L27" s="33"/>
      <c r="M27" s="77"/>
      <c r="N27" s="90">
        <f t="shared" si="0"/>
        <v>0</v>
      </c>
      <c r="O27" s="96"/>
      <c r="Q27" s="1"/>
      <c r="R27" s="2">
        <f t="shared" si="7"/>
        <v>0</v>
      </c>
      <c r="S27" s="3">
        <f t="shared" si="1"/>
        <v>0</v>
      </c>
      <c r="T27" s="5"/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2"/>
        <v>41604</v>
      </c>
      <c r="B28" s="1"/>
      <c r="C28" s="2">
        <f t="shared" si="3"/>
        <v>0</v>
      </c>
      <c r="D28" s="3"/>
      <c r="E28" s="3">
        <f t="shared" si="4"/>
        <v>24.656400000000001</v>
      </c>
      <c r="F28" s="62"/>
      <c r="G28" s="1"/>
      <c r="H28" s="2">
        <f t="shared" si="5"/>
        <v>0</v>
      </c>
      <c r="I28" s="3">
        <f t="shared" si="6"/>
        <v>0</v>
      </c>
      <c r="J28" s="5"/>
      <c r="K28" s="62"/>
      <c r="L28" s="33"/>
      <c r="M28" s="77"/>
      <c r="N28" s="90">
        <f t="shared" si="0"/>
        <v>0</v>
      </c>
      <c r="O28" s="81"/>
      <c r="Q28" s="1"/>
      <c r="R28" s="2">
        <f t="shared" si="7"/>
        <v>0</v>
      </c>
      <c r="S28" s="3">
        <f t="shared" si="1"/>
        <v>0</v>
      </c>
      <c r="T28" s="5"/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2"/>
        <v>41605</v>
      </c>
      <c r="B29" s="1"/>
      <c r="C29" s="2">
        <f t="shared" si="3"/>
        <v>0</v>
      </c>
      <c r="D29" s="3"/>
      <c r="E29" s="3">
        <f t="shared" si="4"/>
        <v>24.656400000000001</v>
      </c>
      <c r="F29" s="62"/>
      <c r="G29" s="1"/>
      <c r="H29" s="2">
        <f t="shared" si="5"/>
        <v>0</v>
      </c>
      <c r="I29" s="3">
        <f t="shared" si="6"/>
        <v>0</v>
      </c>
      <c r="J29" s="5"/>
      <c r="K29" s="62"/>
      <c r="L29" s="33"/>
      <c r="M29" s="77"/>
      <c r="N29" s="90">
        <f t="shared" si="0"/>
        <v>0</v>
      </c>
      <c r="O29" s="81"/>
      <c r="Q29" s="1"/>
      <c r="R29" s="2">
        <f t="shared" si="7"/>
        <v>0</v>
      </c>
      <c r="S29" s="3">
        <f t="shared" si="1"/>
        <v>0</v>
      </c>
      <c r="T29" s="5"/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2"/>
        <v>41606</v>
      </c>
      <c r="B30" s="1"/>
      <c r="C30" s="2">
        <f t="shared" si="3"/>
        <v>0</v>
      </c>
      <c r="D30" s="3"/>
      <c r="E30" s="3">
        <f t="shared" si="4"/>
        <v>24.656400000000001</v>
      </c>
      <c r="F30" s="62"/>
      <c r="G30" s="1"/>
      <c r="H30" s="2">
        <f t="shared" si="5"/>
        <v>0</v>
      </c>
      <c r="I30" s="3">
        <f t="shared" si="6"/>
        <v>0</v>
      </c>
      <c r="J30" s="5"/>
      <c r="K30" s="62"/>
      <c r="L30" s="33"/>
      <c r="M30" s="77"/>
      <c r="N30" s="90">
        <f t="shared" si="0"/>
        <v>0</v>
      </c>
      <c r="O30" s="96"/>
      <c r="Q30" s="1"/>
      <c r="R30" s="2">
        <f t="shared" si="7"/>
        <v>0</v>
      </c>
      <c r="S30" s="3">
        <f t="shared" si="1"/>
        <v>0</v>
      </c>
      <c r="T30" s="5"/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2"/>
        <v>41607</v>
      </c>
      <c r="B31" s="1"/>
      <c r="C31" s="2">
        <f t="shared" si="3"/>
        <v>0</v>
      </c>
      <c r="D31" s="7"/>
      <c r="E31" s="3">
        <f t="shared" si="4"/>
        <v>24.656400000000001</v>
      </c>
      <c r="F31" s="62"/>
      <c r="G31" s="1"/>
      <c r="H31" s="2">
        <f t="shared" si="5"/>
        <v>0</v>
      </c>
      <c r="I31" s="3">
        <f t="shared" si="6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7"/>
        <v>0</v>
      </c>
      <c r="S31" s="3">
        <f t="shared" si="1"/>
        <v>0</v>
      </c>
      <c r="T31" s="5"/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2"/>
        <v>41608</v>
      </c>
      <c r="B32" s="1"/>
      <c r="C32" s="2">
        <f t="shared" si="3"/>
        <v>0</v>
      </c>
      <c r="D32" s="3"/>
      <c r="E32" s="3">
        <f t="shared" si="4"/>
        <v>24.656400000000001</v>
      </c>
      <c r="F32" s="62"/>
      <c r="G32" s="1"/>
      <c r="H32" s="2">
        <f t="shared" si="5"/>
        <v>0</v>
      </c>
      <c r="I32" s="3">
        <f t="shared" si="6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7"/>
        <v>0</v>
      </c>
      <c r="S32" s="3">
        <f t="shared" si="1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2"/>
        <v>41609</v>
      </c>
      <c r="B33" s="1"/>
      <c r="C33" s="2">
        <f t="shared" si="3"/>
        <v>0</v>
      </c>
      <c r="D33" s="3"/>
      <c r="E33" s="3">
        <f t="shared" si="4"/>
        <v>24.656400000000001</v>
      </c>
      <c r="F33" s="69"/>
      <c r="G33" s="55"/>
      <c r="H33" s="2"/>
      <c r="I33" s="53"/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7"/>
        <v>0</v>
      </c>
      <c r="S33" s="3">
        <f t="shared" si="1"/>
        <v>0</v>
      </c>
      <c r="T33" s="56"/>
      <c r="U33" s="69"/>
      <c r="W33" s="13"/>
      <c r="X33" s="63"/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24.656400000000001</v>
      </c>
      <c r="E34" s="88">
        <f>+D34</f>
        <v>24.656400000000001</v>
      </c>
      <c r="F34" s="25"/>
      <c r="G34" s="26">
        <f>SUM(G3:G32)</f>
        <v>0</v>
      </c>
      <c r="H34" s="40">
        <f>+G34</f>
        <v>0</v>
      </c>
      <c r="I34" s="23">
        <f>SUM(I3:I32)</f>
        <v>0</v>
      </c>
      <c r="J34" s="27">
        <f>SUM(J3:J32)</f>
        <v>0</v>
      </c>
      <c r="K34" s="28"/>
      <c r="L34" s="35"/>
      <c r="M34" s="83">
        <f>SUM(M3:M33)</f>
        <v>3383</v>
      </c>
      <c r="N34" s="84">
        <f>SUM(N3:N33)</f>
        <v>24.357600000000001</v>
      </c>
      <c r="O34" s="85"/>
      <c r="Q34" s="95">
        <f>SUM(Q3:Q33)</f>
        <v>0</v>
      </c>
      <c r="R34" s="94">
        <f>+Q34</f>
        <v>0</v>
      </c>
      <c r="S34" s="101">
        <f>SUM(S3:S33)</f>
        <v>24.357599999999998</v>
      </c>
      <c r="T34" s="27">
        <f>SUM(T3:T33)</f>
        <v>3383</v>
      </c>
      <c r="U34" s="28"/>
      <c r="W34" s="29">
        <f>SUM(W3:W32)</f>
        <v>0</v>
      </c>
      <c r="X34" s="63">
        <f>SUM(X3:X32)</f>
        <v>0</v>
      </c>
      <c r="Y34" s="16"/>
    </row>
    <row r="35" spans="1:25" x14ac:dyDescent="0.2">
      <c r="D35" s="64"/>
      <c r="S35" s="98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pane xSplit="1" ySplit="2" topLeftCell="N16" activePane="bottomRight" state="frozen"/>
      <selection pane="topRight" activeCell="B1" sqref="B1"/>
      <selection pane="bottomLeft" activeCell="A3" sqref="A3"/>
      <selection pane="bottomRight" activeCell="S34" sqref="S34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9.85546875" customWidth="1"/>
    <col min="21" max="21" width="11.42578125" customWidth="1"/>
    <col min="22" max="22" width="1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41609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41610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2" si="4">H3+G4</f>
        <v>0</v>
      </c>
      <c r="I4" s="3">
        <f t="shared" ref="I4:I32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02">
        <f t="shared" si="1"/>
        <v>41611</v>
      </c>
      <c r="B5" s="103"/>
      <c r="C5" s="104">
        <f t="shared" si="2"/>
        <v>0</v>
      </c>
      <c r="D5" s="104"/>
      <c r="E5" s="104">
        <f t="shared" si="3"/>
        <v>0</v>
      </c>
      <c r="F5" s="105"/>
      <c r="G5" s="103"/>
      <c r="H5" s="104">
        <f t="shared" si="4"/>
        <v>0</v>
      </c>
      <c r="I5" s="104">
        <f t="shared" si="5"/>
        <v>0</v>
      </c>
      <c r="J5" s="106"/>
      <c r="K5" s="105"/>
      <c r="L5" s="107"/>
      <c r="M5" s="108"/>
      <c r="N5" s="109">
        <f t="shared" si="0"/>
        <v>0</v>
      </c>
      <c r="O5" s="110"/>
      <c r="P5" s="111"/>
      <c r="Q5" s="103"/>
      <c r="R5" s="104">
        <f t="shared" si="6"/>
        <v>0</v>
      </c>
      <c r="S5" s="97">
        <f t="shared" si="7"/>
        <v>0</v>
      </c>
      <c r="T5" s="106"/>
      <c r="U5" s="105"/>
      <c r="W5" s="13"/>
      <c r="X5" s="63">
        <f t="shared" si="8"/>
        <v>0</v>
      </c>
      <c r="Y5" s="38"/>
    </row>
    <row r="6" spans="1:25" ht="15" x14ac:dyDescent="0.25">
      <c r="A6" s="102">
        <f t="shared" si="1"/>
        <v>41612</v>
      </c>
      <c r="B6" s="103"/>
      <c r="C6" s="104">
        <f t="shared" si="2"/>
        <v>0</v>
      </c>
      <c r="D6" s="104"/>
      <c r="E6" s="104">
        <f t="shared" si="3"/>
        <v>0</v>
      </c>
      <c r="F6" s="105"/>
      <c r="G6" s="103"/>
      <c r="H6" s="104">
        <f t="shared" si="4"/>
        <v>0</v>
      </c>
      <c r="I6" s="104">
        <f t="shared" si="5"/>
        <v>0</v>
      </c>
      <c r="J6" s="106"/>
      <c r="K6" s="105"/>
      <c r="L6" s="107"/>
      <c r="M6" s="108"/>
      <c r="N6" s="109">
        <f t="shared" si="0"/>
        <v>0</v>
      </c>
      <c r="O6" s="110"/>
      <c r="P6" s="111"/>
      <c r="Q6" s="103"/>
      <c r="R6" s="104">
        <f t="shared" si="6"/>
        <v>0</v>
      </c>
      <c r="S6" s="97">
        <f t="shared" si="7"/>
        <v>0</v>
      </c>
      <c r="T6" s="106"/>
      <c r="U6" s="105"/>
      <c r="W6" s="13"/>
      <c r="X6" s="63">
        <f t="shared" si="8"/>
        <v>0</v>
      </c>
      <c r="Y6" s="38"/>
    </row>
    <row r="7" spans="1:25" ht="15" x14ac:dyDescent="0.25">
      <c r="A7" s="102">
        <f t="shared" si="1"/>
        <v>41613</v>
      </c>
      <c r="B7" s="103"/>
      <c r="C7" s="104">
        <f t="shared" si="2"/>
        <v>0</v>
      </c>
      <c r="D7" s="104"/>
      <c r="E7" s="104">
        <f t="shared" si="3"/>
        <v>0</v>
      </c>
      <c r="F7" s="105"/>
      <c r="G7" s="103"/>
      <c r="H7" s="104">
        <f t="shared" si="4"/>
        <v>0</v>
      </c>
      <c r="I7" s="104">
        <f t="shared" si="5"/>
        <v>0</v>
      </c>
      <c r="J7" s="106"/>
      <c r="K7" s="105"/>
      <c r="L7" s="107"/>
      <c r="M7" s="112"/>
      <c r="N7" s="109">
        <f t="shared" si="0"/>
        <v>0</v>
      </c>
      <c r="O7" s="113"/>
      <c r="P7" s="111"/>
      <c r="Q7" s="103"/>
      <c r="R7" s="104">
        <f t="shared" si="6"/>
        <v>0</v>
      </c>
      <c r="S7" s="97">
        <f t="shared" si="7"/>
        <v>0</v>
      </c>
      <c r="T7" s="106"/>
      <c r="U7" s="105"/>
      <c r="W7" s="13"/>
      <c r="X7" s="63">
        <f t="shared" si="8"/>
        <v>0</v>
      </c>
      <c r="Y7" s="38"/>
    </row>
    <row r="8" spans="1:25" ht="15" x14ac:dyDescent="0.25">
      <c r="A8" s="11">
        <f t="shared" si="1"/>
        <v>41614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41615</v>
      </c>
      <c r="B9" s="1"/>
      <c r="C9" s="2">
        <f t="shared" si="2"/>
        <v>0</v>
      </c>
      <c r="D9" s="3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41616</v>
      </c>
      <c r="B10" s="1"/>
      <c r="C10" s="2">
        <f t="shared" si="2"/>
        <v>0</v>
      </c>
      <c r="D10" s="3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41617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41618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41619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41620</v>
      </c>
      <c r="B14" s="1"/>
      <c r="C14" s="2">
        <f t="shared" si="2"/>
        <v>0</v>
      </c>
      <c r="D14" s="3"/>
      <c r="E14" s="3">
        <f t="shared" si="3"/>
        <v>0</v>
      </c>
      <c r="F14" s="67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41621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41622</v>
      </c>
      <c r="B16" s="1"/>
      <c r="C16" s="2">
        <f t="shared" si="2"/>
        <v>0</v>
      </c>
      <c r="D16" s="3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" ht="15" x14ac:dyDescent="0.25">
      <c r="A17" s="11">
        <f t="shared" si="1"/>
        <v>41623</v>
      </c>
      <c r="B17" s="1"/>
      <c r="C17" s="2">
        <f t="shared" si="2"/>
        <v>0</v>
      </c>
      <c r="D17" s="6"/>
      <c r="E17" s="6">
        <f t="shared" si="3"/>
        <v>0</v>
      </c>
      <c r="F17" s="115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" ht="15" x14ac:dyDescent="0.25">
      <c r="A18" s="11">
        <f t="shared" si="1"/>
        <v>41624</v>
      </c>
      <c r="B18" s="1">
        <v>9</v>
      </c>
      <c r="C18" s="2">
        <f t="shared" si="2"/>
        <v>9</v>
      </c>
      <c r="D18" s="97">
        <f>1000*8.1/1000</f>
        <v>8.1</v>
      </c>
      <c r="E18" s="3">
        <f t="shared" si="3"/>
        <v>8.1</v>
      </c>
      <c r="F18" s="67" t="s">
        <v>34</v>
      </c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" ht="15" x14ac:dyDescent="0.25">
      <c r="A19" s="11">
        <f t="shared" si="1"/>
        <v>41625</v>
      </c>
      <c r="B19" s="1">
        <v>12</v>
      </c>
      <c r="C19" s="2">
        <f>B19+C18</f>
        <v>21</v>
      </c>
      <c r="D19" s="97">
        <f>1955*8.1/1000</f>
        <v>15.8355</v>
      </c>
      <c r="E19" s="3">
        <f t="shared" si="3"/>
        <v>23.935499999999998</v>
      </c>
      <c r="F19" s="67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" ht="15" x14ac:dyDescent="0.25">
      <c r="A20" s="11">
        <f t="shared" si="1"/>
        <v>41626</v>
      </c>
      <c r="B20" s="1">
        <v>12</v>
      </c>
      <c r="C20" s="2">
        <f t="shared" si="2"/>
        <v>33</v>
      </c>
      <c r="D20" s="97">
        <f>2225*8.1/1000</f>
        <v>18.022500000000001</v>
      </c>
      <c r="E20" s="3">
        <f t="shared" si="3"/>
        <v>41.957999999999998</v>
      </c>
      <c r="F20" s="67"/>
      <c r="G20" s="1"/>
      <c r="H20" s="2">
        <f>H19+G20</f>
        <v>0</v>
      </c>
      <c r="I20" s="3">
        <f t="shared" si="5"/>
        <v>1.62</v>
      </c>
      <c r="J20" s="5">
        <v>225</v>
      </c>
      <c r="K20" s="62" t="s">
        <v>34</v>
      </c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" ht="15" x14ac:dyDescent="0.25">
      <c r="A21" s="11">
        <f t="shared" si="1"/>
        <v>41627</v>
      </c>
      <c r="B21" s="1">
        <v>12</v>
      </c>
      <c r="C21" s="2">
        <f t="shared" si="2"/>
        <v>45</v>
      </c>
      <c r="D21" s="97">
        <f>986*8.1/1000</f>
        <v>7.9865999999999993</v>
      </c>
      <c r="E21" s="3">
        <f t="shared" si="3"/>
        <v>49.944599999999994</v>
      </c>
      <c r="F21" s="96"/>
      <c r="G21" s="1"/>
      <c r="H21" s="2">
        <f t="shared" si="4"/>
        <v>0</v>
      </c>
      <c r="I21" s="3">
        <f t="shared" si="5"/>
        <v>7.56</v>
      </c>
      <c r="J21" s="5">
        <f>900+150</f>
        <v>1050</v>
      </c>
      <c r="K21" s="62" t="s">
        <v>34</v>
      </c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" ht="15" x14ac:dyDescent="0.25">
      <c r="A22" s="11">
        <f t="shared" si="1"/>
        <v>41628</v>
      </c>
      <c r="B22" s="1">
        <v>6</v>
      </c>
      <c r="C22" s="2">
        <f t="shared" si="2"/>
        <v>51</v>
      </c>
      <c r="D22" s="3"/>
      <c r="E22" s="3">
        <f t="shared" si="3"/>
        <v>49.944599999999994</v>
      </c>
      <c r="F22" s="67"/>
      <c r="G22" s="1"/>
      <c r="H22" s="2">
        <f t="shared" si="4"/>
        <v>0</v>
      </c>
      <c r="I22" s="3">
        <f t="shared" si="5"/>
        <v>7.8840000000000003</v>
      </c>
      <c r="J22" s="5">
        <f>795+300</f>
        <v>1095</v>
      </c>
      <c r="K22" s="62" t="s">
        <v>34</v>
      </c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" ht="15" x14ac:dyDescent="0.25">
      <c r="A23" s="11">
        <f t="shared" si="1"/>
        <v>41629</v>
      </c>
      <c r="B23" s="1"/>
      <c r="C23" s="2">
        <f t="shared" si="2"/>
        <v>51</v>
      </c>
      <c r="D23" s="3"/>
      <c r="E23" s="3">
        <f t="shared" si="3"/>
        <v>49.944599999999994</v>
      </c>
      <c r="F23" s="62"/>
      <c r="G23" s="1"/>
      <c r="H23" s="2">
        <f t="shared" si="4"/>
        <v>0</v>
      </c>
      <c r="I23" s="3">
        <f t="shared" si="5"/>
        <v>8.4600000000000009</v>
      </c>
      <c r="J23" s="5">
        <f>950+225</f>
        <v>1175</v>
      </c>
      <c r="K23" s="62" t="s">
        <v>34</v>
      </c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</row>
    <row r="24" spans="1:25" ht="15" x14ac:dyDescent="0.25">
      <c r="A24" s="11">
        <f t="shared" si="1"/>
        <v>41630</v>
      </c>
      <c r="B24" s="1"/>
      <c r="C24" s="2">
        <f t="shared" si="2"/>
        <v>51</v>
      </c>
      <c r="D24" s="3"/>
      <c r="E24" s="3">
        <f t="shared" si="3"/>
        <v>49.944599999999994</v>
      </c>
      <c r="F24" s="86"/>
      <c r="G24" s="1"/>
      <c r="H24" s="2">
        <f t="shared" si="4"/>
        <v>0</v>
      </c>
      <c r="I24" s="3">
        <f t="shared" si="5"/>
        <v>5.94</v>
      </c>
      <c r="J24" s="5">
        <v>825</v>
      </c>
      <c r="K24" s="62" t="s">
        <v>34</v>
      </c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" ht="15" x14ac:dyDescent="0.25">
      <c r="A25" s="11">
        <f t="shared" si="1"/>
        <v>41631</v>
      </c>
      <c r="B25" s="1"/>
      <c r="C25" s="2">
        <f t="shared" si="2"/>
        <v>51</v>
      </c>
      <c r="D25" s="3"/>
      <c r="E25" s="3">
        <f t="shared" si="3"/>
        <v>49.944599999999994</v>
      </c>
      <c r="F25" s="62"/>
      <c r="G25" s="1"/>
      <c r="H25" s="2">
        <f t="shared" si="4"/>
        <v>0</v>
      </c>
      <c r="I25" s="3">
        <f t="shared" si="5"/>
        <v>6.9192</v>
      </c>
      <c r="J25" s="5">
        <f>286+675</f>
        <v>961</v>
      </c>
      <c r="K25" s="62" t="s">
        <v>34</v>
      </c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" ht="15" x14ac:dyDescent="0.25">
      <c r="A26" s="11">
        <f t="shared" si="1"/>
        <v>41632</v>
      </c>
      <c r="B26" s="1">
        <v>12</v>
      </c>
      <c r="C26" s="2">
        <f t="shared" si="2"/>
        <v>63</v>
      </c>
      <c r="D26" s="97">
        <f>1090*10.8/1000</f>
        <v>11.772</v>
      </c>
      <c r="E26" s="3">
        <f t="shared" si="3"/>
        <v>61.716599999999993</v>
      </c>
      <c r="F26" s="62" t="s">
        <v>35</v>
      </c>
      <c r="G26" s="1"/>
      <c r="H26" s="2">
        <f t="shared" si="4"/>
        <v>0</v>
      </c>
      <c r="I26" s="3">
        <f t="shared" si="5"/>
        <v>7.2936000000000005</v>
      </c>
      <c r="J26" s="5">
        <f>488+525</f>
        <v>1013</v>
      </c>
      <c r="K26" s="62" t="s">
        <v>34</v>
      </c>
      <c r="L26" s="33"/>
      <c r="M26" s="77">
        <f>1125+945+1250</f>
        <v>3320</v>
      </c>
      <c r="N26" s="114">
        <f t="shared" si="0"/>
        <v>23.904</v>
      </c>
      <c r="O26" s="81" t="s">
        <v>34</v>
      </c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" ht="15" x14ac:dyDescent="0.25">
      <c r="A27" s="11">
        <f t="shared" si="1"/>
        <v>41633</v>
      </c>
      <c r="B27" s="1">
        <v>16</v>
      </c>
      <c r="C27" s="2">
        <f t="shared" si="2"/>
        <v>79</v>
      </c>
      <c r="D27" s="97">
        <f>1480*10.8/1000</f>
        <v>15.984000000000002</v>
      </c>
      <c r="E27" s="3">
        <f t="shared" si="3"/>
        <v>77.700599999999994</v>
      </c>
      <c r="F27" s="62"/>
      <c r="G27" s="1"/>
      <c r="H27" s="2">
        <f t="shared" si="4"/>
        <v>0</v>
      </c>
      <c r="I27" s="3">
        <f t="shared" si="5"/>
        <v>3.9384000000000001</v>
      </c>
      <c r="J27" s="5">
        <f>547</f>
        <v>547</v>
      </c>
      <c r="K27" s="62" t="s">
        <v>34</v>
      </c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1.728</v>
      </c>
      <c r="T27" s="5">
        <v>180</v>
      </c>
      <c r="U27" s="62"/>
      <c r="W27" s="13"/>
      <c r="X27" s="63">
        <f t="shared" si="8"/>
        <v>0</v>
      </c>
      <c r="Y27" s="29"/>
    </row>
    <row r="28" spans="1:25" ht="15" x14ac:dyDescent="0.25">
      <c r="A28" s="11">
        <f t="shared" si="1"/>
        <v>41634</v>
      </c>
      <c r="B28" s="1">
        <v>16</v>
      </c>
      <c r="C28" s="2">
        <f t="shared" si="2"/>
        <v>95</v>
      </c>
      <c r="D28" s="97">
        <f>1475*10.8/1000</f>
        <v>15.930000000000001</v>
      </c>
      <c r="E28" s="3">
        <f t="shared" si="3"/>
        <v>93.630600000000001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7.0271999999999997</v>
      </c>
      <c r="T28" s="5">
        <f>252+480</f>
        <v>732</v>
      </c>
      <c r="U28" s="62"/>
      <c r="W28" s="13"/>
      <c r="X28" s="63">
        <f t="shared" si="8"/>
        <v>0</v>
      </c>
      <c r="Y28" s="29"/>
    </row>
    <row r="29" spans="1:25" ht="15" x14ac:dyDescent="0.25">
      <c r="A29" s="11">
        <f t="shared" si="1"/>
        <v>41635</v>
      </c>
      <c r="B29" s="1">
        <v>16</v>
      </c>
      <c r="C29" s="2">
        <f t="shared" si="2"/>
        <v>111</v>
      </c>
      <c r="D29" s="97">
        <f>1915*10.8/1000</f>
        <v>20.681999999999999</v>
      </c>
      <c r="E29" s="3">
        <f t="shared" si="3"/>
        <v>114.3126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>
        <f>1336+1163+1074</f>
        <v>3573</v>
      </c>
      <c r="N29" s="114">
        <f t="shared" si="0"/>
        <v>25.725600000000004</v>
      </c>
      <c r="O29" s="81" t="s">
        <v>34</v>
      </c>
      <c r="Q29" s="1"/>
      <c r="R29" s="2">
        <f t="shared" si="6"/>
        <v>0</v>
      </c>
      <c r="S29" s="97">
        <f t="shared" si="7"/>
        <v>5.5007999999999999</v>
      </c>
      <c r="T29" s="5">
        <f>273+300</f>
        <v>573</v>
      </c>
      <c r="U29" s="62"/>
      <c r="W29" s="13"/>
      <c r="X29" s="63">
        <f t="shared" si="8"/>
        <v>0</v>
      </c>
      <c r="Y29" s="29"/>
    </row>
    <row r="30" spans="1:25" ht="15" x14ac:dyDescent="0.25">
      <c r="A30" s="11">
        <f t="shared" si="1"/>
        <v>41636</v>
      </c>
      <c r="B30" s="1">
        <v>16</v>
      </c>
      <c r="C30" s="2">
        <f t="shared" si="2"/>
        <v>127</v>
      </c>
      <c r="D30" s="97">
        <f>477*10.8/1000</f>
        <v>5.1516000000000002</v>
      </c>
      <c r="E30" s="3">
        <f t="shared" si="3"/>
        <v>119.46420000000001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9.6191999999999993</v>
      </c>
      <c r="T30" s="5">
        <f>402+600</f>
        <v>1002</v>
      </c>
      <c r="U30" s="62"/>
      <c r="W30" s="13"/>
      <c r="X30" s="63">
        <f t="shared" si="8"/>
        <v>0</v>
      </c>
      <c r="Y30" s="14"/>
    </row>
    <row r="31" spans="1:25" ht="15" x14ac:dyDescent="0.25">
      <c r="A31" s="11">
        <f t="shared" si="1"/>
        <v>41637</v>
      </c>
      <c r="B31" s="1">
        <v>16</v>
      </c>
      <c r="C31" s="2">
        <f t="shared" si="2"/>
        <v>143</v>
      </c>
      <c r="D31" s="7"/>
      <c r="E31" s="3">
        <f t="shared" si="3"/>
        <v>119.46420000000001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9.2159999999999993</v>
      </c>
      <c r="T31" s="5">
        <f>360+600</f>
        <v>960</v>
      </c>
      <c r="U31" s="62"/>
      <c r="W31" s="13"/>
      <c r="X31" s="63">
        <f t="shared" si="8"/>
        <v>0</v>
      </c>
      <c r="Y31" s="29"/>
    </row>
    <row r="32" spans="1:25" ht="15" x14ac:dyDescent="0.25">
      <c r="A32" s="11">
        <f t="shared" si="1"/>
        <v>41638</v>
      </c>
      <c r="B32" s="1">
        <v>16</v>
      </c>
      <c r="C32" s="2">
        <f t="shared" si="2"/>
        <v>159</v>
      </c>
      <c r="D32" s="97">
        <f>417*10.8/1000</f>
        <v>4.5036000000000005</v>
      </c>
      <c r="E32" s="3">
        <f t="shared" si="3"/>
        <v>123.96780000000001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11.3088</v>
      </c>
      <c r="T32" s="5">
        <f>198+860+120</f>
        <v>1178</v>
      </c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41639</v>
      </c>
      <c r="B33" s="1">
        <v>16</v>
      </c>
      <c r="C33" s="2">
        <f t="shared" si="2"/>
        <v>175</v>
      </c>
      <c r="D33" s="97">
        <f>1945*10.8/1000</f>
        <v>21.006</v>
      </c>
      <c r="E33" s="3">
        <f t="shared" si="3"/>
        <v>144.97380000000001</v>
      </c>
      <c r="F33" s="69"/>
      <c r="G33" s="55"/>
      <c r="H33" s="2"/>
      <c r="I33" s="53"/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8.9280000000000008</v>
      </c>
      <c r="T33" s="56">
        <v>930</v>
      </c>
      <c r="U33" s="69"/>
      <c r="W33" s="13">
        <f>472+753+702+960+798+860</f>
        <v>4545</v>
      </c>
      <c r="X33" s="63">
        <f t="shared" si="8"/>
        <v>43.631999999999998</v>
      </c>
      <c r="Y33" s="29"/>
    </row>
    <row r="34" spans="1:25" ht="21" customHeight="1" thickBot="1" x14ac:dyDescent="0.3">
      <c r="A34" s="17" t="s">
        <v>8</v>
      </c>
      <c r="B34" s="40">
        <f>SUM(B3:B33)</f>
        <v>175</v>
      </c>
      <c r="C34" s="40">
        <f>+B34</f>
        <v>175</v>
      </c>
      <c r="D34" s="88">
        <f>SUM(D3:D33)</f>
        <v>144.97380000000001</v>
      </c>
      <c r="E34" s="88">
        <f>+D34</f>
        <v>144.97380000000001</v>
      </c>
      <c r="F34" s="25"/>
      <c r="G34" s="26">
        <f>SUM(G3:G32)</f>
        <v>0</v>
      </c>
      <c r="H34" s="40">
        <f>+G34</f>
        <v>0</v>
      </c>
      <c r="I34" s="23">
        <f>SUM(I3:I33)</f>
        <v>49.615200000000002</v>
      </c>
      <c r="J34" s="27">
        <f>SUM(J3:J33)</f>
        <v>6891</v>
      </c>
      <c r="K34" s="28"/>
      <c r="L34" s="35"/>
      <c r="M34" s="83">
        <f>SUM(M3:M33)</f>
        <v>6893</v>
      </c>
      <c r="N34" s="84">
        <f>SUM(N3:N33)</f>
        <v>49.629600000000003</v>
      </c>
      <c r="O34" s="85"/>
      <c r="Q34" s="95">
        <f>SUM(Q3:Q33)</f>
        <v>0</v>
      </c>
      <c r="R34" s="94">
        <f>+Q34</f>
        <v>0</v>
      </c>
      <c r="S34" s="101">
        <f>SUM(S3:S33)</f>
        <v>53.328000000000003</v>
      </c>
      <c r="T34" s="27">
        <f>SUM(T3:T33)</f>
        <v>5555</v>
      </c>
      <c r="U34" s="28"/>
      <c r="W34" s="29">
        <f>SUM(W3:W33)</f>
        <v>4545</v>
      </c>
      <c r="X34" s="63">
        <f>SUM(X3:X33)</f>
        <v>43.631999999999998</v>
      </c>
      <c r="Y34" s="16"/>
    </row>
    <row r="35" spans="1:25" x14ac:dyDescent="0.2">
      <c r="D35" s="64"/>
      <c r="S35" s="98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16" sqref="E16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11.42578125" bestFit="1" customWidth="1"/>
    <col min="21" max="21" width="11.42578125" customWidth="1"/>
    <col min="22" max="22" width="2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41640</v>
      </c>
      <c r="B3" s="1">
        <v>17.920000000000002</v>
      </c>
      <c r="C3" s="87">
        <f>B3</f>
        <v>17.920000000000002</v>
      </c>
      <c r="D3" s="97">
        <f>1920*10.8/1000</f>
        <v>20.736000000000001</v>
      </c>
      <c r="E3" s="3">
        <f>D3</f>
        <v>20.736000000000001</v>
      </c>
      <c r="F3" s="96" t="s">
        <v>13</v>
      </c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10.944000000000001</v>
      </c>
      <c r="T3" s="5">
        <f>120+1020</f>
        <v>1140</v>
      </c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41641</v>
      </c>
      <c r="B4" s="1">
        <v>22.400000000000002</v>
      </c>
      <c r="C4" s="2">
        <f t="shared" ref="C4:C33" si="2">B4+C3</f>
        <v>40.320000000000007</v>
      </c>
      <c r="D4" s="97">
        <f>2340*10.8/1000</f>
        <v>25.271999999999998</v>
      </c>
      <c r="E4" s="3">
        <f t="shared" ref="E4:E33" si="3">D4+E3</f>
        <v>46.007999999999996</v>
      </c>
      <c r="F4" s="62"/>
      <c r="G4" s="1"/>
      <c r="H4" s="2">
        <f t="shared" ref="H4:H32" si="4">H3+G4</f>
        <v>0</v>
      </c>
      <c r="I4" s="3">
        <f t="shared" ref="I4:I32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11.884799999999998</v>
      </c>
      <c r="T4" s="5">
        <f>82+690+180+286</f>
        <v>1238</v>
      </c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41642</v>
      </c>
      <c r="B5" s="1">
        <v>22.400000000000002</v>
      </c>
      <c r="C5" s="2">
        <f t="shared" si="2"/>
        <v>62.720000000000013</v>
      </c>
      <c r="D5" s="97">
        <f>2416*10.8/1000</f>
        <v>26.092800000000004</v>
      </c>
      <c r="E5" s="3">
        <f t="shared" si="3"/>
        <v>72.100799999999992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18.239999999999998</v>
      </c>
      <c r="T5" s="5">
        <f>700+660+540</f>
        <v>1900</v>
      </c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41643</v>
      </c>
      <c r="B6" s="1">
        <v>22.400000000000002</v>
      </c>
      <c r="C6" s="2">
        <f t="shared" si="2"/>
        <v>85.120000000000019</v>
      </c>
      <c r="D6" s="97">
        <f>1640*10.8/1000</f>
        <v>17.712</v>
      </c>
      <c r="E6" s="3">
        <f t="shared" si="3"/>
        <v>89.812799999999996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30.019199999999998</v>
      </c>
      <c r="T6" s="5">
        <f>310+410+400+109+516+1102+60+220</f>
        <v>3127</v>
      </c>
      <c r="U6" s="62"/>
      <c r="W6" s="44">
        <f>1050+1102+690+180</f>
        <v>3022</v>
      </c>
      <c r="X6" s="63">
        <f t="shared" si="8"/>
        <v>29.011200000000002</v>
      </c>
      <c r="Y6" s="38"/>
    </row>
    <row r="7" spans="1:25" ht="15" x14ac:dyDescent="0.25">
      <c r="A7" s="11">
        <f t="shared" si="1"/>
        <v>41644</v>
      </c>
      <c r="B7" s="1">
        <v>22.400000000000002</v>
      </c>
      <c r="C7" s="2">
        <f t="shared" si="2"/>
        <v>107.52000000000002</v>
      </c>
      <c r="D7" s="97">
        <f>2380*10.8/1000</f>
        <v>25.704000000000001</v>
      </c>
      <c r="E7" s="3">
        <f t="shared" si="3"/>
        <v>115.51679999999999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18.96</v>
      </c>
      <c r="T7" s="5">
        <f>660+655+660</f>
        <v>1975</v>
      </c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41645</v>
      </c>
      <c r="B8" s="1">
        <v>22.400000000000002</v>
      </c>
      <c r="C8" s="2">
        <f t="shared" si="2"/>
        <v>129.92000000000002</v>
      </c>
      <c r="D8" s="97">
        <f>(2027+70)*10.8/1000</f>
        <v>22.647600000000001</v>
      </c>
      <c r="E8" s="3">
        <f t="shared" si="3"/>
        <v>138.1644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14.736000000000001</v>
      </c>
      <c r="T8" s="65">
        <f>635+720+180</f>
        <v>1535</v>
      </c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41646</v>
      </c>
      <c r="B9" s="1">
        <v>22.079999999999995</v>
      </c>
      <c r="C9" s="2">
        <f t="shared" si="2"/>
        <v>152</v>
      </c>
      <c r="D9" s="97">
        <f>2418*10.8/1000</f>
        <v>26.1144</v>
      </c>
      <c r="E9" s="3">
        <f t="shared" si="3"/>
        <v>164.27879999999999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20.275200000000002</v>
      </c>
      <c r="T9" s="5">
        <f>86+1246+600+180</f>
        <v>2112</v>
      </c>
      <c r="U9" s="62"/>
      <c r="W9" s="13">
        <f>286+1010+1175</f>
        <v>2471</v>
      </c>
      <c r="X9" s="63">
        <f t="shared" si="8"/>
        <v>23.721599999999999</v>
      </c>
      <c r="Y9" s="29"/>
    </row>
    <row r="10" spans="1:25" ht="15" x14ac:dyDescent="0.25">
      <c r="A10" s="11">
        <f t="shared" si="1"/>
        <v>41647</v>
      </c>
      <c r="B10" s="1"/>
      <c r="C10" s="2">
        <f t="shared" si="2"/>
        <v>152</v>
      </c>
      <c r="D10" s="97">
        <f>2245*10.8/1000</f>
        <v>24.245999999999999</v>
      </c>
      <c r="E10" s="3">
        <f t="shared" si="3"/>
        <v>188.5248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6"/>
        <v>0</v>
      </c>
      <c r="S10" s="97">
        <f t="shared" si="7"/>
        <v>17.664000000000001</v>
      </c>
      <c r="T10" s="5">
        <f>118+762+540+420</f>
        <v>1840</v>
      </c>
      <c r="U10" s="62"/>
      <c r="W10" s="13">
        <f>1056+1102+1355+1275</f>
        <v>4788</v>
      </c>
      <c r="X10" s="63">
        <f t="shared" si="8"/>
        <v>45.964799999999997</v>
      </c>
      <c r="Y10" s="38"/>
    </row>
    <row r="11" spans="1:25" ht="15" x14ac:dyDescent="0.25">
      <c r="A11" s="11">
        <f t="shared" si="1"/>
        <v>41648</v>
      </c>
      <c r="B11" s="1"/>
      <c r="C11" s="2">
        <f t="shared" si="2"/>
        <v>152</v>
      </c>
      <c r="D11" s="97">
        <f>1930*10.8/1000</f>
        <v>20.844000000000001</v>
      </c>
      <c r="E11" s="3">
        <f t="shared" si="3"/>
        <v>209.36879999999999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17.8752</v>
      </c>
      <c r="T11" s="5">
        <f>720+782+360</f>
        <v>1862</v>
      </c>
      <c r="U11" s="62"/>
      <c r="W11" s="13">
        <f>1466+1246+898+942</f>
        <v>4552</v>
      </c>
      <c r="X11" s="63">
        <f t="shared" si="8"/>
        <v>43.699199999999998</v>
      </c>
      <c r="Y11" s="38"/>
    </row>
    <row r="12" spans="1:25" ht="15" x14ac:dyDescent="0.2">
      <c r="A12" s="11">
        <f t="shared" si="1"/>
        <v>41649</v>
      </c>
      <c r="B12" s="1">
        <v>17.920000000000002</v>
      </c>
      <c r="C12" s="2">
        <f t="shared" si="2"/>
        <v>169.92000000000002</v>
      </c>
      <c r="D12" s="97">
        <f>2250*10.8/1000</f>
        <v>24.3</v>
      </c>
      <c r="E12" s="3">
        <f t="shared" si="3"/>
        <v>233.6688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17.894399999999997</v>
      </c>
      <c r="T12" s="5">
        <f>210+853+801</f>
        <v>1864</v>
      </c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41650</v>
      </c>
      <c r="B13" s="1">
        <v>22.400000000000002</v>
      </c>
      <c r="C13" s="2">
        <f t="shared" si="2"/>
        <v>192.32000000000002</v>
      </c>
      <c r="D13" s="97">
        <f>2125*10.8/1000</f>
        <v>22.95</v>
      </c>
      <c r="E13" s="3">
        <f t="shared" si="3"/>
        <v>256.61880000000002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15.552</v>
      </c>
      <c r="T13" s="5">
        <f>1080+540</f>
        <v>1620</v>
      </c>
      <c r="U13" s="62"/>
      <c r="W13" s="13">
        <f>1470+1202</f>
        <v>2672</v>
      </c>
      <c r="X13" s="63">
        <f t="shared" si="8"/>
        <v>25.651199999999999</v>
      </c>
      <c r="Y13" s="29"/>
    </row>
    <row r="14" spans="1:25" ht="15" x14ac:dyDescent="0.25">
      <c r="A14" s="11">
        <f t="shared" si="1"/>
        <v>41651</v>
      </c>
      <c r="B14" s="1">
        <v>22.400000000000002</v>
      </c>
      <c r="C14" s="2">
        <f t="shared" si="2"/>
        <v>214.72000000000003</v>
      </c>
      <c r="D14" s="97">
        <f>2125*10.8/1000</f>
        <v>22.95</v>
      </c>
      <c r="E14" s="3">
        <f t="shared" si="3"/>
        <v>279.56880000000001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14.64</v>
      </c>
      <c r="T14" s="5">
        <f>265+600+660</f>
        <v>1525</v>
      </c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41652</v>
      </c>
      <c r="B15" s="1">
        <v>22.400000000000002</v>
      </c>
      <c r="C15" s="2">
        <f t="shared" si="2"/>
        <v>237.12000000000003</v>
      </c>
      <c r="D15" s="97">
        <f>1730*10.8/1000</f>
        <v>18.684000000000001</v>
      </c>
      <c r="E15" s="3">
        <f t="shared" si="3"/>
        <v>298.25280000000004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16.463999999999999</v>
      </c>
      <c r="T15" s="5">
        <f>310+625+300+480</f>
        <v>1715</v>
      </c>
      <c r="U15" s="62"/>
      <c r="W15" s="13">
        <f>1213+801</f>
        <v>2014</v>
      </c>
      <c r="X15" s="63">
        <f t="shared" si="8"/>
        <v>19.334399999999999</v>
      </c>
      <c r="Y15" s="38"/>
    </row>
    <row r="16" spans="1:25" ht="15" x14ac:dyDescent="0.25">
      <c r="A16" s="11">
        <f t="shared" si="1"/>
        <v>41653</v>
      </c>
      <c r="B16" s="1">
        <v>22.400000000000002</v>
      </c>
      <c r="C16" s="2">
        <f t="shared" si="2"/>
        <v>259.52000000000004</v>
      </c>
      <c r="D16" s="97">
        <f>2450*10.8/1000</f>
        <v>26.46</v>
      </c>
      <c r="E16" s="3">
        <f t="shared" si="3"/>
        <v>324.71280000000002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16.2624</v>
      </c>
      <c r="T16" s="5">
        <f>720+554+420</f>
        <v>1694</v>
      </c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41654</v>
      </c>
      <c r="B17" s="1">
        <v>22.400000000000002</v>
      </c>
      <c r="C17" s="2">
        <f t="shared" si="2"/>
        <v>281.92</v>
      </c>
      <c r="D17" s="97">
        <f>2325*10.8/1000</f>
        <v>25.11</v>
      </c>
      <c r="E17" s="6">
        <f t="shared" si="3"/>
        <v>349.82280000000003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18.182399999999998</v>
      </c>
      <c r="T17" s="5">
        <f>51+713+650+480</f>
        <v>1894</v>
      </c>
      <c r="U17" s="62"/>
      <c r="W17" s="13">
        <f>1345+1450+1285+1237</f>
        <v>5317</v>
      </c>
      <c r="X17" s="63">
        <f t="shared" si="8"/>
        <v>51.043199999999999</v>
      </c>
      <c r="Y17" s="29"/>
    </row>
    <row r="18" spans="1:255" ht="15" x14ac:dyDescent="0.25">
      <c r="A18" s="11">
        <f t="shared" si="1"/>
        <v>41655</v>
      </c>
      <c r="B18" s="1">
        <v>22.400000000000002</v>
      </c>
      <c r="C18" s="2">
        <f t="shared" si="2"/>
        <v>304.32</v>
      </c>
      <c r="D18" s="97">
        <f>910*10.8/1000</f>
        <v>9.8279999999999994</v>
      </c>
      <c r="E18" s="3">
        <f t="shared" si="3"/>
        <v>359.6508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19.103999999999999</v>
      </c>
      <c r="T18" s="5">
        <f>72+654+544+720</f>
        <v>1990</v>
      </c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41656</v>
      </c>
      <c r="B19" s="1">
        <v>22.400000000000002</v>
      </c>
      <c r="C19" s="2">
        <f>B19+C18</f>
        <v>326.71999999999997</v>
      </c>
      <c r="D19" s="97">
        <f>(1748+340)*10.8/1000</f>
        <v>22.5504</v>
      </c>
      <c r="E19" s="3">
        <f t="shared" si="3"/>
        <v>382.20120000000003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6"/>
        <v>0</v>
      </c>
      <c r="S19" s="97">
        <f t="shared" si="7"/>
        <v>19.5456</v>
      </c>
      <c r="T19" s="5">
        <f>411+425+960+240</f>
        <v>2036</v>
      </c>
      <c r="U19" s="62"/>
      <c r="W19" s="13">
        <f>1034+1133+1032+1134</f>
        <v>4333</v>
      </c>
      <c r="X19" s="63">
        <f t="shared" si="8"/>
        <v>41.596799999999995</v>
      </c>
      <c r="Y19" s="29"/>
    </row>
    <row r="20" spans="1:255" ht="15" x14ac:dyDescent="0.25">
      <c r="A20" s="11">
        <f t="shared" si="1"/>
        <v>41657</v>
      </c>
      <c r="B20" s="1">
        <v>22.400000000000002</v>
      </c>
      <c r="C20" s="2">
        <f t="shared" si="2"/>
        <v>349.11999999999995</v>
      </c>
      <c r="D20" s="97"/>
      <c r="E20" s="3">
        <f t="shared" si="3"/>
        <v>382.20120000000003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13.92</v>
      </c>
      <c r="T20" s="5">
        <f>100+202+848+180+120</f>
        <v>1450</v>
      </c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41658</v>
      </c>
      <c r="B21" s="1">
        <v>22.400000000000002</v>
      </c>
      <c r="C21" s="2">
        <f t="shared" si="2"/>
        <v>371.51999999999992</v>
      </c>
      <c r="D21" s="97"/>
      <c r="E21" s="3">
        <f t="shared" si="3"/>
        <v>382.20120000000003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14.044799999999999</v>
      </c>
      <c r="T21" s="5">
        <f>403+1000+60</f>
        <v>1463</v>
      </c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41659</v>
      </c>
      <c r="B22" s="1">
        <v>22.400000000000002</v>
      </c>
      <c r="C22" s="2">
        <f t="shared" si="2"/>
        <v>393.9199999999999</v>
      </c>
      <c r="D22" s="3"/>
      <c r="E22" s="3">
        <f t="shared" si="3"/>
        <v>382.20120000000003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18.72</v>
      </c>
      <c r="T22" s="5">
        <f>1230+660+60</f>
        <v>1950</v>
      </c>
      <c r="U22" s="62"/>
      <c r="W22" s="13">
        <f>1140+1245+1162+1225</f>
        <v>4772</v>
      </c>
      <c r="X22" s="63">
        <f t="shared" si="8"/>
        <v>45.811199999999999</v>
      </c>
      <c r="Y22" s="14"/>
    </row>
    <row r="23" spans="1:255" ht="15" x14ac:dyDescent="0.25">
      <c r="A23" s="11">
        <f t="shared" si="1"/>
        <v>41660</v>
      </c>
      <c r="B23" s="1">
        <v>22.400000000000002</v>
      </c>
      <c r="C23" s="2">
        <f t="shared" si="2"/>
        <v>416.31999999999988</v>
      </c>
      <c r="D23" s="3"/>
      <c r="E23" s="3">
        <f t="shared" si="3"/>
        <v>382.20120000000003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20.495999999999999</v>
      </c>
      <c r="T23" s="5">
        <f>720+1235+180</f>
        <v>2135</v>
      </c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41661</v>
      </c>
      <c r="B24" s="1">
        <v>22.400000000000002</v>
      </c>
      <c r="C24" s="2">
        <f t="shared" si="2"/>
        <v>438.71999999999986</v>
      </c>
      <c r="D24" s="97">
        <f>970*8.1/1000</f>
        <v>7.8570000000000002</v>
      </c>
      <c r="E24" s="3">
        <f t="shared" si="3"/>
        <v>390.05820000000006</v>
      </c>
      <c r="F24" s="62" t="s">
        <v>34</v>
      </c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22.022399999999998</v>
      </c>
      <c r="T24" s="5">
        <f>80+1134+600+480</f>
        <v>2294</v>
      </c>
      <c r="U24" s="62"/>
      <c r="W24" s="13">
        <f>845+1120+1290+1460</f>
        <v>4715</v>
      </c>
      <c r="X24" s="63">
        <f t="shared" si="8"/>
        <v>45.264000000000003</v>
      </c>
      <c r="Y24" s="29"/>
    </row>
    <row r="25" spans="1:255" ht="15" x14ac:dyDescent="0.25">
      <c r="A25" s="11">
        <f t="shared" si="1"/>
        <v>41662</v>
      </c>
      <c r="B25" s="1">
        <v>16</v>
      </c>
      <c r="C25" s="2">
        <f t="shared" si="2"/>
        <v>454.71999999999986</v>
      </c>
      <c r="D25" s="97">
        <f>90*8.1/1000</f>
        <v>0.72899999999999998</v>
      </c>
      <c r="E25" s="3">
        <f t="shared" si="3"/>
        <v>390.78720000000004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19.920000000000002</v>
      </c>
      <c r="T25" s="5">
        <f>55+395+805+820</f>
        <v>2075</v>
      </c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41663</v>
      </c>
      <c r="B26" s="1">
        <v>22.4</v>
      </c>
      <c r="C26" s="2">
        <f t="shared" si="2"/>
        <v>477.11999999999983</v>
      </c>
      <c r="D26" s="97">
        <f>1975*8.1/1000</f>
        <v>15.9975</v>
      </c>
      <c r="E26" s="3">
        <f t="shared" si="3"/>
        <v>406.78470000000004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4.8671999999999995</v>
      </c>
      <c r="T26" s="5">
        <f>240+267</f>
        <v>507</v>
      </c>
      <c r="U26" s="62"/>
      <c r="W26" s="13">
        <f>1295+1314+655+875</f>
        <v>4139</v>
      </c>
      <c r="X26" s="63">
        <f t="shared" si="8"/>
        <v>39.734400000000001</v>
      </c>
      <c r="Y26" s="29"/>
    </row>
    <row r="27" spans="1:255" ht="15" x14ac:dyDescent="0.25">
      <c r="A27" s="11">
        <f t="shared" si="1"/>
        <v>41664</v>
      </c>
      <c r="B27" s="1">
        <v>18</v>
      </c>
      <c r="C27" s="2">
        <f t="shared" si="2"/>
        <v>495.11999999999983</v>
      </c>
      <c r="D27" s="97">
        <f>2502*8.1/1000</f>
        <v>20.266200000000001</v>
      </c>
      <c r="E27" s="3">
        <f t="shared" si="3"/>
        <v>427.05090000000007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41665</v>
      </c>
      <c r="B28" s="1"/>
      <c r="C28" s="2">
        <f t="shared" si="2"/>
        <v>495.11999999999983</v>
      </c>
      <c r="D28" s="97"/>
      <c r="E28" s="3">
        <f t="shared" si="3"/>
        <v>427.05090000000007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41666</v>
      </c>
      <c r="B29" s="1"/>
      <c r="C29" s="2">
        <f t="shared" si="2"/>
        <v>495.11999999999983</v>
      </c>
      <c r="D29" s="97">
        <f>(385*8.1+920*10.8)/1000</f>
        <v>13.054500000000001</v>
      </c>
      <c r="E29" s="3">
        <f t="shared" si="3"/>
        <v>440.10540000000009</v>
      </c>
      <c r="F29" s="62" t="s">
        <v>40</v>
      </c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>
        <f>1140+1157</f>
        <v>2297</v>
      </c>
      <c r="X29" s="63">
        <f t="shared" si="8"/>
        <v>22.051200000000001</v>
      </c>
      <c r="Y29" s="29"/>
    </row>
    <row r="30" spans="1:255" ht="15" x14ac:dyDescent="0.25">
      <c r="A30" s="11">
        <f t="shared" si="1"/>
        <v>41667</v>
      </c>
      <c r="B30" s="1"/>
      <c r="C30" s="2">
        <f t="shared" si="2"/>
        <v>495.11999999999983</v>
      </c>
      <c r="D30" s="97">
        <f>1945*10.8/1000</f>
        <v>21.006</v>
      </c>
      <c r="E30" s="3">
        <f t="shared" si="3"/>
        <v>461.11140000000012</v>
      </c>
      <c r="F30" s="62" t="s">
        <v>35</v>
      </c>
      <c r="G30" s="1"/>
      <c r="H30" s="2">
        <f t="shared" si="4"/>
        <v>0</v>
      </c>
      <c r="I30" s="3">
        <f t="shared" si="5"/>
        <v>2.3544</v>
      </c>
      <c r="J30" s="5">
        <v>327</v>
      </c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9.9743999999999993</v>
      </c>
      <c r="T30" s="5">
        <f>79+960</f>
        <v>1039</v>
      </c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41668</v>
      </c>
      <c r="B31" s="1"/>
      <c r="C31" s="2">
        <f t="shared" si="2"/>
        <v>495.11999999999983</v>
      </c>
      <c r="D31" s="116">
        <f>1940*10.8/1000</f>
        <v>20.952000000000002</v>
      </c>
      <c r="E31" s="3">
        <f t="shared" si="3"/>
        <v>482.06340000000012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20.179200000000002</v>
      </c>
      <c r="T31" s="5">
        <f>72+1010+1020</f>
        <v>2102</v>
      </c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41669</v>
      </c>
      <c r="B32" s="1"/>
      <c r="C32" s="2">
        <f t="shared" si="2"/>
        <v>495.11999999999983</v>
      </c>
      <c r="D32" s="97">
        <f>510*10.8/1000</f>
        <v>5.508</v>
      </c>
      <c r="E32" s="3">
        <f t="shared" si="3"/>
        <v>487.5714000000001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22.377599999999997</v>
      </c>
      <c r="T32" s="5">
        <f>153+1055+1123</f>
        <v>2331</v>
      </c>
      <c r="U32" s="62"/>
      <c r="W32" s="13">
        <f>1032+1010+1173</f>
        <v>3215</v>
      </c>
      <c r="X32" s="63">
        <f t="shared" si="8"/>
        <v>30.864000000000001</v>
      </c>
      <c r="Y32" s="29"/>
    </row>
    <row r="33" spans="1:25" ht="15.75" thickBot="1" x14ac:dyDescent="0.3">
      <c r="A33" s="11">
        <f t="shared" si="1"/>
        <v>41670</v>
      </c>
      <c r="B33" s="1"/>
      <c r="C33" s="2">
        <f t="shared" si="2"/>
        <v>495.11999999999983</v>
      </c>
      <c r="D33" s="97">
        <f>1348*10.8/1000</f>
        <v>14.558400000000001</v>
      </c>
      <c r="E33" s="3">
        <f t="shared" si="3"/>
        <v>502.1298000000001</v>
      </c>
      <c r="F33" s="69"/>
      <c r="G33" s="55"/>
      <c r="H33" s="2"/>
      <c r="I33" s="53"/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31.5168</v>
      </c>
      <c r="T33" s="56">
        <f>1055+1123+1105</f>
        <v>3283</v>
      </c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495.11999999999983</v>
      </c>
      <c r="C34" s="40">
        <f>+B34</f>
        <v>495.11999999999983</v>
      </c>
      <c r="D34" s="88">
        <f>SUM(D3:D33)</f>
        <v>502.1298000000001</v>
      </c>
      <c r="E34" s="88">
        <f>+D34</f>
        <v>502.1298000000001</v>
      </c>
      <c r="F34" s="25"/>
      <c r="G34" s="26">
        <f>SUM(G3:G32)</f>
        <v>0</v>
      </c>
      <c r="H34" s="40">
        <f>+G34</f>
        <v>0</v>
      </c>
      <c r="I34" s="23">
        <f>SUM(I3:I33)</f>
        <v>2.3544</v>
      </c>
      <c r="J34" s="27">
        <f>SUM(J3:J33)</f>
        <v>327</v>
      </c>
      <c r="K34" s="28"/>
      <c r="L34" s="35"/>
      <c r="M34" s="83">
        <f>SUM(M3:M33)</f>
        <v>0</v>
      </c>
      <c r="N34" s="84">
        <f>SUM(N3:N33)</f>
        <v>0</v>
      </c>
      <c r="O34" s="85"/>
      <c r="Q34" s="95">
        <f>SUM(Q3:Q33)</f>
        <v>0</v>
      </c>
      <c r="R34" s="94">
        <f>+Q34</f>
        <v>0</v>
      </c>
      <c r="S34" s="101">
        <f>SUM(S3:S33)</f>
        <v>496.28159999999997</v>
      </c>
      <c r="T34" s="27">
        <f>SUM(T3:T33)</f>
        <v>51696</v>
      </c>
      <c r="U34" s="28"/>
      <c r="W34" s="29">
        <f>SUM(W3:W33)</f>
        <v>48307</v>
      </c>
      <c r="X34" s="63">
        <f>SUM(X3:X33)</f>
        <v>463.74719999999991</v>
      </c>
      <c r="Y34" s="16"/>
    </row>
    <row r="35" spans="1:25" x14ac:dyDescent="0.2">
      <c r="D35" s="64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topLeftCell="A19" workbookViewId="0">
      <selection activeCell="B5" sqref="B5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11.42578125" bestFit="1" customWidth="1"/>
    <col min="21" max="21" width="11.42578125" customWidth="1"/>
    <col min="22" max="22" width="2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41671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10.185600000000001</v>
      </c>
      <c r="T3" s="5">
        <v>1061</v>
      </c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41672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2" si="4">H3+G4</f>
        <v>0</v>
      </c>
      <c r="I4" s="3">
        <f t="shared" ref="I4:I32" si="5">J4*7.2/1000</f>
        <v>5.4936000000000007</v>
      </c>
      <c r="J4" s="5">
        <v>763</v>
      </c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41673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41674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41675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8.2080000000000002</v>
      </c>
      <c r="J7" s="5">
        <f>1065+75</f>
        <v>1140</v>
      </c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>
        <v>1061</v>
      </c>
      <c r="X7" s="63">
        <f t="shared" si="8"/>
        <v>10.185600000000001</v>
      </c>
      <c r="Y7" s="38"/>
    </row>
    <row r="8" spans="1:25" ht="15" x14ac:dyDescent="0.25">
      <c r="A8" s="11">
        <f t="shared" si="1"/>
        <v>41676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7.56</v>
      </c>
      <c r="J8" s="65">
        <f>1050</f>
        <v>1050</v>
      </c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41677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7.9488000000000003</v>
      </c>
      <c r="J9" s="5">
        <f>129+975</f>
        <v>1104</v>
      </c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41678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7.8120000000000003</v>
      </c>
      <c r="J10" s="5">
        <f>485+600</f>
        <v>1085</v>
      </c>
      <c r="K10" s="62"/>
      <c r="L10" s="33"/>
      <c r="M10" s="77"/>
      <c r="N10" s="29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41679</v>
      </c>
      <c r="B11" s="1">
        <v>9</v>
      </c>
      <c r="C11" s="2">
        <f t="shared" si="2"/>
        <v>9</v>
      </c>
      <c r="D11" s="97">
        <f>1134*8.1/1000</f>
        <v>9.1853999999999996</v>
      </c>
      <c r="E11" s="3">
        <f t="shared" si="3"/>
        <v>9.1853999999999996</v>
      </c>
      <c r="F11" s="4"/>
      <c r="G11" s="1"/>
      <c r="H11" s="2">
        <f t="shared" si="4"/>
        <v>0</v>
      </c>
      <c r="I11" s="3">
        <f t="shared" si="5"/>
        <v>1.08</v>
      </c>
      <c r="J11" s="5">
        <f>150</f>
        <v>150</v>
      </c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41680</v>
      </c>
      <c r="B12" s="1"/>
      <c r="C12" s="2">
        <f t="shared" si="2"/>
        <v>9</v>
      </c>
      <c r="D12" s="97"/>
      <c r="E12" s="3">
        <f t="shared" si="3"/>
        <v>9.1853999999999996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41681</v>
      </c>
      <c r="B13" s="1"/>
      <c r="C13" s="2">
        <f t="shared" si="2"/>
        <v>9</v>
      </c>
      <c r="D13" s="97"/>
      <c r="E13" s="3">
        <f t="shared" si="3"/>
        <v>9.1853999999999996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>
        <f>1090+1065+1254</f>
        <v>3409</v>
      </c>
      <c r="N13" s="29">
        <f t="shared" si="0"/>
        <v>24.544799999999999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41682</v>
      </c>
      <c r="B14" s="1"/>
      <c r="C14" s="2">
        <f t="shared" si="2"/>
        <v>9</v>
      </c>
      <c r="D14" s="97"/>
      <c r="E14" s="3">
        <f t="shared" si="3"/>
        <v>9.1853999999999996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41683</v>
      </c>
      <c r="B15" s="1"/>
      <c r="C15" s="2">
        <f t="shared" si="2"/>
        <v>9</v>
      </c>
      <c r="D15" s="97"/>
      <c r="E15" s="3">
        <f t="shared" si="3"/>
        <v>9.1853999999999996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41684</v>
      </c>
      <c r="B16" s="1"/>
      <c r="C16" s="2">
        <f t="shared" si="2"/>
        <v>9</v>
      </c>
      <c r="D16" s="97"/>
      <c r="E16" s="3">
        <f t="shared" si="3"/>
        <v>9.1853999999999996</v>
      </c>
      <c r="F16" s="96"/>
      <c r="G16" s="1"/>
      <c r="H16" s="2">
        <f t="shared" si="4"/>
        <v>0</v>
      </c>
      <c r="I16" s="3">
        <f t="shared" si="5"/>
        <v>2.16</v>
      </c>
      <c r="J16" s="5">
        <v>300</v>
      </c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41685</v>
      </c>
      <c r="B17" s="1"/>
      <c r="C17" s="2">
        <f t="shared" si="2"/>
        <v>9</v>
      </c>
      <c r="D17" s="97"/>
      <c r="E17" s="6">
        <f t="shared" si="3"/>
        <v>9.1853999999999996</v>
      </c>
      <c r="F17" s="61"/>
      <c r="G17" s="1"/>
      <c r="H17" s="2">
        <f t="shared" si="4"/>
        <v>0</v>
      </c>
      <c r="I17" s="6">
        <f t="shared" si="5"/>
        <v>6.3360000000000003</v>
      </c>
      <c r="J17" s="5">
        <f>300+430+150</f>
        <v>880</v>
      </c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41686</v>
      </c>
      <c r="B18" s="1"/>
      <c r="C18" s="2">
        <f t="shared" si="2"/>
        <v>9</v>
      </c>
      <c r="D18" s="97"/>
      <c r="E18" s="3">
        <f t="shared" si="3"/>
        <v>9.1853999999999996</v>
      </c>
      <c r="F18" s="67"/>
      <c r="G18" s="1"/>
      <c r="H18" s="2">
        <f t="shared" si="4"/>
        <v>0</v>
      </c>
      <c r="I18" s="3">
        <f t="shared" si="5"/>
        <v>5.4</v>
      </c>
      <c r="J18" s="5">
        <v>750</v>
      </c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41687</v>
      </c>
      <c r="B19" s="1"/>
      <c r="C19" s="2">
        <f>B19+C18</f>
        <v>9</v>
      </c>
      <c r="D19" s="97"/>
      <c r="E19" s="3">
        <f t="shared" si="3"/>
        <v>9.1853999999999996</v>
      </c>
      <c r="F19" s="39"/>
      <c r="G19" s="1"/>
      <c r="H19" s="2">
        <f t="shared" si="4"/>
        <v>0</v>
      </c>
      <c r="I19" s="3">
        <f t="shared" si="5"/>
        <v>3.2472000000000003</v>
      </c>
      <c r="J19" s="5">
        <v>451</v>
      </c>
      <c r="K19" s="62"/>
      <c r="L19" s="33"/>
      <c r="M19" s="77"/>
      <c r="N19" s="29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41688</v>
      </c>
      <c r="B20" s="1"/>
      <c r="C20" s="2">
        <f t="shared" si="2"/>
        <v>9</v>
      </c>
      <c r="D20" s="97"/>
      <c r="E20" s="3">
        <f t="shared" si="3"/>
        <v>9.1853999999999996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>
        <f>1460+1350+430</f>
        <v>3240</v>
      </c>
      <c r="N20" s="29">
        <f t="shared" si="0"/>
        <v>23.327999999999999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41689</v>
      </c>
      <c r="B21" s="1"/>
      <c r="C21" s="2">
        <f t="shared" si="2"/>
        <v>9</v>
      </c>
      <c r="D21" s="97"/>
      <c r="E21" s="3">
        <f t="shared" si="3"/>
        <v>9.1853999999999996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41690</v>
      </c>
      <c r="B22" s="1"/>
      <c r="C22" s="2">
        <f t="shared" si="2"/>
        <v>9</v>
      </c>
      <c r="D22" s="3"/>
      <c r="E22" s="3">
        <f t="shared" si="3"/>
        <v>9.1853999999999996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41691</v>
      </c>
      <c r="B23" s="1"/>
      <c r="C23" s="2">
        <f t="shared" si="2"/>
        <v>9</v>
      </c>
      <c r="D23" s="3"/>
      <c r="E23" s="3">
        <f t="shared" si="3"/>
        <v>9.1853999999999996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41692</v>
      </c>
      <c r="B24" s="1"/>
      <c r="C24" s="2">
        <f t="shared" si="2"/>
        <v>9</v>
      </c>
      <c r="D24" s="97"/>
      <c r="E24" s="3">
        <f t="shared" si="3"/>
        <v>9.1853999999999996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>
        <v>1351</v>
      </c>
      <c r="N24" s="90">
        <f t="shared" si="0"/>
        <v>9.7271999999999998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41693</v>
      </c>
      <c r="B25" s="1"/>
      <c r="C25" s="2">
        <f t="shared" si="2"/>
        <v>9</v>
      </c>
      <c r="D25" s="97"/>
      <c r="E25" s="3">
        <f t="shared" si="3"/>
        <v>9.1853999999999996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41694</v>
      </c>
      <c r="B26" s="1"/>
      <c r="C26" s="2">
        <f t="shared" si="2"/>
        <v>9</v>
      </c>
      <c r="D26" s="97"/>
      <c r="E26" s="3">
        <f t="shared" si="3"/>
        <v>9.1853999999999996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41695</v>
      </c>
      <c r="B27" s="1"/>
      <c r="C27" s="2">
        <f t="shared" si="2"/>
        <v>9</v>
      </c>
      <c r="D27" s="97"/>
      <c r="E27" s="3">
        <f t="shared" si="3"/>
        <v>9.1853999999999996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41696</v>
      </c>
      <c r="B28" s="1"/>
      <c r="C28" s="2">
        <f t="shared" si="2"/>
        <v>9</v>
      </c>
      <c r="D28" s="97"/>
      <c r="E28" s="3">
        <f t="shared" si="3"/>
        <v>9.1853999999999996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41697</v>
      </c>
      <c r="B29" s="1"/>
      <c r="C29" s="2">
        <f t="shared" si="2"/>
        <v>9</v>
      </c>
      <c r="D29" s="97"/>
      <c r="E29" s="3">
        <f t="shared" si="3"/>
        <v>9.1853999999999996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41698</v>
      </c>
      <c r="B30" s="1"/>
      <c r="C30" s="2">
        <f t="shared" si="2"/>
        <v>9</v>
      </c>
      <c r="D30" s="97"/>
      <c r="E30" s="3">
        <f t="shared" si="3"/>
        <v>9.1853999999999996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41699</v>
      </c>
      <c r="B31" s="1"/>
      <c r="C31" s="2">
        <f t="shared" si="2"/>
        <v>9</v>
      </c>
      <c r="D31" s="116"/>
      <c r="E31" s="3">
        <f t="shared" si="3"/>
        <v>9.1853999999999996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41700</v>
      </c>
      <c r="B32" s="1"/>
      <c r="C32" s="2">
        <f t="shared" si="2"/>
        <v>9</v>
      </c>
      <c r="D32" s="97"/>
      <c r="E32" s="3">
        <f t="shared" si="3"/>
        <v>9.1853999999999996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41701</v>
      </c>
      <c r="B33" s="1"/>
      <c r="C33" s="2">
        <f t="shared" si="2"/>
        <v>9</v>
      </c>
      <c r="D33" s="97"/>
      <c r="E33" s="3">
        <f t="shared" si="3"/>
        <v>9.1853999999999996</v>
      </c>
      <c r="F33" s="69"/>
      <c r="G33" s="55"/>
      <c r="H33" s="2"/>
      <c r="I33" s="53"/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9</v>
      </c>
      <c r="C34" s="40">
        <f>+B34</f>
        <v>9</v>
      </c>
      <c r="D34" s="88">
        <f>SUM(D3:D33)</f>
        <v>9.1853999999999996</v>
      </c>
      <c r="E34" s="88">
        <f>+D34</f>
        <v>9.1853999999999996</v>
      </c>
      <c r="F34" s="25"/>
      <c r="G34" s="26">
        <f>SUM(G3:G32)</f>
        <v>0</v>
      </c>
      <c r="H34" s="40">
        <f>+G34</f>
        <v>0</v>
      </c>
      <c r="I34" s="23">
        <f>SUM(I3:I33)</f>
        <v>55.245599999999996</v>
      </c>
      <c r="J34" s="27">
        <f>SUM(J3:J33)</f>
        <v>7673</v>
      </c>
      <c r="K34" s="28"/>
      <c r="L34" s="35"/>
      <c r="M34" s="83">
        <f>SUM(M3:M33)</f>
        <v>8000</v>
      </c>
      <c r="N34" s="84">
        <f>SUM(N3:N33)</f>
        <v>57.599999999999994</v>
      </c>
      <c r="O34" s="85"/>
      <c r="Q34" s="95">
        <f>SUM(Q3:Q33)</f>
        <v>0</v>
      </c>
      <c r="R34" s="94">
        <f>+Q34</f>
        <v>0</v>
      </c>
      <c r="S34" s="101">
        <f>SUM(S3:S33)</f>
        <v>10.185600000000001</v>
      </c>
      <c r="T34" s="27">
        <f>SUM(T3:T33)</f>
        <v>1061</v>
      </c>
      <c r="U34" s="28"/>
      <c r="W34" s="29">
        <f>SUM(W3:W33)</f>
        <v>1061</v>
      </c>
      <c r="X34" s="63">
        <f>SUM(X3:X33)</f>
        <v>10.185600000000001</v>
      </c>
      <c r="Y34" s="16"/>
    </row>
    <row r="35" spans="1:25" x14ac:dyDescent="0.2">
      <c r="D35" s="64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11.42578125" bestFit="1" customWidth="1"/>
    <col min="21" max="21" width="11.42578125" customWidth="1"/>
    <col min="22" max="22" width="2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41699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41700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41701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41702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41703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41704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41705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41706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29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41707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41708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41709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41710</v>
      </c>
      <c r="B14" s="1"/>
      <c r="C14" s="2">
        <f t="shared" si="2"/>
        <v>0</v>
      </c>
      <c r="D14" s="97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41711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41712</v>
      </c>
      <c r="B16" s="1"/>
      <c r="C16" s="2">
        <f t="shared" si="2"/>
        <v>0</v>
      </c>
      <c r="D16" s="97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41713</v>
      </c>
      <c r="B17" s="1"/>
      <c r="C17" s="2">
        <f t="shared" si="2"/>
        <v>0</v>
      </c>
      <c r="D17" s="97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41714</v>
      </c>
      <c r="B18" s="1"/>
      <c r="C18" s="2">
        <f t="shared" si="2"/>
        <v>0</v>
      </c>
      <c r="D18" s="97"/>
      <c r="E18" s="3">
        <f t="shared" si="3"/>
        <v>0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41715</v>
      </c>
      <c r="B19" s="1"/>
      <c r="C19" s="2">
        <f>B19+C18</f>
        <v>0</v>
      </c>
      <c r="D19" s="97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41716</v>
      </c>
      <c r="B20" s="1"/>
      <c r="C20" s="2">
        <f t="shared" si="2"/>
        <v>0</v>
      </c>
      <c r="D20" s="97"/>
      <c r="E20" s="3">
        <f t="shared" si="3"/>
        <v>0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41717</v>
      </c>
      <c r="B21" s="1"/>
      <c r="C21" s="2">
        <f t="shared" si="2"/>
        <v>0</v>
      </c>
      <c r="D21" s="97"/>
      <c r="E21" s="3">
        <f t="shared" si="3"/>
        <v>0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41718</v>
      </c>
      <c r="B22" s="1"/>
      <c r="C22" s="2">
        <f t="shared" si="2"/>
        <v>0</v>
      </c>
      <c r="D22" s="3"/>
      <c r="E22" s="3">
        <f t="shared" si="3"/>
        <v>0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41719</v>
      </c>
      <c r="B23" s="1"/>
      <c r="C23" s="2">
        <f t="shared" si="2"/>
        <v>0</v>
      </c>
      <c r="D23" s="3"/>
      <c r="E23" s="3">
        <f t="shared" si="3"/>
        <v>0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41720</v>
      </c>
      <c r="B24" s="1"/>
      <c r="C24" s="2">
        <f t="shared" si="2"/>
        <v>0</v>
      </c>
      <c r="D24" s="97"/>
      <c r="E24" s="3">
        <f t="shared" si="3"/>
        <v>0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41721</v>
      </c>
      <c r="B25" s="1"/>
      <c r="C25" s="2">
        <f t="shared" si="2"/>
        <v>0</v>
      </c>
      <c r="D25" s="97"/>
      <c r="E25" s="3">
        <f t="shared" si="3"/>
        <v>0</v>
      </c>
      <c r="F25" s="62"/>
      <c r="G25" s="1"/>
      <c r="H25" s="2">
        <f t="shared" si="4"/>
        <v>0</v>
      </c>
      <c r="I25" s="3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41722</v>
      </c>
      <c r="B26" s="1"/>
      <c r="C26" s="2">
        <f t="shared" si="2"/>
        <v>0</v>
      </c>
      <c r="D26" s="97"/>
      <c r="E26" s="3">
        <f t="shared" si="3"/>
        <v>0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41723</v>
      </c>
      <c r="B27" s="1"/>
      <c r="C27" s="2">
        <f t="shared" si="2"/>
        <v>0</v>
      </c>
      <c r="D27" s="97"/>
      <c r="E27" s="3">
        <f t="shared" si="3"/>
        <v>0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41724</v>
      </c>
      <c r="B28" s="1">
        <v>10</v>
      </c>
      <c r="C28" s="2">
        <f t="shared" si="2"/>
        <v>10</v>
      </c>
      <c r="D28" s="97">
        <f>322*8.1/1000</f>
        <v>2.6081999999999996</v>
      </c>
      <c r="E28" s="3">
        <f t="shared" si="3"/>
        <v>2.6081999999999996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41725</v>
      </c>
      <c r="B29" s="1">
        <v>14</v>
      </c>
      <c r="C29" s="2">
        <f t="shared" si="2"/>
        <v>24</v>
      </c>
      <c r="D29" s="97">
        <f>(958+415)*8.1/1000</f>
        <v>11.1213</v>
      </c>
      <c r="E29" s="3">
        <f t="shared" si="3"/>
        <v>13.7295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41726</v>
      </c>
      <c r="B30" s="1">
        <v>14</v>
      </c>
      <c r="C30" s="2">
        <f t="shared" si="2"/>
        <v>38</v>
      </c>
      <c r="D30" s="97">
        <f>(1340+810)*8.1/1000</f>
        <v>17.414999999999999</v>
      </c>
      <c r="E30" s="3">
        <f t="shared" si="3"/>
        <v>31.144500000000001</v>
      </c>
      <c r="F30" s="62"/>
      <c r="G30" s="1"/>
      <c r="H30" s="2">
        <f t="shared" si="4"/>
        <v>0</v>
      </c>
      <c r="I30" s="3">
        <f t="shared" si="5"/>
        <v>2.7</v>
      </c>
      <c r="J30" s="5">
        <v>375</v>
      </c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41727</v>
      </c>
      <c r="B31" s="1">
        <v>14</v>
      </c>
      <c r="C31" s="2">
        <f t="shared" si="2"/>
        <v>52</v>
      </c>
      <c r="D31" s="116">
        <f>(2025+2225)*8.1/1000</f>
        <v>34.424999999999997</v>
      </c>
      <c r="E31" s="3">
        <f t="shared" si="3"/>
        <v>65.569500000000005</v>
      </c>
      <c r="F31" s="62"/>
      <c r="G31" s="1"/>
      <c r="H31" s="2">
        <f t="shared" si="4"/>
        <v>0</v>
      </c>
      <c r="I31" s="3">
        <f t="shared" si="5"/>
        <v>12.391200000000001</v>
      </c>
      <c r="J31" s="5">
        <f>1046+675</f>
        <v>1721</v>
      </c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41728</v>
      </c>
      <c r="B32" s="1">
        <v>14</v>
      </c>
      <c r="C32" s="2">
        <f t="shared" si="2"/>
        <v>66</v>
      </c>
      <c r="D32" s="97">
        <f>(740+1180)*8.1/1000</f>
        <v>15.552</v>
      </c>
      <c r="E32" s="3">
        <f t="shared" si="3"/>
        <v>81.121499999999997</v>
      </c>
      <c r="F32" s="62"/>
      <c r="G32" s="1"/>
      <c r="H32" s="2">
        <f t="shared" si="4"/>
        <v>0</v>
      </c>
      <c r="I32" s="3">
        <f t="shared" si="5"/>
        <v>15.667200000000001</v>
      </c>
      <c r="J32" s="5">
        <f>450+751+975</f>
        <v>2176</v>
      </c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41729</v>
      </c>
      <c r="B33" s="1">
        <v>14</v>
      </c>
      <c r="C33" s="2">
        <f t="shared" si="2"/>
        <v>80</v>
      </c>
      <c r="D33" s="97"/>
      <c r="E33" s="3">
        <f t="shared" si="3"/>
        <v>81.121499999999997</v>
      </c>
      <c r="F33" s="69"/>
      <c r="G33" s="55"/>
      <c r="H33" s="2">
        <f t="shared" si="4"/>
        <v>0</v>
      </c>
      <c r="I33" s="3">
        <f t="shared" si="5"/>
        <v>18.4392</v>
      </c>
      <c r="J33" s="56">
        <f>450+335+480+75+1146+75</f>
        <v>2561</v>
      </c>
      <c r="K33" s="69"/>
      <c r="L33" s="42"/>
      <c r="M33" s="100">
        <f>1421+1426+1455+1102+1146</f>
        <v>6550</v>
      </c>
      <c r="N33" s="90">
        <f t="shared" si="0"/>
        <v>47.16</v>
      </c>
      <c r="O33" s="96" t="s">
        <v>41</v>
      </c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80</v>
      </c>
      <c r="C34" s="40">
        <f>+B34</f>
        <v>80</v>
      </c>
      <c r="D34" s="88">
        <f>SUM(D3:D33)</f>
        <v>81.121499999999997</v>
      </c>
      <c r="E34" s="88">
        <f>+D34</f>
        <v>81.121499999999997</v>
      </c>
      <c r="F34" s="25"/>
      <c r="G34" s="26">
        <f>SUM(G3:G32)</f>
        <v>0</v>
      </c>
      <c r="H34" s="40">
        <f>+G34</f>
        <v>0</v>
      </c>
      <c r="I34" s="23">
        <f>SUM(I3:I33)</f>
        <v>49.197600000000001</v>
      </c>
      <c r="J34" s="27">
        <f>SUM(J3:J33)</f>
        <v>6833</v>
      </c>
      <c r="K34" s="28"/>
      <c r="L34" s="35"/>
      <c r="M34" s="83">
        <f>SUM(M3:M33)</f>
        <v>6550</v>
      </c>
      <c r="N34" s="84">
        <f>SUM(N3:N33)</f>
        <v>47.16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selection activeCell="G37" sqref="G37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11.42578125" bestFit="1" customWidth="1"/>
    <col min="21" max="21" width="11.42578125" customWidth="1"/>
    <col min="22" max="22" width="2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84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41730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41731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41732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41733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41734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41735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41736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41737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>
        <f>1258+1268+1290+923</f>
        <v>4739</v>
      </c>
      <c r="N10" s="63">
        <f t="shared" si="0"/>
        <v>34.120800000000003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41738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41739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41740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41741</v>
      </c>
      <c r="B14" s="1"/>
      <c r="C14" s="2">
        <f t="shared" si="2"/>
        <v>0</v>
      </c>
      <c r="D14" s="97"/>
      <c r="E14" s="3">
        <f t="shared" si="3"/>
        <v>0</v>
      </c>
      <c r="F14" s="67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41742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41743</v>
      </c>
      <c r="B16" s="1"/>
      <c r="C16" s="2">
        <f t="shared" si="2"/>
        <v>0</v>
      </c>
      <c r="D16" s="97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41744</v>
      </c>
      <c r="B17" s="1"/>
      <c r="C17" s="2">
        <f t="shared" si="2"/>
        <v>0</v>
      </c>
      <c r="D17" s="97"/>
      <c r="E17" s="6">
        <f t="shared" si="3"/>
        <v>0</v>
      </c>
      <c r="F17" s="115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41745</v>
      </c>
      <c r="B18" s="1"/>
      <c r="C18" s="2">
        <f t="shared" si="2"/>
        <v>0</v>
      </c>
      <c r="D18" s="97"/>
      <c r="E18" s="3">
        <f t="shared" si="3"/>
        <v>0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41746</v>
      </c>
      <c r="B19" s="1"/>
      <c r="C19" s="2">
        <f>B19+C18</f>
        <v>0</v>
      </c>
      <c r="D19" s="97"/>
      <c r="E19" s="3">
        <f t="shared" si="3"/>
        <v>0</v>
      </c>
      <c r="F19" s="67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41747</v>
      </c>
      <c r="B20" s="1"/>
      <c r="C20" s="2">
        <f t="shared" si="2"/>
        <v>0</v>
      </c>
      <c r="D20" s="97"/>
      <c r="E20" s="3">
        <f t="shared" si="3"/>
        <v>0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41748</v>
      </c>
      <c r="B21" s="1">
        <v>8</v>
      </c>
      <c r="C21" s="2">
        <f t="shared" si="2"/>
        <v>8</v>
      </c>
      <c r="D21" s="97">
        <f>(216*8.1+352*8.1+505*7.2)/1000</f>
        <v>8.2367999999999988</v>
      </c>
      <c r="E21" s="3">
        <f t="shared" si="3"/>
        <v>8.2367999999999988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41749</v>
      </c>
      <c r="B22" s="1">
        <v>10</v>
      </c>
      <c r="C22" s="2">
        <f t="shared" si="2"/>
        <v>18</v>
      </c>
      <c r="D22" s="97">
        <f>(1488*7.2+65*8.1)/1000</f>
        <v>11.2401</v>
      </c>
      <c r="E22" s="3">
        <f t="shared" si="3"/>
        <v>19.476900000000001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41750</v>
      </c>
      <c r="B23" s="1"/>
      <c r="C23" s="2">
        <f t="shared" si="2"/>
        <v>18</v>
      </c>
      <c r="D23" s="3"/>
      <c r="E23" s="3">
        <f t="shared" si="3"/>
        <v>19.476900000000001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41751</v>
      </c>
      <c r="B24" s="1"/>
      <c r="C24" s="2">
        <f t="shared" si="2"/>
        <v>18</v>
      </c>
      <c r="D24" s="97"/>
      <c r="E24" s="3">
        <f t="shared" si="3"/>
        <v>19.476900000000001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41752</v>
      </c>
      <c r="B25" s="1"/>
      <c r="C25" s="2">
        <f t="shared" si="2"/>
        <v>18</v>
      </c>
      <c r="D25" s="97"/>
      <c r="E25" s="3">
        <f t="shared" si="3"/>
        <v>19.476900000000001</v>
      </c>
      <c r="F25" s="62"/>
      <c r="G25" s="1"/>
      <c r="H25" s="2">
        <f t="shared" si="4"/>
        <v>0</v>
      </c>
      <c r="I25" s="97">
        <f t="shared" si="5"/>
        <v>2.2968000000000002</v>
      </c>
      <c r="J25" s="5">
        <f>244+75</f>
        <v>319</v>
      </c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41753</v>
      </c>
      <c r="B26" s="1"/>
      <c r="C26" s="2">
        <f t="shared" si="2"/>
        <v>18</v>
      </c>
      <c r="D26" s="97"/>
      <c r="E26" s="3">
        <f t="shared" si="3"/>
        <v>19.476900000000001</v>
      </c>
      <c r="F26" s="62"/>
      <c r="G26" s="1"/>
      <c r="H26" s="2">
        <f t="shared" si="4"/>
        <v>0</v>
      </c>
      <c r="I26" s="3">
        <f t="shared" si="5"/>
        <v>3.1248</v>
      </c>
      <c r="J26" s="5">
        <f>359+75</f>
        <v>434</v>
      </c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41754</v>
      </c>
      <c r="B27" s="1"/>
      <c r="C27" s="2">
        <f t="shared" si="2"/>
        <v>18</v>
      </c>
      <c r="D27" s="97"/>
      <c r="E27" s="3">
        <f t="shared" si="3"/>
        <v>19.476900000000001</v>
      </c>
      <c r="F27" s="62"/>
      <c r="G27" s="1"/>
      <c r="H27" s="2">
        <f t="shared" si="4"/>
        <v>0</v>
      </c>
      <c r="I27" s="3">
        <f t="shared" si="5"/>
        <v>3.6288</v>
      </c>
      <c r="J27" s="5">
        <f>429+75</f>
        <v>504</v>
      </c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41755</v>
      </c>
      <c r="B28" s="1"/>
      <c r="C28" s="2">
        <f t="shared" si="2"/>
        <v>18</v>
      </c>
      <c r="D28" s="97"/>
      <c r="E28" s="3">
        <f t="shared" si="3"/>
        <v>19.476900000000001</v>
      </c>
      <c r="F28" s="62"/>
      <c r="G28" s="1"/>
      <c r="H28" s="2">
        <f t="shared" si="4"/>
        <v>0</v>
      </c>
      <c r="I28" s="3">
        <f t="shared" si="5"/>
        <v>4.32</v>
      </c>
      <c r="J28" s="5">
        <v>600</v>
      </c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41756</v>
      </c>
      <c r="B29" s="1"/>
      <c r="C29" s="2">
        <f t="shared" si="2"/>
        <v>18</v>
      </c>
      <c r="D29" s="97"/>
      <c r="E29" s="3">
        <f t="shared" si="3"/>
        <v>19.476900000000001</v>
      </c>
      <c r="F29" s="62"/>
      <c r="G29" s="1"/>
      <c r="H29" s="2">
        <f t="shared" si="4"/>
        <v>0</v>
      </c>
      <c r="I29" s="3">
        <f t="shared" si="5"/>
        <v>5.9544000000000006</v>
      </c>
      <c r="J29" s="5">
        <f>797+30</f>
        <v>827</v>
      </c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41757</v>
      </c>
      <c r="B30" s="1"/>
      <c r="C30" s="2">
        <f t="shared" si="2"/>
        <v>18</v>
      </c>
      <c r="D30" s="97"/>
      <c r="E30" s="3">
        <f t="shared" si="3"/>
        <v>19.476900000000001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41758</v>
      </c>
      <c r="B31" s="1"/>
      <c r="C31" s="2">
        <f t="shared" si="2"/>
        <v>18</v>
      </c>
      <c r="D31" s="116"/>
      <c r="E31" s="3">
        <f t="shared" si="3"/>
        <v>19.476900000000001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41759</v>
      </c>
      <c r="B32" s="1"/>
      <c r="C32" s="2">
        <f t="shared" si="2"/>
        <v>18</v>
      </c>
      <c r="D32" s="97"/>
      <c r="E32" s="3">
        <f t="shared" si="3"/>
        <v>19.476900000000001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41760</v>
      </c>
      <c r="B33" s="1"/>
      <c r="C33" s="2">
        <f t="shared" si="2"/>
        <v>18</v>
      </c>
      <c r="D33" s="97"/>
      <c r="E33" s="3">
        <f t="shared" si="3"/>
        <v>19.476900000000001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90">
        <f t="shared" si="0"/>
        <v>0</v>
      </c>
      <c r="O33" s="96" t="s">
        <v>41</v>
      </c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18</v>
      </c>
      <c r="C34" s="40">
        <f>+B34</f>
        <v>18</v>
      </c>
      <c r="D34" s="88">
        <f>SUM(D3:D33)</f>
        <v>19.476900000000001</v>
      </c>
      <c r="E34" s="88">
        <f>+D34</f>
        <v>19.476900000000001</v>
      </c>
      <c r="F34" s="25"/>
      <c r="G34" s="26">
        <f>SUM(G3:G32)</f>
        <v>0</v>
      </c>
      <c r="H34" s="40">
        <f>+G34</f>
        <v>0</v>
      </c>
      <c r="I34" s="118">
        <f>SUM(I3:I33)</f>
        <v>19.3248</v>
      </c>
      <c r="J34" s="27">
        <f>SUM(J3:J33)</f>
        <v>2684</v>
      </c>
      <c r="K34" s="28"/>
      <c r="L34" s="35"/>
      <c r="M34" s="83">
        <f>SUM(M3:M33)</f>
        <v>4739</v>
      </c>
      <c r="N34" s="84">
        <f>SUM(N3:N33)</f>
        <v>34.120800000000003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selection activeCell="D34" sqref="D34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11.42578125" bestFit="1" customWidth="1"/>
    <col min="21" max="21" width="11.42578125" customWidth="1"/>
    <col min="22" max="22" width="2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41760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41761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41762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>
        <f>244+938+1502</f>
        <v>2684</v>
      </c>
      <c r="N5" s="29">
        <f t="shared" si="0"/>
        <v>19.3248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41763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41764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41765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41766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41767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41768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41769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41770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41771</v>
      </c>
      <c r="B14" s="1"/>
      <c r="C14" s="2">
        <f t="shared" si="2"/>
        <v>0</v>
      </c>
      <c r="D14" s="97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41772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41773</v>
      </c>
      <c r="B16" s="1"/>
      <c r="C16" s="2">
        <f t="shared" si="2"/>
        <v>0</v>
      </c>
      <c r="D16" s="97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41774</v>
      </c>
      <c r="B17" s="1"/>
      <c r="C17" s="2">
        <f t="shared" si="2"/>
        <v>0</v>
      </c>
      <c r="D17" s="97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41775</v>
      </c>
      <c r="B18" s="1"/>
      <c r="C18" s="2">
        <f t="shared" si="2"/>
        <v>0</v>
      </c>
      <c r="D18" s="97"/>
      <c r="E18" s="3">
        <f t="shared" si="3"/>
        <v>0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41776</v>
      </c>
      <c r="B19" s="1"/>
      <c r="C19" s="2">
        <f>B19+C18</f>
        <v>0</v>
      </c>
      <c r="D19" s="97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29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41777</v>
      </c>
      <c r="B20" s="1"/>
      <c r="C20" s="2">
        <f t="shared" si="2"/>
        <v>0</v>
      </c>
      <c r="D20" s="97"/>
      <c r="E20" s="3">
        <f t="shared" si="3"/>
        <v>0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41778</v>
      </c>
      <c r="B21" s="1"/>
      <c r="C21" s="2">
        <f t="shared" si="2"/>
        <v>0</v>
      </c>
      <c r="D21" s="97"/>
      <c r="E21" s="3">
        <f t="shared" si="3"/>
        <v>0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41779</v>
      </c>
      <c r="B22" s="1"/>
      <c r="C22" s="2">
        <f t="shared" si="2"/>
        <v>0</v>
      </c>
      <c r="D22" s="97"/>
      <c r="E22" s="3">
        <f t="shared" si="3"/>
        <v>0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41780</v>
      </c>
      <c r="B23" s="1"/>
      <c r="C23" s="2">
        <f t="shared" si="2"/>
        <v>0</v>
      </c>
      <c r="D23" s="3"/>
      <c r="E23" s="3">
        <f t="shared" si="3"/>
        <v>0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41781</v>
      </c>
      <c r="B24" s="1"/>
      <c r="C24" s="2">
        <f t="shared" si="2"/>
        <v>0</v>
      </c>
      <c r="D24" s="97"/>
      <c r="E24" s="3">
        <f t="shared" si="3"/>
        <v>0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41782</v>
      </c>
      <c r="B25" s="1"/>
      <c r="C25" s="2">
        <f t="shared" si="2"/>
        <v>0</v>
      </c>
      <c r="D25" s="97"/>
      <c r="E25" s="3">
        <f t="shared" si="3"/>
        <v>0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41783</v>
      </c>
      <c r="B26" s="1"/>
      <c r="C26" s="2">
        <f t="shared" si="2"/>
        <v>0</v>
      </c>
      <c r="D26" s="97"/>
      <c r="E26" s="3">
        <f t="shared" si="3"/>
        <v>0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41784</v>
      </c>
      <c r="B27" s="1"/>
      <c r="C27" s="2">
        <f t="shared" si="2"/>
        <v>0</v>
      </c>
      <c r="D27" s="97"/>
      <c r="E27" s="3">
        <f t="shared" si="3"/>
        <v>0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41785</v>
      </c>
      <c r="B28" s="1"/>
      <c r="C28" s="2">
        <f t="shared" si="2"/>
        <v>0</v>
      </c>
      <c r="D28" s="97"/>
      <c r="E28" s="3">
        <f t="shared" si="3"/>
        <v>0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41786</v>
      </c>
      <c r="B29" s="1"/>
      <c r="C29" s="2">
        <f t="shared" si="2"/>
        <v>0</v>
      </c>
      <c r="D29" s="97"/>
      <c r="E29" s="3">
        <f t="shared" si="3"/>
        <v>0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41787</v>
      </c>
      <c r="B30" s="1"/>
      <c r="C30" s="2">
        <f t="shared" si="2"/>
        <v>0</v>
      </c>
      <c r="D30" s="97">
        <f>350*8.1/1000</f>
        <v>2.835</v>
      </c>
      <c r="E30" s="97">
        <f t="shared" si="3"/>
        <v>2.835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41788</v>
      </c>
      <c r="B31" s="1"/>
      <c r="C31" s="2">
        <f t="shared" si="2"/>
        <v>0</v>
      </c>
      <c r="D31" s="116">
        <f>1680*8.1/1000</f>
        <v>13.608000000000001</v>
      </c>
      <c r="E31" s="97">
        <f t="shared" si="3"/>
        <v>16.443000000000001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41789</v>
      </c>
      <c r="B32" s="1"/>
      <c r="C32" s="2">
        <f t="shared" si="2"/>
        <v>0</v>
      </c>
      <c r="D32" s="97">
        <f>2235*8.1/1000</f>
        <v>18.1035</v>
      </c>
      <c r="E32" s="97">
        <f t="shared" si="3"/>
        <v>34.546500000000002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41790</v>
      </c>
      <c r="B33" s="1"/>
      <c r="C33" s="2">
        <f t="shared" si="2"/>
        <v>0</v>
      </c>
      <c r="D33" s="97">
        <f>1535*8.1/1000</f>
        <v>12.4335</v>
      </c>
      <c r="E33" s="97">
        <f t="shared" si="3"/>
        <v>46.980000000000004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90">
        <f t="shared" si="0"/>
        <v>0</v>
      </c>
      <c r="O33" s="96" t="s">
        <v>41</v>
      </c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46.980000000000004</v>
      </c>
      <c r="E34" s="88">
        <f>+D34</f>
        <v>46.980000000000004</v>
      </c>
      <c r="F34" s="25"/>
      <c r="G34" s="26">
        <f>SUM(G3:G32)</f>
        <v>0</v>
      </c>
      <c r="H34" s="40">
        <f>+G34</f>
        <v>0</v>
      </c>
      <c r="I34" s="118">
        <f>SUM(I3:I33)</f>
        <v>0</v>
      </c>
      <c r="J34" s="27">
        <f>SUM(J3:J33)</f>
        <v>0</v>
      </c>
      <c r="K34" s="28"/>
      <c r="L34" s="35"/>
      <c r="M34" s="83">
        <f>SUM(M3:M33)</f>
        <v>2684</v>
      </c>
      <c r="N34" s="84">
        <f>SUM(N3:N33)</f>
        <v>19.3248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topLeftCell="A17" workbookViewId="0">
      <selection activeCell="D35" sqref="D35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customWidth="1"/>
    <col min="18" max="18" width="13.140625" bestFit="1" customWidth="1"/>
    <col min="19" max="19" width="11.42578125" bestFit="1" customWidth="1"/>
    <col min="21" max="21" width="11.42578125" customWidth="1"/>
    <col min="22" max="22" width="2.5703125" customWidth="1"/>
    <col min="23" max="23" width="15.85546875" customWidth="1"/>
    <col min="24" max="25" width="9.140625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41791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41792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41793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41794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41795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41796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41797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41798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41799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97">
        <f t="shared" si="5"/>
        <v>2.8224</v>
      </c>
      <c r="J11" s="5">
        <v>392</v>
      </c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41800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4.32</v>
      </c>
      <c r="J12" s="5">
        <v>600</v>
      </c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41801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4.2624000000000004</v>
      </c>
      <c r="J13" s="5">
        <f>292+300</f>
        <v>592</v>
      </c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41802</v>
      </c>
      <c r="B14" s="1">
        <v>8</v>
      </c>
      <c r="C14" s="2">
        <f t="shared" si="2"/>
        <v>8</v>
      </c>
      <c r="D14" s="97">
        <f>320*8.1/1000</f>
        <v>2.5920000000000001</v>
      </c>
      <c r="E14" s="3">
        <f t="shared" si="3"/>
        <v>2.5920000000000001</v>
      </c>
      <c r="F14" s="39"/>
      <c r="G14" s="1"/>
      <c r="H14" s="2">
        <f t="shared" si="4"/>
        <v>0</v>
      </c>
      <c r="I14" s="3">
        <f t="shared" si="5"/>
        <v>4.32</v>
      </c>
      <c r="J14" s="5">
        <v>600</v>
      </c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41803</v>
      </c>
      <c r="B15" s="1">
        <v>14</v>
      </c>
      <c r="C15" s="2">
        <f t="shared" si="2"/>
        <v>22</v>
      </c>
      <c r="D15" s="97">
        <f>2300*8.1/1000</f>
        <v>18.63</v>
      </c>
      <c r="E15" s="3">
        <f t="shared" si="3"/>
        <v>21.221999999999998</v>
      </c>
      <c r="F15" s="96"/>
      <c r="G15" s="1"/>
      <c r="H15" s="2">
        <f t="shared" si="4"/>
        <v>0</v>
      </c>
      <c r="I15" s="3">
        <f t="shared" si="5"/>
        <v>3.9239999999999999</v>
      </c>
      <c r="J15" s="5">
        <f>95+450</f>
        <v>545</v>
      </c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41804</v>
      </c>
      <c r="B16" s="1">
        <v>14</v>
      </c>
      <c r="C16" s="2">
        <f t="shared" si="2"/>
        <v>36</v>
      </c>
      <c r="D16" s="97">
        <f>2190*8.1/1000</f>
        <v>17.739000000000001</v>
      </c>
      <c r="E16" s="3">
        <f t="shared" si="3"/>
        <v>38.960999999999999</v>
      </c>
      <c r="F16" s="96"/>
      <c r="G16" s="1"/>
      <c r="H16" s="2">
        <f t="shared" si="4"/>
        <v>0</v>
      </c>
      <c r="I16" s="3">
        <f t="shared" si="5"/>
        <v>5.3639999999999999</v>
      </c>
      <c r="J16" s="5">
        <v>745</v>
      </c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41805</v>
      </c>
      <c r="B17" s="1">
        <v>14</v>
      </c>
      <c r="C17" s="2">
        <f t="shared" si="2"/>
        <v>50</v>
      </c>
      <c r="D17" s="97">
        <f>1090*8.1/1000</f>
        <v>8.8290000000000006</v>
      </c>
      <c r="E17" s="6">
        <f t="shared" si="3"/>
        <v>47.79</v>
      </c>
      <c r="F17" s="61"/>
      <c r="G17" s="1"/>
      <c r="H17" s="2">
        <f t="shared" si="4"/>
        <v>0</v>
      </c>
      <c r="I17" s="6">
        <f t="shared" si="5"/>
        <v>5.4</v>
      </c>
      <c r="J17" s="5">
        <v>750</v>
      </c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41806</v>
      </c>
      <c r="B18" s="1">
        <v>14</v>
      </c>
      <c r="C18" s="2">
        <f t="shared" si="2"/>
        <v>64</v>
      </c>
      <c r="D18" s="97"/>
      <c r="E18" s="3">
        <f t="shared" si="3"/>
        <v>47.79</v>
      </c>
      <c r="F18" s="67"/>
      <c r="G18" s="1"/>
      <c r="H18" s="2">
        <f t="shared" si="4"/>
        <v>0</v>
      </c>
      <c r="I18" s="3">
        <f t="shared" si="5"/>
        <v>5.4</v>
      </c>
      <c r="J18" s="5">
        <v>750</v>
      </c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41807</v>
      </c>
      <c r="B19" s="1">
        <v>11</v>
      </c>
      <c r="C19" s="2">
        <f>B19+C18</f>
        <v>75</v>
      </c>
      <c r="D19" s="97"/>
      <c r="E19" s="3">
        <f t="shared" si="3"/>
        <v>47.79</v>
      </c>
      <c r="F19" s="39"/>
      <c r="G19" s="1"/>
      <c r="H19" s="2">
        <f t="shared" si="4"/>
        <v>0</v>
      </c>
      <c r="I19" s="3">
        <f t="shared" si="5"/>
        <v>4.0679999999999996</v>
      </c>
      <c r="J19" s="5">
        <v>565</v>
      </c>
      <c r="K19" s="62"/>
      <c r="L19" s="33"/>
      <c r="M19" s="77">
        <f>392+892+995</f>
        <v>2279</v>
      </c>
      <c r="N19" s="63">
        <f t="shared" si="0"/>
        <v>16.408799999999999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41808</v>
      </c>
      <c r="B20" s="1"/>
      <c r="C20" s="2">
        <f t="shared" si="2"/>
        <v>75</v>
      </c>
      <c r="D20" s="97"/>
      <c r="E20" s="3">
        <f t="shared" si="3"/>
        <v>47.79</v>
      </c>
      <c r="F20" s="67"/>
      <c r="G20" s="1"/>
      <c r="H20" s="2">
        <f t="shared" si="4"/>
        <v>0</v>
      </c>
      <c r="I20" s="3">
        <f t="shared" si="5"/>
        <v>2.052</v>
      </c>
      <c r="J20" s="5">
        <f>210+75</f>
        <v>285</v>
      </c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41809</v>
      </c>
      <c r="B21" s="1"/>
      <c r="C21" s="2">
        <f t="shared" si="2"/>
        <v>75</v>
      </c>
      <c r="D21" s="97"/>
      <c r="E21" s="3">
        <f t="shared" si="3"/>
        <v>47.79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41810</v>
      </c>
      <c r="B22" s="1"/>
      <c r="C22" s="2">
        <f t="shared" si="2"/>
        <v>75</v>
      </c>
      <c r="D22" s="97"/>
      <c r="E22" s="3">
        <f t="shared" si="3"/>
        <v>47.79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41811</v>
      </c>
      <c r="B23" s="1"/>
      <c r="C23" s="2">
        <f t="shared" si="2"/>
        <v>75</v>
      </c>
      <c r="D23" s="3"/>
      <c r="E23" s="3">
        <f t="shared" si="3"/>
        <v>47.79</v>
      </c>
      <c r="F23" s="62"/>
      <c r="G23" s="1"/>
      <c r="H23" s="2">
        <f t="shared" si="4"/>
        <v>0</v>
      </c>
      <c r="I23" s="3">
        <f t="shared" si="5"/>
        <v>5.7960000000000003</v>
      </c>
      <c r="J23" s="5">
        <f>655+150</f>
        <v>805</v>
      </c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41812</v>
      </c>
      <c r="B24" s="1"/>
      <c r="C24" s="2">
        <f t="shared" si="2"/>
        <v>75</v>
      </c>
      <c r="D24" s="97"/>
      <c r="E24" s="3">
        <f t="shared" si="3"/>
        <v>47.79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41813</v>
      </c>
      <c r="B25" s="1"/>
      <c r="C25" s="2">
        <f t="shared" si="2"/>
        <v>75</v>
      </c>
      <c r="D25" s="97"/>
      <c r="E25" s="3">
        <f t="shared" si="3"/>
        <v>47.79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41814</v>
      </c>
      <c r="B26" s="1"/>
      <c r="C26" s="2">
        <f t="shared" si="2"/>
        <v>75</v>
      </c>
      <c r="D26" s="97"/>
      <c r="E26" s="3">
        <f t="shared" si="3"/>
        <v>47.79</v>
      </c>
      <c r="F26" s="62"/>
      <c r="G26" s="1"/>
      <c r="H26" s="2">
        <f t="shared" si="4"/>
        <v>0</v>
      </c>
      <c r="I26" s="3">
        <f t="shared" si="5"/>
        <v>6.0552000000000001</v>
      </c>
      <c r="J26" s="5">
        <f>166+675</f>
        <v>841</v>
      </c>
      <c r="K26" s="62"/>
      <c r="L26" s="33"/>
      <c r="M26" s="77">
        <f>1195+1315+960+740</f>
        <v>4210</v>
      </c>
      <c r="N26" s="114">
        <f t="shared" si="0"/>
        <v>30.312000000000001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41815</v>
      </c>
      <c r="B27" s="1"/>
      <c r="C27" s="2">
        <f t="shared" si="2"/>
        <v>75</v>
      </c>
      <c r="D27" s="97"/>
      <c r="E27" s="3">
        <f t="shared" si="3"/>
        <v>47.79</v>
      </c>
      <c r="F27" s="62"/>
      <c r="G27" s="1"/>
      <c r="H27" s="2">
        <f t="shared" si="4"/>
        <v>0</v>
      </c>
      <c r="I27" s="3">
        <f t="shared" si="5"/>
        <v>7.8911999999999995</v>
      </c>
      <c r="J27" s="5">
        <f>571+525</f>
        <v>1096</v>
      </c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41816</v>
      </c>
      <c r="B28" s="1"/>
      <c r="C28" s="2">
        <f t="shared" si="2"/>
        <v>75</v>
      </c>
      <c r="D28" s="97"/>
      <c r="E28" s="3">
        <f t="shared" si="3"/>
        <v>47.79</v>
      </c>
      <c r="F28" s="62"/>
      <c r="G28" s="1"/>
      <c r="H28" s="2">
        <f t="shared" si="4"/>
        <v>0</v>
      </c>
      <c r="I28" s="3">
        <f t="shared" si="5"/>
        <v>10.166399999999999</v>
      </c>
      <c r="J28" s="5">
        <f>812+600</f>
        <v>1412</v>
      </c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41817</v>
      </c>
      <c r="B29" s="1"/>
      <c r="C29" s="2">
        <f t="shared" si="2"/>
        <v>75</v>
      </c>
      <c r="D29" s="97"/>
      <c r="E29" s="3">
        <f t="shared" si="3"/>
        <v>47.79</v>
      </c>
      <c r="F29" s="62"/>
      <c r="G29" s="1"/>
      <c r="H29" s="2">
        <f t="shared" si="4"/>
        <v>0</v>
      </c>
      <c r="I29" s="3">
        <f t="shared" si="5"/>
        <v>7.8120000000000003</v>
      </c>
      <c r="J29" s="5">
        <f>635+450</f>
        <v>1085</v>
      </c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41818</v>
      </c>
      <c r="B30" s="1"/>
      <c r="C30" s="2">
        <f t="shared" si="2"/>
        <v>75</v>
      </c>
      <c r="D30" s="97"/>
      <c r="E30" s="97">
        <f t="shared" si="3"/>
        <v>47.79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90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41819</v>
      </c>
      <c r="B31" s="1"/>
      <c r="C31" s="2">
        <f t="shared" si="2"/>
        <v>75</v>
      </c>
      <c r="D31" s="116"/>
      <c r="E31" s="97">
        <f t="shared" si="3"/>
        <v>47.79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41820</v>
      </c>
      <c r="B32" s="1"/>
      <c r="C32" s="2">
        <f t="shared" si="2"/>
        <v>75</v>
      </c>
      <c r="D32" s="97"/>
      <c r="E32" s="97">
        <f t="shared" si="3"/>
        <v>47.79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90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41821</v>
      </c>
      <c r="B33" s="1"/>
      <c r="C33" s="2">
        <f t="shared" si="2"/>
        <v>75</v>
      </c>
      <c r="D33" s="97"/>
      <c r="E33" s="97">
        <f t="shared" si="3"/>
        <v>47.79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75</v>
      </c>
      <c r="C34" s="40">
        <f>+B34</f>
        <v>75</v>
      </c>
      <c r="D34" s="88">
        <f>SUM(D3:D33)</f>
        <v>47.79</v>
      </c>
      <c r="E34" s="88">
        <f>+D34</f>
        <v>47.79</v>
      </c>
      <c r="F34" s="25"/>
      <c r="G34" s="26">
        <f>SUM(G3:G32)</f>
        <v>0</v>
      </c>
      <c r="H34" s="40">
        <f>+G34</f>
        <v>0</v>
      </c>
      <c r="I34" s="118">
        <f>SUM(I3:I33)</f>
        <v>79.653599999999997</v>
      </c>
      <c r="J34" s="27">
        <f>SUM(J3:J33)</f>
        <v>11063</v>
      </c>
      <c r="K34" s="28"/>
      <c r="L34" s="35"/>
      <c r="M34" s="83">
        <f>SUM(M3:M33)</f>
        <v>6489</v>
      </c>
      <c r="N34" s="84">
        <f>SUM(N3:N33)</f>
        <v>46.720799999999997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38" spans="1:25" x14ac:dyDescent="0.2">
      <c r="D38" s="64"/>
    </row>
    <row r="39" spans="1:25" x14ac:dyDescent="0.2">
      <c r="D39" s="119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0" workbookViewId="0">
      <selection activeCell="D33" sqref="D33"/>
    </sheetView>
  </sheetViews>
  <sheetFormatPr defaultRowHeight="12.75" x14ac:dyDescent="0.2"/>
  <cols>
    <col min="8" max="8" width="9.85546875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40969</v>
      </c>
      <c r="B3" s="1"/>
      <c r="C3" s="2">
        <f>B3</f>
        <v>0</v>
      </c>
      <c r="D3" s="3"/>
      <c r="E3" s="3">
        <f>D3</f>
        <v>0</v>
      </c>
      <c r="F3" s="4"/>
      <c r="G3" s="1">
        <v>5</v>
      </c>
      <c r="H3" s="2">
        <f>G3</f>
        <v>5</v>
      </c>
      <c r="I3" s="3">
        <f>J3*7.2/1000</f>
        <v>5.8176000000000005</v>
      </c>
      <c r="J3" s="5">
        <v>808</v>
      </c>
      <c r="K3" s="39"/>
      <c r="L3" s="33"/>
      <c r="M3" s="30">
        <v>3078</v>
      </c>
      <c r="N3" s="29">
        <f t="shared" ref="N3:N33" si="0">+M3*7.2/1000</f>
        <v>22.161600000000004</v>
      </c>
      <c r="O3" s="38">
        <v>40951</v>
      </c>
    </row>
    <row r="4" spans="1:15" ht="15" x14ac:dyDescent="0.25">
      <c r="A4" s="11">
        <f t="shared" ref="A4:A33" si="1">A3+1</f>
        <v>40970</v>
      </c>
      <c r="B4" s="1"/>
      <c r="C4" s="2">
        <f t="shared" ref="C4:C33" si="2">B4+C3</f>
        <v>0</v>
      </c>
      <c r="D4" s="6"/>
      <c r="E4" s="3">
        <f t="shared" ref="E4:E33" si="3">D4+E3</f>
        <v>0</v>
      </c>
      <c r="F4" s="4"/>
      <c r="G4" s="1">
        <v>8</v>
      </c>
      <c r="H4" s="2">
        <f t="shared" ref="H4:H31" si="4">H3+G4</f>
        <v>13</v>
      </c>
      <c r="I4" s="3">
        <f t="shared" ref="I4:I33" si="5">J4*7.2/1000</f>
        <v>3.24</v>
      </c>
      <c r="J4" s="5">
        <v>450</v>
      </c>
      <c r="K4" s="39"/>
      <c r="L4" s="34"/>
      <c r="M4" s="44">
        <v>1483</v>
      </c>
      <c r="N4" s="29">
        <f t="shared" si="0"/>
        <v>10.6776</v>
      </c>
      <c r="O4" s="38">
        <v>40951</v>
      </c>
    </row>
    <row r="5" spans="1:15" ht="15" x14ac:dyDescent="0.25">
      <c r="A5" s="11">
        <f t="shared" si="1"/>
        <v>40971</v>
      </c>
      <c r="B5" s="1"/>
      <c r="C5" s="2">
        <f t="shared" si="2"/>
        <v>0</v>
      </c>
      <c r="D5" s="6"/>
      <c r="E5" s="3">
        <f t="shared" si="3"/>
        <v>0</v>
      </c>
      <c r="F5" s="4"/>
      <c r="G5" s="1">
        <v>8</v>
      </c>
      <c r="H5" s="2">
        <f t="shared" si="4"/>
        <v>21</v>
      </c>
      <c r="I5" s="3">
        <f t="shared" si="5"/>
        <v>2.8439999999999999</v>
      </c>
      <c r="J5" s="5">
        <v>395</v>
      </c>
      <c r="K5" s="39"/>
      <c r="L5" s="33"/>
      <c r="M5" s="13"/>
      <c r="N5" s="29">
        <f t="shared" si="0"/>
        <v>0</v>
      </c>
      <c r="O5" s="29"/>
    </row>
    <row r="6" spans="1:15" ht="15" x14ac:dyDescent="0.25">
      <c r="A6" s="11">
        <f t="shared" si="1"/>
        <v>40972</v>
      </c>
      <c r="B6" s="1"/>
      <c r="C6" s="2">
        <f t="shared" si="2"/>
        <v>0</v>
      </c>
      <c r="D6" s="3"/>
      <c r="E6" s="3">
        <f t="shared" si="3"/>
        <v>0</v>
      </c>
      <c r="F6" s="4"/>
      <c r="G6" s="1">
        <v>8</v>
      </c>
      <c r="H6" s="2">
        <f t="shared" si="4"/>
        <v>29</v>
      </c>
      <c r="I6" s="3">
        <f t="shared" si="5"/>
        <v>0</v>
      </c>
      <c r="J6" s="5">
        <v>0</v>
      </c>
      <c r="K6" s="39"/>
      <c r="L6" s="33"/>
      <c r="M6" s="13"/>
      <c r="N6" s="29">
        <f t="shared" si="0"/>
        <v>0</v>
      </c>
      <c r="O6" s="29"/>
    </row>
    <row r="7" spans="1:15" ht="15" x14ac:dyDescent="0.25">
      <c r="A7" s="11">
        <f t="shared" si="1"/>
        <v>40973</v>
      </c>
      <c r="B7" s="1"/>
      <c r="C7" s="2">
        <f t="shared" si="2"/>
        <v>0</v>
      </c>
      <c r="D7" s="3"/>
      <c r="E7" s="3">
        <f t="shared" si="3"/>
        <v>0</v>
      </c>
      <c r="F7" s="4"/>
      <c r="G7" s="1">
        <v>8</v>
      </c>
      <c r="H7" s="2">
        <f t="shared" si="4"/>
        <v>37</v>
      </c>
      <c r="I7" s="3">
        <f t="shared" si="5"/>
        <v>2.8079999999999998</v>
      </c>
      <c r="J7" s="5">
        <v>390</v>
      </c>
      <c r="K7" s="39"/>
      <c r="L7" s="33"/>
      <c r="M7" s="13"/>
      <c r="N7" s="29">
        <f t="shared" si="0"/>
        <v>0</v>
      </c>
      <c r="O7" s="29"/>
    </row>
    <row r="8" spans="1:15" ht="15" x14ac:dyDescent="0.25">
      <c r="A8" s="11">
        <f t="shared" si="1"/>
        <v>40974</v>
      </c>
      <c r="B8" s="1"/>
      <c r="C8" s="2">
        <f t="shared" si="2"/>
        <v>0</v>
      </c>
      <c r="D8" s="3"/>
      <c r="E8" s="3">
        <f t="shared" si="3"/>
        <v>0</v>
      </c>
      <c r="F8" s="4"/>
      <c r="G8" s="1">
        <v>8</v>
      </c>
      <c r="H8" s="2">
        <f t="shared" si="4"/>
        <v>45</v>
      </c>
      <c r="I8" s="3">
        <f t="shared" si="5"/>
        <v>2.3039999999999998</v>
      </c>
      <c r="J8" s="5">
        <v>320</v>
      </c>
      <c r="K8" s="39"/>
      <c r="L8" s="33"/>
      <c r="M8" s="30"/>
      <c r="N8" s="29">
        <f t="shared" si="0"/>
        <v>0</v>
      </c>
      <c r="O8" s="14"/>
    </row>
    <row r="9" spans="1:15" ht="15" x14ac:dyDescent="0.25">
      <c r="A9" s="11">
        <f t="shared" si="1"/>
        <v>40975</v>
      </c>
      <c r="B9" s="1"/>
      <c r="C9" s="2">
        <f t="shared" si="2"/>
        <v>0</v>
      </c>
      <c r="D9" s="3"/>
      <c r="E9" s="3">
        <f t="shared" si="3"/>
        <v>0</v>
      </c>
      <c r="F9" s="4"/>
      <c r="G9" s="1">
        <v>8</v>
      </c>
      <c r="H9" s="2">
        <f t="shared" si="4"/>
        <v>53</v>
      </c>
      <c r="I9" s="3">
        <f t="shared" si="5"/>
        <v>1.08</v>
      </c>
      <c r="J9" s="5">
        <v>150</v>
      </c>
      <c r="K9" s="39"/>
      <c r="L9" s="33"/>
      <c r="M9" s="12"/>
      <c r="N9" s="29">
        <f t="shared" si="0"/>
        <v>0</v>
      </c>
      <c r="O9" s="29"/>
    </row>
    <row r="10" spans="1:15" ht="15" x14ac:dyDescent="0.25">
      <c r="A10" s="11">
        <f t="shared" si="1"/>
        <v>40976</v>
      </c>
      <c r="B10" s="43"/>
      <c r="C10" s="2">
        <f t="shared" si="2"/>
        <v>0</v>
      </c>
      <c r="D10" s="45"/>
      <c r="E10" s="3">
        <f t="shared" si="3"/>
        <v>0</v>
      </c>
      <c r="F10" s="46"/>
      <c r="G10" s="43"/>
      <c r="H10" s="2">
        <f t="shared" si="4"/>
        <v>53</v>
      </c>
      <c r="I10" s="3">
        <f t="shared" si="5"/>
        <v>0</v>
      </c>
      <c r="J10" s="47"/>
      <c r="K10" s="48"/>
      <c r="L10" s="33"/>
      <c r="M10" s="13"/>
      <c r="N10" s="29">
        <f t="shared" si="0"/>
        <v>0</v>
      </c>
      <c r="O10" s="29"/>
    </row>
    <row r="11" spans="1:15" ht="15" x14ac:dyDescent="0.25">
      <c r="A11" s="11">
        <f t="shared" si="1"/>
        <v>40977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53</v>
      </c>
      <c r="I11" s="3">
        <f t="shared" si="5"/>
        <v>2.16</v>
      </c>
      <c r="J11" s="5">
        <v>300</v>
      </c>
      <c r="K11" s="39"/>
      <c r="L11" s="33"/>
      <c r="M11" s="13"/>
      <c r="N11" s="29">
        <f t="shared" si="0"/>
        <v>0</v>
      </c>
      <c r="O11" s="29"/>
    </row>
    <row r="12" spans="1:15" ht="15" x14ac:dyDescent="0.2">
      <c r="A12" s="11">
        <f t="shared" si="1"/>
        <v>40978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53</v>
      </c>
      <c r="I12" s="3">
        <f t="shared" si="5"/>
        <v>1.8864000000000001</v>
      </c>
      <c r="J12" s="5">
        <v>262</v>
      </c>
      <c r="K12" s="39"/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40979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53</v>
      </c>
      <c r="I13" s="3">
        <f t="shared" si="5"/>
        <v>0</v>
      </c>
      <c r="J13" s="5">
        <v>0</v>
      </c>
      <c r="K13" s="39"/>
      <c r="L13" s="33"/>
      <c r="M13" s="13"/>
      <c r="N13" s="29">
        <f t="shared" si="0"/>
        <v>0</v>
      </c>
      <c r="O13" s="29"/>
    </row>
    <row r="14" spans="1:15" ht="15" x14ac:dyDescent="0.25">
      <c r="A14" s="11">
        <f t="shared" si="1"/>
        <v>40980</v>
      </c>
      <c r="B14" s="1"/>
      <c r="C14" s="2">
        <f t="shared" si="2"/>
        <v>0</v>
      </c>
      <c r="D14" s="3"/>
      <c r="E14" s="3">
        <f t="shared" si="3"/>
        <v>0</v>
      </c>
      <c r="F14" s="39"/>
      <c r="G14" s="1"/>
      <c r="H14" s="2">
        <f t="shared" si="4"/>
        <v>53</v>
      </c>
      <c r="I14" s="3">
        <f t="shared" si="5"/>
        <v>2.16</v>
      </c>
      <c r="J14" s="5">
        <v>300</v>
      </c>
      <c r="K14" s="39"/>
      <c r="L14" s="33"/>
      <c r="M14" s="13"/>
      <c r="N14" s="29">
        <f t="shared" si="0"/>
        <v>0</v>
      </c>
      <c r="O14" s="29"/>
    </row>
    <row r="15" spans="1:15" ht="15" x14ac:dyDescent="0.25">
      <c r="A15" s="11">
        <f t="shared" si="1"/>
        <v>40981</v>
      </c>
      <c r="B15" s="1"/>
      <c r="C15" s="2">
        <f t="shared" si="2"/>
        <v>0</v>
      </c>
      <c r="D15" s="3"/>
      <c r="E15" s="3">
        <f t="shared" si="3"/>
        <v>0</v>
      </c>
      <c r="F15" s="39"/>
      <c r="G15" s="1"/>
      <c r="H15" s="2">
        <f t="shared" si="4"/>
        <v>53</v>
      </c>
      <c r="I15" s="3">
        <f t="shared" si="5"/>
        <v>1.512</v>
      </c>
      <c r="J15" s="5">
        <v>210</v>
      </c>
      <c r="K15" s="39"/>
      <c r="L15" s="33"/>
      <c r="M15" s="13">
        <f>+(785+770)</f>
        <v>1555</v>
      </c>
      <c r="N15" s="29">
        <f t="shared" si="0"/>
        <v>11.196</v>
      </c>
      <c r="O15" s="38">
        <v>40951</v>
      </c>
    </row>
    <row r="16" spans="1:15" ht="15" x14ac:dyDescent="0.25">
      <c r="A16" s="11">
        <f t="shared" si="1"/>
        <v>40982</v>
      </c>
      <c r="B16" s="1">
        <v>11</v>
      </c>
      <c r="C16" s="2">
        <f t="shared" si="2"/>
        <v>11</v>
      </c>
      <c r="D16" s="3"/>
      <c r="E16" s="3">
        <f t="shared" si="3"/>
        <v>0</v>
      </c>
      <c r="F16" s="39"/>
      <c r="G16" s="1"/>
      <c r="H16" s="2">
        <f t="shared" si="4"/>
        <v>53</v>
      </c>
      <c r="I16" s="3">
        <f t="shared" si="5"/>
        <v>0</v>
      </c>
      <c r="J16" s="5"/>
      <c r="K16" s="39"/>
      <c r="L16" s="33"/>
      <c r="M16" s="13"/>
      <c r="N16" s="29">
        <f t="shared" si="0"/>
        <v>0</v>
      </c>
      <c r="O16" s="29"/>
    </row>
    <row r="17" spans="1:15" ht="15" x14ac:dyDescent="0.25">
      <c r="A17" s="11">
        <f t="shared" si="1"/>
        <v>40983</v>
      </c>
      <c r="B17" s="1">
        <v>11</v>
      </c>
      <c r="C17" s="2">
        <f t="shared" si="2"/>
        <v>22</v>
      </c>
      <c r="D17" s="6"/>
      <c r="E17" s="6">
        <f t="shared" si="3"/>
        <v>0</v>
      </c>
      <c r="F17" s="39"/>
      <c r="G17" s="1">
        <v>8</v>
      </c>
      <c r="H17" s="2">
        <f t="shared" si="4"/>
        <v>61</v>
      </c>
      <c r="I17" s="3">
        <f t="shared" si="5"/>
        <v>3.2759999999999998</v>
      </c>
      <c r="J17" s="5">
        <v>455</v>
      </c>
      <c r="K17" s="39"/>
      <c r="L17" s="33"/>
      <c r="M17" s="13"/>
      <c r="N17" s="29">
        <f t="shared" si="0"/>
        <v>0</v>
      </c>
      <c r="O17" s="29"/>
    </row>
    <row r="18" spans="1:15" ht="15" x14ac:dyDescent="0.25">
      <c r="A18" s="11">
        <f t="shared" si="1"/>
        <v>40984</v>
      </c>
      <c r="B18" s="1">
        <v>11</v>
      </c>
      <c r="C18" s="2">
        <f t="shared" si="2"/>
        <v>33</v>
      </c>
      <c r="D18" s="3"/>
      <c r="E18" s="3">
        <f t="shared" si="3"/>
        <v>0</v>
      </c>
      <c r="F18" s="39"/>
      <c r="G18" s="1">
        <v>7</v>
      </c>
      <c r="H18" s="2">
        <f t="shared" si="4"/>
        <v>68</v>
      </c>
      <c r="I18" s="3">
        <f t="shared" si="5"/>
        <v>2.34</v>
      </c>
      <c r="J18" s="5">
        <v>325</v>
      </c>
      <c r="K18" s="39"/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40985</v>
      </c>
      <c r="B19" s="1">
        <v>11</v>
      </c>
      <c r="C19" s="2">
        <f t="shared" si="2"/>
        <v>44</v>
      </c>
      <c r="D19" s="3"/>
      <c r="E19" s="3">
        <f t="shared" si="3"/>
        <v>0</v>
      </c>
      <c r="F19" s="39"/>
      <c r="G19" s="1">
        <v>7</v>
      </c>
      <c r="H19" s="2">
        <f t="shared" si="4"/>
        <v>75</v>
      </c>
      <c r="I19" s="3">
        <f t="shared" si="5"/>
        <v>2.988</v>
      </c>
      <c r="J19" s="5">
        <v>415</v>
      </c>
      <c r="K19" s="39"/>
      <c r="L19" s="33"/>
      <c r="M19" s="13">
        <v>1432</v>
      </c>
      <c r="N19" s="29">
        <f t="shared" si="0"/>
        <v>10.3104</v>
      </c>
      <c r="O19" s="38">
        <v>40951</v>
      </c>
    </row>
    <row r="20" spans="1:15" ht="15" x14ac:dyDescent="0.25">
      <c r="A20" s="11">
        <f t="shared" si="1"/>
        <v>40986</v>
      </c>
      <c r="B20" s="1">
        <v>11</v>
      </c>
      <c r="C20" s="2">
        <f t="shared" si="2"/>
        <v>55</v>
      </c>
      <c r="D20" s="3"/>
      <c r="E20" s="3">
        <f t="shared" si="3"/>
        <v>0</v>
      </c>
      <c r="F20" s="39"/>
      <c r="G20" s="1">
        <v>7</v>
      </c>
      <c r="H20" s="2">
        <f t="shared" si="4"/>
        <v>82</v>
      </c>
      <c r="I20" s="3">
        <f t="shared" si="5"/>
        <v>2.16</v>
      </c>
      <c r="J20" s="5">
        <v>300</v>
      </c>
      <c r="K20" s="39"/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40987</v>
      </c>
      <c r="B21" s="1">
        <v>11</v>
      </c>
      <c r="C21" s="2">
        <f t="shared" si="2"/>
        <v>66</v>
      </c>
      <c r="D21" s="3"/>
      <c r="E21" s="3">
        <f t="shared" si="3"/>
        <v>0</v>
      </c>
      <c r="F21" s="39"/>
      <c r="G21" s="1">
        <v>7</v>
      </c>
      <c r="H21" s="2">
        <f t="shared" si="4"/>
        <v>89</v>
      </c>
      <c r="I21" s="3">
        <f t="shared" si="5"/>
        <v>1.98</v>
      </c>
      <c r="J21" s="5">
        <v>275</v>
      </c>
      <c r="K21" s="39"/>
      <c r="L21" s="33"/>
      <c r="M21" s="13"/>
      <c r="N21" s="29">
        <f t="shared" si="0"/>
        <v>0</v>
      </c>
      <c r="O21" s="29"/>
    </row>
    <row r="22" spans="1:15" ht="15" x14ac:dyDescent="0.25">
      <c r="A22" s="11">
        <f t="shared" si="1"/>
        <v>40988</v>
      </c>
      <c r="B22" s="1">
        <v>11</v>
      </c>
      <c r="C22" s="2">
        <f t="shared" si="2"/>
        <v>77</v>
      </c>
      <c r="D22" s="3"/>
      <c r="E22" s="3">
        <f t="shared" si="3"/>
        <v>0</v>
      </c>
      <c r="F22" s="39"/>
      <c r="G22" s="1">
        <v>7</v>
      </c>
      <c r="H22" s="2">
        <f t="shared" si="4"/>
        <v>96</v>
      </c>
      <c r="I22" s="3">
        <f t="shared" si="5"/>
        <v>1.4039999999999999</v>
      </c>
      <c r="J22" s="5">
        <v>195</v>
      </c>
      <c r="K22" s="39"/>
      <c r="L22" s="33"/>
      <c r="M22" s="13"/>
      <c r="N22" s="29">
        <f t="shared" si="0"/>
        <v>0</v>
      </c>
      <c r="O22" s="14"/>
    </row>
    <row r="23" spans="1:15" ht="15" x14ac:dyDescent="0.25">
      <c r="A23" s="11">
        <f t="shared" si="1"/>
        <v>40989</v>
      </c>
      <c r="B23" s="1">
        <v>11</v>
      </c>
      <c r="C23" s="2">
        <f t="shared" si="2"/>
        <v>88</v>
      </c>
      <c r="D23" s="3"/>
      <c r="E23" s="3">
        <f t="shared" si="3"/>
        <v>0</v>
      </c>
      <c r="F23" s="39"/>
      <c r="G23" s="1">
        <v>7</v>
      </c>
      <c r="H23" s="2">
        <f t="shared" si="4"/>
        <v>103</v>
      </c>
      <c r="I23" s="3">
        <f t="shared" si="5"/>
        <v>2.3832000000000004</v>
      </c>
      <c r="J23" s="5">
        <v>331</v>
      </c>
      <c r="K23" s="39"/>
      <c r="L23" s="33"/>
      <c r="M23" s="13">
        <v>975</v>
      </c>
      <c r="N23" s="29">
        <f t="shared" si="0"/>
        <v>7.02</v>
      </c>
      <c r="O23" s="38">
        <v>40951</v>
      </c>
    </row>
    <row r="24" spans="1:15" ht="15" x14ac:dyDescent="0.25">
      <c r="A24" s="11">
        <f t="shared" si="1"/>
        <v>40990</v>
      </c>
      <c r="B24" s="1">
        <v>11</v>
      </c>
      <c r="C24" s="2">
        <f t="shared" si="2"/>
        <v>99</v>
      </c>
      <c r="D24" s="3"/>
      <c r="E24" s="3">
        <f t="shared" si="3"/>
        <v>0</v>
      </c>
      <c r="F24" s="39"/>
      <c r="G24" s="1">
        <v>7</v>
      </c>
      <c r="H24" s="2">
        <f t="shared" si="4"/>
        <v>110</v>
      </c>
      <c r="I24" s="3">
        <f t="shared" si="5"/>
        <v>1.4687999999999999</v>
      </c>
      <c r="J24" s="5">
        <v>204</v>
      </c>
      <c r="K24" s="39"/>
      <c r="L24" s="33"/>
      <c r="M24" s="13"/>
      <c r="N24" s="29">
        <f t="shared" si="0"/>
        <v>0</v>
      </c>
      <c r="O24" s="29"/>
    </row>
    <row r="25" spans="1:15" ht="15" x14ac:dyDescent="0.25">
      <c r="A25" s="11">
        <f t="shared" si="1"/>
        <v>40991</v>
      </c>
      <c r="B25" s="1">
        <v>11</v>
      </c>
      <c r="C25" s="2">
        <f t="shared" si="2"/>
        <v>110</v>
      </c>
      <c r="D25" s="3"/>
      <c r="E25" s="3">
        <f t="shared" si="3"/>
        <v>0</v>
      </c>
      <c r="F25" s="39"/>
      <c r="G25" s="1">
        <v>7</v>
      </c>
      <c r="H25" s="2">
        <f t="shared" si="4"/>
        <v>117</v>
      </c>
      <c r="I25" s="3">
        <f t="shared" si="5"/>
        <v>0</v>
      </c>
      <c r="J25" s="5"/>
      <c r="K25" s="39"/>
      <c r="L25" s="33"/>
      <c r="M25" s="13">
        <v>1155</v>
      </c>
      <c r="N25" s="29">
        <f t="shared" si="0"/>
        <v>8.3160000000000007</v>
      </c>
      <c r="O25" s="38">
        <v>40951</v>
      </c>
    </row>
    <row r="26" spans="1:15" ht="15" x14ac:dyDescent="0.25">
      <c r="A26" s="11">
        <f t="shared" si="1"/>
        <v>40992</v>
      </c>
      <c r="B26" s="1">
        <v>11</v>
      </c>
      <c r="C26" s="2">
        <f t="shared" si="2"/>
        <v>121</v>
      </c>
      <c r="D26" s="3"/>
      <c r="E26" s="3">
        <f t="shared" si="3"/>
        <v>0</v>
      </c>
      <c r="F26" s="39"/>
      <c r="G26" s="1">
        <v>7</v>
      </c>
      <c r="H26" s="2">
        <f t="shared" si="4"/>
        <v>124</v>
      </c>
      <c r="I26" s="3">
        <f t="shared" si="5"/>
        <v>2.16</v>
      </c>
      <c r="J26" s="5">
        <v>300</v>
      </c>
      <c r="K26" s="39"/>
      <c r="L26" s="33"/>
      <c r="M26" s="13"/>
      <c r="N26" s="29">
        <f t="shared" si="0"/>
        <v>0</v>
      </c>
      <c r="O26" s="29"/>
    </row>
    <row r="27" spans="1:15" ht="15" x14ac:dyDescent="0.25">
      <c r="A27" s="11">
        <f t="shared" si="1"/>
        <v>40993</v>
      </c>
      <c r="B27" s="1">
        <v>11</v>
      </c>
      <c r="C27" s="2">
        <f t="shared" si="2"/>
        <v>132</v>
      </c>
      <c r="D27" s="3"/>
      <c r="E27" s="3">
        <f t="shared" si="3"/>
        <v>0</v>
      </c>
      <c r="F27" s="39"/>
      <c r="G27" s="1">
        <v>7</v>
      </c>
      <c r="H27" s="2">
        <f t="shared" si="4"/>
        <v>131</v>
      </c>
      <c r="I27" s="3">
        <f t="shared" si="5"/>
        <v>5.9039999999999999</v>
      </c>
      <c r="J27" s="5">
        <v>820</v>
      </c>
      <c r="K27" s="39"/>
      <c r="L27" s="33"/>
      <c r="M27" s="13"/>
      <c r="N27" s="29">
        <f t="shared" si="0"/>
        <v>0</v>
      </c>
      <c r="O27" s="29"/>
    </row>
    <row r="28" spans="1:15" ht="15" x14ac:dyDescent="0.25">
      <c r="A28" s="11">
        <f t="shared" si="1"/>
        <v>40994</v>
      </c>
      <c r="B28" s="1">
        <v>7</v>
      </c>
      <c r="C28" s="2">
        <f t="shared" si="2"/>
        <v>139</v>
      </c>
      <c r="D28" s="3"/>
      <c r="E28" s="3">
        <f t="shared" si="3"/>
        <v>0</v>
      </c>
      <c r="F28" s="4"/>
      <c r="G28" s="1">
        <v>7</v>
      </c>
      <c r="H28" s="2">
        <f t="shared" si="4"/>
        <v>138</v>
      </c>
      <c r="I28" s="3">
        <f t="shared" si="5"/>
        <v>4.8024000000000004</v>
      </c>
      <c r="J28" s="5">
        <v>667</v>
      </c>
      <c r="K28" s="39"/>
      <c r="L28" s="33"/>
      <c r="M28" s="13"/>
      <c r="N28" s="29">
        <f t="shared" si="0"/>
        <v>0</v>
      </c>
      <c r="O28" s="29"/>
    </row>
    <row r="29" spans="1:15" ht="15" x14ac:dyDescent="0.25">
      <c r="A29" s="11">
        <f t="shared" si="1"/>
        <v>40995</v>
      </c>
      <c r="B29" s="1"/>
      <c r="C29" s="2">
        <f t="shared" si="2"/>
        <v>139</v>
      </c>
      <c r="D29" s="3"/>
      <c r="E29" s="3">
        <f t="shared" si="3"/>
        <v>0</v>
      </c>
      <c r="F29" s="4"/>
      <c r="G29" s="1">
        <v>7</v>
      </c>
      <c r="H29" s="2">
        <f t="shared" si="4"/>
        <v>145</v>
      </c>
      <c r="I29" s="3">
        <f t="shared" si="5"/>
        <v>4.7376000000000005</v>
      </c>
      <c r="J29" s="5">
        <v>658</v>
      </c>
      <c r="K29" s="39"/>
      <c r="L29" s="33"/>
      <c r="M29" s="13"/>
      <c r="N29" s="29">
        <f t="shared" si="0"/>
        <v>0</v>
      </c>
      <c r="O29" s="29"/>
    </row>
    <row r="30" spans="1:15" ht="15" x14ac:dyDescent="0.25">
      <c r="A30" s="11">
        <f t="shared" si="1"/>
        <v>40996</v>
      </c>
      <c r="B30" s="1"/>
      <c r="C30" s="2">
        <f t="shared" si="2"/>
        <v>139</v>
      </c>
      <c r="D30" s="3"/>
      <c r="E30" s="3">
        <f t="shared" si="3"/>
        <v>0</v>
      </c>
      <c r="F30" s="4"/>
      <c r="G30" s="1">
        <v>7</v>
      </c>
      <c r="H30" s="2">
        <f t="shared" si="4"/>
        <v>152</v>
      </c>
      <c r="I30" s="3">
        <f t="shared" si="5"/>
        <v>1.6704000000000001</v>
      </c>
      <c r="J30" s="5">
        <v>232</v>
      </c>
      <c r="K30" s="39"/>
      <c r="L30" s="33"/>
      <c r="M30" s="13"/>
      <c r="N30" s="29">
        <f t="shared" si="0"/>
        <v>0</v>
      </c>
      <c r="O30" s="14"/>
    </row>
    <row r="31" spans="1:15" ht="15" x14ac:dyDescent="0.25">
      <c r="A31" s="11">
        <f t="shared" si="1"/>
        <v>40997</v>
      </c>
      <c r="B31" s="1"/>
      <c r="C31" s="2">
        <f t="shared" si="2"/>
        <v>139</v>
      </c>
      <c r="D31" s="7"/>
      <c r="E31" s="3">
        <f t="shared" si="3"/>
        <v>0</v>
      </c>
      <c r="F31" s="4"/>
      <c r="G31" s="1">
        <v>7</v>
      </c>
      <c r="H31" s="2">
        <f t="shared" si="4"/>
        <v>159</v>
      </c>
      <c r="I31" s="3">
        <f t="shared" si="5"/>
        <v>0</v>
      </c>
      <c r="J31" s="5"/>
      <c r="K31" s="39"/>
      <c r="L31" s="33"/>
      <c r="M31" s="13"/>
      <c r="N31" s="29">
        <f t="shared" si="0"/>
        <v>0</v>
      </c>
      <c r="O31" s="29"/>
    </row>
    <row r="32" spans="1:15" ht="15" x14ac:dyDescent="0.25">
      <c r="A32" s="11">
        <f t="shared" si="1"/>
        <v>40998</v>
      </c>
      <c r="B32" s="1"/>
      <c r="C32" s="2">
        <f t="shared" si="2"/>
        <v>139</v>
      </c>
      <c r="D32" s="3"/>
      <c r="E32" s="3">
        <f t="shared" si="3"/>
        <v>0</v>
      </c>
      <c r="F32" s="4"/>
      <c r="G32" s="1">
        <v>7</v>
      </c>
      <c r="H32" s="2">
        <f>H31+G32</f>
        <v>166</v>
      </c>
      <c r="I32" s="3">
        <f t="shared" si="5"/>
        <v>0</v>
      </c>
      <c r="J32" s="5"/>
      <c r="K32" s="39"/>
      <c r="L32" s="42"/>
      <c r="M32" s="13">
        <v>2827</v>
      </c>
      <c r="N32" s="29">
        <f t="shared" si="0"/>
        <v>20.354400000000002</v>
      </c>
      <c r="O32" s="38">
        <v>40951</v>
      </c>
    </row>
    <row r="33" spans="1:15" ht="15.75" thickBot="1" x14ac:dyDescent="0.3">
      <c r="A33" s="11">
        <f t="shared" si="1"/>
        <v>40999</v>
      </c>
      <c r="B33" s="1"/>
      <c r="C33" s="2">
        <f t="shared" si="2"/>
        <v>139</v>
      </c>
      <c r="D33" s="3">
        <f>(580+88)*8.1/1000</f>
        <v>5.4108000000000001</v>
      </c>
      <c r="E33" s="3">
        <f t="shared" si="3"/>
        <v>5.4108000000000001</v>
      </c>
      <c r="F33" s="4"/>
      <c r="G33" s="1"/>
      <c r="H33" s="2">
        <f>H32+G33</f>
        <v>166</v>
      </c>
      <c r="I33" s="3">
        <f t="shared" si="5"/>
        <v>0</v>
      </c>
      <c r="J33" s="5"/>
      <c r="K33" s="39"/>
      <c r="L33" s="42"/>
      <c r="M33" s="13"/>
      <c r="N33" s="29">
        <f t="shared" si="0"/>
        <v>0</v>
      </c>
      <c r="O33" s="29"/>
    </row>
    <row r="34" spans="1:15" ht="21" customHeight="1" thickBot="1" x14ac:dyDescent="0.3">
      <c r="A34" s="17" t="s">
        <v>8</v>
      </c>
      <c r="B34" s="40">
        <f>+SUM(B3:B31)</f>
        <v>139</v>
      </c>
      <c r="C34" s="40">
        <f>+B34</f>
        <v>139</v>
      </c>
      <c r="D34" s="24">
        <f>SUM(D3:D33)</f>
        <v>5.4108000000000001</v>
      </c>
      <c r="E34" s="23">
        <f>+D34</f>
        <v>5.4108000000000001</v>
      </c>
      <c r="F34" s="25"/>
      <c r="G34" s="26">
        <f>SUM(G3:G33)</f>
        <v>166</v>
      </c>
      <c r="H34" s="23">
        <f>H33</f>
        <v>166</v>
      </c>
      <c r="I34" s="23">
        <f>SUM(I3:I33)</f>
        <v>63.086400000000005</v>
      </c>
      <c r="J34" s="27">
        <f>SUM(J3:J33)</f>
        <v>8762</v>
      </c>
      <c r="K34" s="28"/>
      <c r="L34" s="35"/>
      <c r="M34" s="29">
        <f>SUM(M3:M33)</f>
        <v>12505</v>
      </c>
      <c r="N34" s="29">
        <f>SUM(N3:N33)</f>
        <v>90.036000000000001</v>
      </c>
      <c r="O34" s="16"/>
    </row>
  </sheetData>
  <mergeCells count="2">
    <mergeCell ref="A1:F1"/>
    <mergeCell ref="G1:K1"/>
  </mergeCells>
  <phoneticPr fontId="14" type="noConversion"/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topLeftCell="A16" workbookViewId="0">
      <selection activeCell="C20" sqref="C20"/>
    </sheetView>
  </sheetViews>
  <sheetFormatPr defaultRowHeight="12.75" x14ac:dyDescent="0.2"/>
  <cols>
    <col min="2" max="2" width="9.7109375" bestFit="1" customWidth="1"/>
    <col min="3" max="3" width="13.140625" bestFit="1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41821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7.3296000000000001</v>
      </c>
      <c r="J3" s="5">
        <f>775+243</f>
        <v>1018</v>
      </c>
      <c r="K3" s="62"/>
      <c r="L3" s="33"/>
      <c r="M3" s="72">
        <f>358+1246+1337</f>
        <v>2941</v>
      </c>
      <c r="N3" s="73">
        <f t="shared" ref="N3:N33" si="0">+M3*7.2/1000</f>
        <v>21.1752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41822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41823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6.9984000000000002</v>
      </c>
      <c r="J5" s="5">
        <v>972</v>
      </c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41824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41825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41826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41827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41828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41829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41830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>
        <f>1235+1225</f>
        <v>2460</v>
      </c>
      <c r="N12" s="29">
        <f t="shared" si="0"/>
        <v>17.712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41831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41832</v>
      </c>
      <c r="B14" s="1"/>
      <c r="C14" s="2">
        <f t="shared" si="2"/>
        <v>0</v>
      </c>
      <c r="D14" s="97"/>
      <c r="E14" s="3">
        <f t="shared" si="3"/>
        <v>0</v>
      </c>
      <c r="F14" s="67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41833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41834</v>
      </c>
      <c r="B16" s="1"/>
      <c r="C16" s="2">
        <f t="shared" si="2"/>
        <v>0</v>
      </c>
      <c r="D16" s="97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41835</v>
      </c>
      <c r="B17" s="1"/>
      <c r="C17" s="2">
        <f t="shared" si="2"/>
        <v>0</v>
      </c>
      <c r="D17" s="97"/>
      <c r="E17" s="6">
        <f t="shared" si="3"/>
        <v>0</v>
      </c>
      <c r="F17" s="115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41836</v>
      </c>
      <c r="B18" s="1"/>
      <c r="C18" s="2">
        <f t="shared" si="2"/>
        <v>0</v>
      </c>
      <c r="D18" s="97"/>
      <c r="E18" s="3">
        <f t="shared" si="3"/>
        <v>0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41837</v>
      </c>
      <c r="B19" s="1"/>
      <c r="C19" s="2">
        <f>B19+C18</f>
        <v>0</v>
      </c>
      <c r="D19" s="97"/>
      <c r="E19" s="3">
        <f t="shared" si="3"/>
        <v>0</v>
      </c>
      <c r="F19" s="67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41838</v>
      </c>
      <c r="B20" s="1"/>
      <c r="C20" s="2">
        <f t="shared" si="2"/>
        <v>0</v>
      </c>
      <c r="D20" s="97"/>
      <c r="E20" s="3">
        <f t="shared" si="3"/>
        <v>0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41839</v>
      </c>
      <c r="B21" s="1"/>
      <c r="C21" s="2">
        <f t="shared" si="2"/>
        <v>0</v>
      </c>
      <c r="D21" s="97"/>
      <c r="E21" s="3">
        <f t="shared" si="3"/>
        <v>0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41840</v>
      </c>
      <c r="B22" s="1"/>
      <c r="C22" s="2">
        <f t="shared" si="2"/>
        <v>0</v>
      </c>
      <c r="D22" s="97"/>
      <c r="E22" s="3">
        <f t="shared" si="3"/>
        <v>0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41841</v>
      </c>
      <c r="B23" s="1"/>
      <c r="C23" s="2">
        <f t="shared" si="2"/>
        <v>0</v>
      </c>
      <c r="D23" s="3"/>
      <c r="E23" s="3">
        <f t="shared" si="3"/>
        <v>0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41842</v>
      </c>
      <c r="B24" s="1"/>
      <c r="C24" s="2">
        <f t="shared" si="2"/>
        <v>0</v>
      </c>
      <c r="D24" s="97"/>
      <c r="E24" s="3">
        <f t="shared" si="3"/>
        <v>0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41843</v>
      </c>
      <c r="B25" s="1"/>
      <c r="C25" s="2">
        <f t="shared" si="2"/>
        <v>0</v>
      </c>
      <c r="D25" s="97"/>
      <c r="E25" s="3">
        <f t="shared" si="3"/>
        <v>0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41844</v>
      </c>
      <c r="B26" s="1">
        <v>11</v>
      </c>
      <c r="C26" s="2">
        <f t="shared" si="2"/>
        <v>11</v>
      </c>
      <c r="D26" s="97">
        <f>1355*8.1/1000</f>
        <v>10.9755</v>
      </c>
      <c r="E26" s="3">
        <f t="shared" si="3"/>
        <v>10.9755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41845</v>
      </c>
      <c r="B27" s="1">
        <v>16</v>
      </c>
      <c r="C27" s="2">
        <f t="shared" si="2"/>
        <v>27</v>
      </c>
      <c r="D27" s="97">
        <f>2315*8.1/1000</f>
        <v>18.7515</v>
      </c>
      <c r="E27" s="3">
        <f t="shared" si="3"/>
        <v>29.727</v>
      </c>
      <c r="F27" s="62"/>
      <c r="G27" s="1"/>
      <c r="H27" s="2">
        <f t="shared" si="4"/>
        <v>0</v>
      </c>
      <c r="I27" s="3">
        <f t="shared" si="5"/>
        <v>7.7616000000000005</v>
      </c>
      <c r="J27" s="5">
        <f>628+450</f>
        <v>1078</v>
      </c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41846</v>
      </c>
      <c r="B28" s="1">
        <v>16</v>
      </c>
      <c r="C28" s="2">
        <f t="shared" si="2"/>
        <v>43</v>
      </c>
      <c r="D28" s="97">
        <f>2245*8.1/1000</f>
        <v>18.1845</v>
      </c>
      <c r="E28" s="3">
        <f t="shared" si="3"/>
        <v>47.911500000000004</v>
      </c>
      <c r="F28" s="62"/>
      <c r="G28" s="1"/>
      <c r="H28" s="2">
        <f t="shared" si="4"/>
        <v>0</v>
      </c>
      <c r="I28" s="3">
        <f t="shared" si="5"/>
        <v>9.6696000000000009</v>
      </c>
      <c r="J28" s="5">
        <f>443+900</f>
        <v>1343</v>
      </c>
      <c r="K28" s="62"/>
      <c r="L28" s="33"/>
      <c r="M28" s="77">
        <f>1225+628</f>
        <v>1853</v>
      </c>
      <c r="N28" s="114">
        <f t="shared" si="0"/>
        <v>13.3416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41847</v>
      </c>
      <c r="B29" s="1">
        <v>16</v>
      </c>
      <c r="C29" s="2">
        <f t="shared" si="2"/>
        <v>59</v>
      </c>
      <c r="D29" s="97">
        <f>1417*8.1/1000</f>
        <v>11.477699999999999</v>
      </c>
      <c r="E29" s="3">
        <f t="shared" si="3"/>
        <v>59.389200000000002</v>
      </c>
      <c r="F29" s="62"/>
      <c r="G29" s="1"/>
      <c r="H29" s="2">
        <f t="shared" si="4"/>
        <v>0</v>
      </c>
      <c r="I29" s="3">
        <f t="shared" si="5"/>
        <v>10.26</v>
      </c>
      <c r="J29" s="5">
        <f>375+1050</f>
        <v>1425</v>
      </c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41848</v>
      </c>
      <c r="B30" s="1">
        <v>16</v>
      </c>
      <c r="C30" s="2">
        <f t="shared" si="2"/>
        <v>75</v>
      </c>
      <c r="D30" s="97"/>
      <c r="E30" s="97">
        <f t="shared" si="3"/>
        <v>59.389200000000002</v>
      </c>
      <c r="F30" s="62"/>
      <c r="G30" s="1"/>
      <c r="H30" s="2">
        <f t="shared" si="4"/>
        <v>0</v>
      </c>
      <c r="I30" s="3">
        <f t="shared" si="5"/>
        <v>12.492000000000001</v>
      </c>
      <c r="J30" s="5">
        <f>235+1125+375</f>
        <v>1735</v>
      </c>
      <c r="K30" s="62"/>
      <c r="L30" s="33"/>
      <c r="M30" s="77">
        <f>893+1275+1326</f>
        <v>3494</v>
      </c>
      <c r="N30" s="16">
        <f t="shared" si="0"/>
        <v>25.1568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41849</v>
      </c>
      <c r="B31" s="1">
        <v>10</v>
      </c>
      <c r="C31" s="2">
        <f t="shared" si="2"/>
        <v>85</v>
      </c>
      <c r="D31" s="116"/>
      <c r="E31" s="97">
        <f t="shared" si="3"/>
        <v>59.389200000000002</v>
      </c>
      <c r="F31" s="62"/>
      <c r="G31" s="1"/>
      <c r="H31" s="2">
        <f t="shared" si="4"/>
        <v>0</v>
      </c>
      <c r="I31" s="3">
        <f t="shared" si="5"/>
        <v>12.492000000000001</v>
      </c>
      <c r="J31" s="5">
        <f>235+1125+375</f>
        <v>1735</v>
      </c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41850</v>
      </c>
      <c r="B32" s="1"/>
      <c r="C32" s="2">
        <f t="shared" si="2"/>
        <v>85</v>
      </c>
      <c r="D32" s="97"/>
      <c r="E32" s="97">
        <f t="shared" si="3"/>
        <v>59.389200000000002</v>
      </c>
      <c r="F32" s="62"/>
      <c r="G32" s="1"/>
      <c r="H32" s="2">
        <f t="shared" si="4"/>
        <v>0</v>
      </c>
      <c r="I32" s="3">
        <f t="shared" si="5"/>
        <v>8.9712000000000014</v>
      </c>
      <c r="J32" s="5">
        <f>110+675+461</f>
        <v>1246</v>
      </c>
      <c r="K32" s="62"/>
      <c r="L32" s="42"/>
      <c r="M32" s="77">
        <f>1285+1235</f>
        <v>2520</v>
      </c>
      <c r="N32" s="16">
        <f t="shared" si="0"/>
        <v>18.143999999999998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41851</v>
      </c>
      <c r="B33" s="1"/>
      <c r="C33" s="2">
        <f t="shared" si="2"/>
        <v>85</v>
      </c>
      <c r="D33" s="97"/>
      <c r="E33" s="97">
        <f t="shared" si="3"/>
        <v>59.389200000000002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>
        <f>1050+461</f>
        <v>1511</v>
      </c>
      <c r="N33" s="90">
        <f t="shared" si="0"/>
        <v>10.879200000000001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85</v>
      </c>
      <c r="C34" s="40">
        <f>+B34</f>
        <v>85</v>
      </c>
      <c r="D34" s="88">
        <f>SUM(D3:D33)</f>
        <v>59.389200000000002</v>
      </c>
      <c r="E34" s="88">
        <f>+D34</f>
        <v>59.389200000000002</v>
      </c>
      <c r="F34" s="25"/>
      <c r="G34" s="26">
        <f>SUM(G3:G32)</f>
        <v>0</v>
      </c>
      <c r="H34" s="40">
        <f>+G34</f>
        <v>0</v>
      </c>
      <c r="I34" s="118">
        <f>SUM(I3:I33)</f>
        <v>75.974400000000003</v>
      </c>
      <c r="J34" s="27">
        <f>SUM(J3:J33)</f>
        <v>10552</v>
      </c>
      <c r="K34" s="28"/>
      <c r="L34" s="35"/>
      <c r="M34" s="83">
        <f>SUM(M3:M33)</f>
        <v>14779</v>
      </c>
      <c r="N34" s="84">
        <f>SUM(N3:N33)</f>
        <v>106.40879999999999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41852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41853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41854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41855</v>
      </c>
      <c r="B6" s="1"/>
      <c r="C6" s="2">
        <f t="shared" si="2"/>
        <v>0</v>
      </c>
      <c r="D6" s="97">
        <v>2.8755000000000002</v>
      </c>
      <c r="E6" s="3">
        <f t="shared" si="3"/>
        <v>2.8755000000000002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41856</v>
      </c>
      <c r="B7" s="1"/>
      <c r="C7" s="2">
        <f t="shared" si="2"/>
        <v>0</v>
      </c>
      <c r="D7" s="97">
        <v>15.8355</v>
      </c>
      <c r="E7" s="3">
        <f t="shared" si="3"/>
        <v>18.710999999999999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41857</v>
      </c>
      <c r="B8" s="1"/>
      <c r="C8" s="2">
        <f t="shared" si="2"/>
        <v>0</v>
      </c>
      <c r="D8" s="97">
        <v>6.2370000000000001</v>
      </c>
      <c r="E8" s="3">
        <f t="shared" si="3"/>
        <v>24.948</v>
      </c>
      <c r="F8" s="62"/>
      <c r="G8" s="1"/>
      <c r="H8" s="2">
        <f t="shared" si="4"/>
        <v>0</v>
      </c>
      <c r="I8" s="3">
        <f>J8*7.2/1000</f>
        <v>7.1856</v>
      </c>
      <c r="J8" s="65">
        <f>398+600</f>
        <v>998</v>
      </c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41858</v>
      </c>
      <c r="B9" s="1"/>
      <c r="C9" s="2">
        <f t="shared" si="2"/>
        <v>0</v>
      </c>
      <c r="D9" s="97"/>
      <c r="E9" s="3">
        <f t="shared" si="3"/>
        <v>24.948</v>
      </c>
      <c r="F9" s="62"/>
      <c r="G9" s="1"/>
      <c r="H9" s="2">
        <f t="shared" si="4"/>
        <v>0</v>
      </c>
      <c r="I9" s="3">
        <f t="shared" si="5"/>
        <v>8.0640000000000001</v>
      </c>
      <c r="J9" s="5">
        <f>445+675</f>
        <v>1120</v>
      </c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41859</v>
      </c>
      <c r="B10" s="1"/>
      <c r="C10" s="2">
        <f t="shared" si="2"/>
        <v>0</v>
      </c>
      <c r="D10" s="97"/>
      <c r="E10" s="3">
        <f t="shared" si="3"/>
        <v>24.948</v>
      </c>
      <c r="F10" s="4"/>
      <c r="G10" s="1"/>
      <c r="H10" s="2">
        <f t="shared" si="4"/>
        <v>0</v>
      </c>
      <c r="I10" s="3">
        <f t="shared" si="5"/>
        <v>7.7544000000000004</v>
      </c>
      <c r="J10" s="5">
        <f>477+600</f>
        <v>1077</v>
      </c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41860</v>
      </c>
      <c r="B11" s="1"/>
      <c r="C11" s="2">
        <f t="shared" si="2"/>
        <v>0</v>
      </c>
      <c r="D11" s="97"/>
      <c r="E11" s="3">
        <f t="shared" si="3"/>
        <v>24.948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41861</v>
      </c>
      <c r="B12" s="1"/>
      <c r="C12" s="2">
        <f t="shared" si="2"/>
        <v>0</v>
      </c>
      <c r="D12" s="97"/>
      <c r="E12" s="3">
        <f t="shared" si="3"/>
        <v>24.948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41862</v>
      </c>
      <c r="B13" s="1"/>
      <c r="C13" s="2">
        <f t="shared" si="2"/>
        <v>0</v>
      </c>
      <c r="D13" s="97"/>
      <c r="E13" s="3">
        <f t="shared" si="3"/>
        <v>24.948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41863</v>
      </c>
      <c r="B14" s="1"/>
      <c r="C14" s="2">
        <f t="shared" si="2"/>
        <v>0</v>
      </c>
      <c r="D14" s="97"/>
      <c r="E14" s="3">
        <f t="shared" si="3"/>
        <v>24.948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41864</v>
      </c>
      <c r="B15" s="1"/>
      <c r="C15" s="2">
        <f t="shared" si="2"/>
        <v>0</v>
      </c>
      <c r="D15" s="97"/>
      <c r="E15" s="3">
        <f t="shared" si="3"/>
        <v>24.948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41865</v>
      </c>
      <c r="B16" s="1"/>
      <c r="C16" s="2">
        <f t="shared" si="2"/>
        <v>0</v>
      </c>
      <c r="D16" s="97"/>
      <c r="E16" s="3">
        <f t="shared" si="3"/>
        <v>24.948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41866</v>
      </c>
      <c r="B17" s="1"/>
      <c r="C17" s="2">
        <f t="shared" si="2"/>
        <v>0</v>
      </c>
      <c r="D17" s="97"/>
      <c r="E17" s="6">
        <f t="shared" si="3"/>
        <v>24.948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41867</v>
      </c>
      <c r="B18" s="1"/>
      <c r="C18" s="2">
        <f t="shared" si="2"/>
        <v>0</v>
      </c>
      <c r="D18" s="97"/>
      <c r="E18" s="3">
        <f t="shared" si="3"/>
        <v>24.948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41868</v>
      </c>
      <c r="B19" s="1"/>
      <c r="C19" s="2">
        <f>B19+C18</f>
        <v>0</v>
      </c>
      <c r="D19" s="97"/>
      <c r="E19" s="3">
        <f t="shared" si="3"/>
        <v>24.948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41869</v>
      </c>
      <c r="B20" s="1"/>
      <c r="C20" s="2">
        <f t="shared" si="2"/>
        <v>0</v>
      </c>
      <c r="D20" s="97"/>
      <c r="E20" s="3">
        <f t="shared" si="3"/>
        <v>24.948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41870</v>
      </c>
      <c r="B21" s="1"/>
      <c r="C21" s="2">
        <f t="shared" si="2"/>
        <v>0</v>
      </c>
      <c r="D21" s="97"/>
      <c r="E21" s="3">
        <f t="shared" si="3"/>
        <v>24.948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41871</v>
      </c>
      <c r="B22" s="1"/>
      <c r="C22" s="2">
        <f t="shared" si="2"/>
        <v>0</v>
      </c>
      <c r="D22" s="97"/>
      <c r="E22" s="3">
        <f t="shared" si="3"/>
        <v>24.948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41872</v>
      </c>
      <c r="B23" s="1"/>
      <c r="C23" s="2">
        <f t="shared" si="2"/>
        <v>0</v>
      </c>
      <c r="D23" s="3"/>
      <c r="E23" s="3">
        <f t="shared" si="3"/>
        <v>24.948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41873</v>
      </c>
      <c r="B24" s="1"/>
      <c r="C24" s="2">
        <f t="shared" si="2"/>
        <v>0</v>
      </c>
      <c r="D24" s="97"/>
      <c r="E24" s="3">
        <f t="shared" si="3"/>
        <v>24.948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41874</v>
      </c>
      <c r="B25" s="1"/>
      <c r="C25" s="2">
        <f t="shared" si="2"/>
        <v>0</v>
      </c>
      <c r="D25" s="97"/>
      <c r="E25" s="3">
        <f t="shared" si="3"/>
        <v>24.948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41875</v>
      </c>
      <c r="B26" s="1"/>
      <c r="C26" s="2">
        <f t="shared" si="2"/>
        <v>0</v>
      </c>
      <c r="D26" s="97"/>
      <c r="E26" s="3">
        <f t="shared" si="3"/>
        <v>24.948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41876</v>
      </c>
      <c r="B27" s="1"/>
      <c r="C27" s="2">
        <f t="shared" si="2"/>
        <v>0</v>
      </c>
      <c r="D27" s="97"/>
      <c r="E27" s="3">
        <f t="shared" si="3"/>
        <v>24.948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41877</v>
      </c>
      <c r="B28" s="1"/>
      <c r="C28" s="2">
        <f t="shared" si="2"/>
        <v>0</v>
      </c>
      <c r="D28" s="97"/>
      <c r="E28" s="3">
        <f t="shared" si="3"/>
        <v>24.948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41878</v>
      </c>
      <c r="B29" s="1"/>
      <c r="C29" s="2">
        <f t="shared" si="2"/>
        <v>0</v>
      </c>
      <c r="D29" s="97"/>
      <c r="E29" s="3">
        <f t="shared" si="3"/>
        <v>24.948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41879</v>
      </c>
      <c r="B30" s="1"/>
      <c r="C30" s="2">
        <f t="shared" si="2"/>
        <v>0</v>
      </c>
      <c r="D30" s="97"/>
      <c r="E30" s="97">
        <f t="shared" si="3"/>
        <v>24.948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16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41880</v>
      </c>
      <c r="B31" s="1"/>
      <c r="C31" s="2">
        <f t="shared" si="2"/>
        <v>0</v>
      </c>
      <c r="D31" s="116"/>
      <c r="E31" s="97">
        <f t="shared" si="3"/>
        <v>24.948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41881</v>
      </c>
      <c r="B32" s="1"/>
      <c r="C32" s="2">
        <f t="shared" si="2"/>
        <v>0</v>
      </c>
      <c r="D32" s="97">
        <f>780*7.2/1000</f>
        <v>5.6159999999999997</v>
      </c>
      <c r="E32" s="97">
        <f t="shared" si="3"/>
        <v>30.564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16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41882</v>
      </c>
      <c r="B33" s="1"/>
      <c r="C33" s="2">
        <f t="shared" si="2"/>
        <v>0</v>
      </c>
      <c r="D33" s="97">
        <f>893*7.2/1000</f>
        <v>6.4296000000000006</v>
      </c>
      <c r="E33" s="97">
        <f t="shared" si="3"/>
        <v>36.993600000000001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36.993600000000001</v>
      </c>
      <c r="E34" s="88">
        <f>+D34</f>
        <v>36.993600000000001</v>
      </c>
      <c r="F34" s="25"/>
      <c r="G34" s="26">
        <f>SUM(G3:G32)</f>
        <v>0</v>
      </c>
      <c r="H34" s="40">
        <f>+G34</f>
        <v>0</v>
      </c>
      <c r="I34" s="118">
        <f>SUM(I3:I33)</f>
        <v>23.004000000000001</v>
      </c>
      <c r="J34" s="27">
        <f>SUM(J3:J33)</f>
        <v>3195</v>
      </c>
      <c r="K34" s="28"/>
      <c r="L34" s="35"/>
      <c r="M34" s="83">
        <f>SUM(M3:M33)</f>
        <v>0</v>
      </c>
      <c r="N34" s="84">
        <f>SUM(N3:N33)</f>
        <v>0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topLeftCell="A7" workbookViewId="0">
      <selection activeCell="A8" sqref="A8"/>
    </sheetView>
  </sheetViews>
  <sheetFormatPr defaultRowHeight="12.75" x14ac:dyDescent="0.2"/>
  <cols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41883</v>
      </c>
      <c r="B3" s="1"/>
      <c r="C3" s="87">
        <f>B3</f>
        <v>0</v>
      </c>
      <c r="D3" s="97">
        <f>2245*7.2/1000</f>
        <v>16.164000000000001</v>
      </c>
      <c r="E3" s="3">
        <f>D3</f>
        <v>16.164000000000001</v>
      </c>
      <c r="F3" s="96"/>
      <c r="G3" s="1"/>
      <c r="H3" s="2">
        <f>G3</f>
        <v>0</v>
      </c>
      <c r="I3" s="3">
        <f>J3*7.2/1000</f>
        <v>0</v>
      </c>
      <c r="J3" s="5"/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41884</v>
      </c>
      <c r="B4" s="1"/>
      <c r="C4" s="2">
        <f t="shared" ref="C4:C33" si="2">B4+C3</f>
        <v>0</v>
      </c>
      <c r="D4" s="97"/>
      <c r="E4" s="3">
        <f t="shared" ref="E4:E33" si="3">D4+E3</f>
        <v>16.164000000000001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41885</v>
      </c>
      <c r="B5" s="1"/>
      <c r="C5" s="2">
        <f t="shared" si="2"/>
        <v>0</v>
      </c>
      <c r="D5" s="97">
        <f>270*7.2/1000</f>
        <v>1.944</v>
      </c>
      <c r="E5" s="3">
        <f t="shared" si="3"/>
        <v>18.108000000000001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41886</v>
      </c>
      <c r="B6" s="1"/>
      <c r="C6" s="2">
        <f t="shared" si="2"/>
        <v>0</v>
      </c>
      <c r="D6" s="97">
        <f>1945*7.2/1000</f>
        <v>14.004</v>
      </c>
      <c r="E6" s="3">
        <f t="shared" si="3"/>
        <v>32.112000000000002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41887</v>
      </c>
      <c r="B7" s="1"/>
      <c r="C7" s="2">
        <f t="shared" si="2"/>
        <v>0</v>
      </c>
      <c r="D7" s="97">
        <f>430*7.2/1000</f>
        <v>3.0960000000000001</v>
      </c>
      <c r="E7" s="3">
        <f t="shared" si="3"/>
        <v>35.207999999999998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41888</v>
      </c>
      <c r="B8" s="1"/>
      <c r="C8" s="2">
        <f t="shared" si="2"/>
        <v>0</v>
      </c>
      <c r="D8" s="97"/>
      <c r="E8" s="3">
        <f t="shared" si="3"/>
        <v>35.207999999999998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41889</v>
      </c>
      <c r="B9" s="1"/>
      <c r="C9" s="2">
        <f t="shared" si="2"/>
        <v>0</v>
      </c>
      <c r="D9" s="97"/>
      <c r="E9" s="3">
        <f t="shared" si="3"/>
        <v>35.207999999999998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41890</v>
      </c>
      <c r="B10" s="1"/>
      <c r="C10" s="2">
        <f t="shared" si="2"/>
        <v>0</v>
      </c>
      <c r="D10" s="97"/>
      <c r="E10" s="3">
        <f t="shared" si="3"/>
        <v>35.207999999999998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41891</v>
      </c>
      <c r="B11" s="1"/>
      <c r="C11" s="2">
        <f t="shared" si="2"/>
        <v>0</v>
      </c>
      <c r="D11" s="97"/>
      <c r="E11" s="3">
        <f t="shared" si="3"/>
        <v>35.207999999999998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41892</v>
      </c>
      <c r="B12" s="1"/>
      <c r="C12" s="2">
        <f t="shared" si="2"/>
        <v>0</v>
      </c>
      <c r="D12" s="97"/>
      <c r="E12" s="3">
        <f t="shared" si="3"/>
        <v>35.207999999999998</v>
      </c>
      <c r="F12" s="4"/>
      <c r="G12" s="1"/>
      <c r="H12" s="2">
        <f t="shared" si="4"/>
        <v>0</v>
      </c>
      <c r="I12" s="3">
        <f t="shared" si="5"/>
        <v>7.6319999999999997</v>
      </c>
      <c r="J12" s="5">
        <f>910+150</f>
        <v>1060</v>
      </c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41893</v>
      </c>
      <c r="B13" s="1"/>
      <c r="C13" s="2">
        <f t="shared" si="2"/>
        <v>0</v>
      </c>
      <c r="D13" s="97"/>
      <c r="E13" s="3">
        <f t="shared" si="3"/>
        <v>35.207999999999998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41894</v>
      </c>
      <c r="B14" s="1"/>
      <c r="C14" s="2">
        <f t="shared" si="2"/>
        <v>0</v>
      </c>
      <c r="D14" s="97"/>
      <c r="E14" s="3">
        <f t="shared" si="3"/>
        <v>35.207999999999998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41895</v>
      </c>
      <c r="B15" s="1"/>
      <c r="C15" s="2">
        <f t="shared" si="2"/>
        <v>0</v>
      </c>
      <c r="D15" s="97"/>
      <c r="E15" s="3">
        <f t="shared" si="3"/>
        <v>35.207999999999998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41896</v>
      </c>
      <c r="B16" s="1"/>
      <c r="C16" s="2">
        <f t="shared" si="2"/>
        <v>0</v>
      </c>
      <c r="D16" s="97"/>
      <c r="E16" s="3">
        <f t="shared" si="3"/>
        <v>35.207999999999998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41897</v>
      </c>
      <c r="B17" s="1"/>
      <c r="C17" s="2">
        <f t="shared" si="2"/>
        <v>0</v>
      </c>
      <c r="D17" s="97"/>
      <c r="E17" s="6">
        <f t="shared" si="3"/>
        <v>35.207999999999998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41898</v>
      </c>
      <c r="B18" s="1"/>
      <c r="C18" s="2">
        <f t="shared" si="2"/>
        <v>0</v>
      </c>
      <c r="D18" s="97"/>
      <c r="E18" s="3">
        <f t="shared" si="3"/>
        <v>35.207999999999998</v>
      </c>
      <c r="F18" s="67"/>
      <c r="G18" s="1"/>
      <c r="H18" s="2">
        <f t="shared" si="4"/>
        <v>0</v>
      </c>
      <c r="I18" s="3">
        <f t="shared" si="5"/>
        <v>3.78</v>
      </c>
      <c r="J18" s="5">
        <v>525</v>
      </c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41899</v>
      </c>
      <c r="B19" s="1"/>
      <c r="C19" s="2">
        <f>B19+C18</f>
        <v>0</v>
      </c>
      <c r="D19" s="97"/>
      <c r="E19" s="3">
        <f t="shared" si="3"/>
        <v>35.207999999999998</v>
      </c>
      <c r="F19" s="39"/>
      <c r="G19" s="1"/>
      <c r="H19" s="2">
        <f t="shared" si="4"/>
        <v>0</v>
      </c>
      <c r="I19" s="3">
        <f t="shared" si="5"/>
        <v>7.5960000000000001</v>
      </c>
      <c r="J19" s="5">
        <f>455+600</f>
        <v>1055</v>
      </c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41900</v>
      </c>
      <c r="B20" s="1"/>
      <c r="C20" s="2">
        <f t="shared" si="2"/>
        <v>0</v>
      </c>
      <c r="D20" s="97"/>
      <c r="E20" s="3">
        <f t="shared" si="3"/>
        <v>35.207999999999998</v>
      </c>
      <c r="F20" s="67"/>
      <c r="G20" s="1"/>
      <c r="H20" s="2">
        <f t="shared" si="4"/>
        <v>0</v>
      </c>
      <c r="I20" s="3">
        <f t="shared" si="5"/>
        <v>8.4239999999999995</v>
      </c>
      <c r="J20" s="5">
        <f>495+675</f>
        <v>1170</v>
      </c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41901</v>
      </c>
      <c r="B21" s="1"/>
      <c r="C21" s="2">
        <f t="shared" si="2"/>
        <v>0</v>
      </c>
      <c r="D21" s="97"/>
      <c r="E21" s="3">
        <f t="shared" si="3"/>
        <v>35.207999999999998</v>
      </c>
      <c r="F21" s="96"/>
      <c r="G21" s="1"/>
      <c r="H21" s="2">
        <f t="shared" si="4"/>
        <v>0</v>
      </c>
      <c r="I21" s="3">
        <f t="shared" si="5"/>
        <v>7.7039999999999997</v>
      </c>
      <c r="J21" s="5">
        <f>470+600</f>
        <v>1070</v>
      </c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41902</v>
      </c>
      <c r="B22" s="1"/>
      <c r="C22" s="2">
        <f t="shared" si="2"/>
        <v>0</v>
      </c>
      <c r="D22" s="97"/>
      <c r="E22" s="3">
        <f t="shared" si="3"/>
        <v>35.207999999999998</v>
      </c>
      <c r="F22" s="67"/>
      <c r="G22" s="1"/>
      <c r="H22" s="2">
        <f t="shared" si="4"/>
        <v>0</v>
      </c>
      <c r="I22" s="3">
        <f t="shared" si="5"/>
        <v>7.8264000000000005</v>
      </c>
      <c r="J22" s="5">
        <f>637+450</f>
        <v>1087</v>
      </c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41903</v>
      </c>
      <c r="B23" s="1"/>
      <c r="C23" s="2">
        <f t="shared" si="2"/>
        <v>0</v>
      </c>
      <c r="D23" s="3"/>
      <c r="E23" s="3">
        <f t="shared" si="3"/>
        <v>35.207999999999998</v>
      </c>
      <c r="F23" s="62"/>
      <c r="G23" s="1"/>
      <c r="H23" s="2">
        <f t="shared" si="4"/>
        <v>0</v>
      </c>
      <c r="I23" s="3">
        <f t="shared" si="5"/>
        <v>2.988</v>
      </c>
      <c r="J23" s="5">
        <v>415</v>
      </c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41904</v>
      </c>
      <c r="B24" s="1"/>
      <c r="C24" s="2">
        <f t="shared" si="2"/>
        <v>0</v>
      </c>
      <c r="D24" s="97"/>
      <c r="E24" s="3">
        <f t="shared" si="3"/>
        <v>35.207999999999998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41905</v>
      </c>
      <c r="B25" s="1"/>
      <c r="C25" s="2">
        <f t="shared" si="2"/>
        <v>0</v>
      </c>
      <c r="D25" s="97"/>
      <c r="E25" s="3">
        <f t="shared" si="3"/>
        <v>35.207999999999998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41906</v>
      </c>
      <c r="B26" s="1"/>
      <c r="C26" s="2">
        <f t="shared" si="2"/>
        <v>0</v>
      </c>
      <c r="D26" s="97"/>
      <c r="E26" s="3">
        <f t="shared" si="3"/>
        <v>35.207999999999998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41907</v>
      </c>
      <c r="B27" s="1"/>
      <c r="C27" s="2">
        <f t="shared" si="2"/>
        <v>0</v>
      </c>
      <c r="D27" s="97"/>
      <c r="E27" s="3">
        <f t="shared" si="3"/>
        <v>35.207999999999998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41908</v>
      </c>
      <c r="B28" s="1"/>
      <c r="C28" s="2">
        <f t="shared" si="2"/>
        <v>0</v>
      </c>
      <c r="D28" s="97"/>
      <c r="E28" s="3">
        <f t="shared" si="3"/>
        <v>35.207999999999998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41909</v>
      </c>
      <c r="B29" s="1"/>
      <c r="C29" s="2">
        <f t="shared" si="2"/>
        <v>0</v>
      </c>
      <c r="D29" s="97"/>
      <c r="E29" s="3">
        <f t="shared" si="3"/>
        <v>35.207999999999998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41910</v>
      </c>
      <c r="B30" s="1"/>
      <c r="C30" s="2">
        <f t="shared" si="2"/>
        <v>0</v>
      </c>
      <c r="D30" s="97"/>
      <c r="E30" s="97">
        <f t="shared" si="3"/>
        <v>35.207999999999998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16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41911</v>
      </c>
      <c r="B31" s="1"/>
      <c r="C31" s="2">
        <f t="shared" si="2"/>
        <v>0</v>
      </c>
      <c r="D31" s="116"/>
      <c r="E31" s="97">
        <f t="shared" si="3"/>
        <v>35.207999999999998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41912</v>
      </c>
      <c r="B32" s="1"/>
      <c r="C32" s="2">
        <f t="shared" si="2"/>
        <v>0</v>
      </c>
      <c r="D32" s="97"/>
      <c r="E32" s="97">
        <f t="shared" si="3"/>
        <v>35.207999999999998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16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41913</v>
      </c>
      <c r="B33" s="1"/>
      <c r="C33" s="2">
        <f t="shared" si="2"/>
        <v>0</v>
      </c>
      <c r="D33" s="97"/>
      <c r="E33" s="97">
        <f t="shared" si="3"/>
        <v>35.207999999999998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35.207999999999998</v>
      </c>
      <c r="E34" s="88">
        <f>+D34</f>
        <v>35.207999999999998</v>
      </c>
      <c r="F34" s="25"/>
      <c r="G34" s="26">
        <f>SUM(G3:G32)</f>
        <v>0</v>
      </c>
      <c r="H34" s="40">
        <f>+G34</f>
        <v>0</v>
      </c>
      <c r="I34" s="118">
        <f>SUM(I3:I33)</f>
        <v>45.950399999999995</v>
      </c>
      <c r="J34" s="27">
        <f>SUM(J3:J33)</f>
        <v>6382</v>
      </c>
      <c r="K34" s="28"/>
      <c r="L34" s="35"/>
      <c r="M34" s="83">
        <f>SUM(M3:M33)</f>
        <v>0</v>
      </c>
      <c r="N34" s="84">
        <f>SUM(N3:N33)</f>
        <v>0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topLeftCell="A2" workbookViewId="0">
      <selection activeCell="C22" sqref="C22"/>
    </sheetView>
  </sheetViews>
  <sheetFormatPr defaultRowHeight="12.75" x14ac:dyDescent="0.2"/>
  <cols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0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41913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1.0368E-2</v>
      </c>
      <c r="J3" s="121">
        <f>200*7.2/1000</f>
        <v>1.44</v>
      </c>
      <c r="K3" s="62"/>
      <c r="L3" s="33"/>
      <c r="M3" s="72"/>
      <c r="N3" s="7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41914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29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41915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29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41916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29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41917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29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41918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29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41919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29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41920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41921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29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41922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29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41923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29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41924</v>
      </c>
      <c r="B14" s="1"/>
      <c r="C14" s="2">
        <f t="shared" si="2"/>
        <v>0</v>
      </c>
      <c r="D14" s="97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29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41925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29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41926</v>
      </c>
      <c r="B16" s="1"/>
      <c r="C16" s="2">
        <f t="shared" si="2"/>
        <v>0</v>
      </c>
      <c r="D16" s="97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29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41927</v>
      </c>
      <c r="B17" s="1"/>
      <c r="C17" s="2">
        <f t="shared" si="2"/>
        <v>0</v>
      </c>
      <c r="D17" s="97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29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41928</v>
      </c>
      <c r="B18" s="1"/>
      <c r="C18" s="2">
        <f t="shared" si="2"/>
        <v>0</v>
      </c>
      <c r="D18" s="97"/>
      <c r="E18" s="3">
        <f t="shared" si="3"/>
        <v>0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29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41929</v>
      </c>
      <c r="B19" s="1"/>
      <c r="C19" s="2">
        <f>B19+C18</f>
        <v>0</v>
      </c>
      <c r="D19" s="97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41930</v>
      </c>
      <c r="B20" s="1"/>
      <c r="C20" s="2">
        <f t="shared" si="2"/>
        <v>0</v>
      </c>
      <c r="D20" s="97"/>
      <c r="E20" s="3">
        <f t="shared" si="3"/>
        <v>0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29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41931</v>
      </c>
      <c r="B21" s="1"/>
      <c r="C21" s="2">
        <f t="shared" si="2"/>
        <v>0</v>
      </c>
      <c r="D21" s="97"/>
      <c r="E21" s="3">
        <f t="shared" si="3"/>
        <v>0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29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41932</v>
      </c>
      <c r="B22" s="1"/>
      <c r="C22" s="2">
        <f t="shared" si="2"/>
        <v>0</v>
      </c>
      <c r="D22" s="97"/>
      <c r="E22" s="3">
        <f t="shared" si="3"/>
        <v>0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29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41933</v>
      </c>
      <c r="B23" s="1"/>
      <c r="C23" s="2">
        <f t="shared" si="2"/>
        <v>0</v>
      </c>
      <c r="D23" s="3"/>
      <c r="E23" s="3">
        <f t="shared" si="3"/>
        <v>0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29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41934</v>
      </c>
      <c r="B24" s="1"/>
      <c r="C24" s="2">
        <f t="shared" si="2"/>
        <v>0</v>
      </c>
      <c r="D24" s="97"/>
      <c r="E24" s="3">
        <f t="shared" si="3"/>
        <v>0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90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41935</v>
      </c>
      <c r="B25" s="1"/>
      <c r="C25" s="2">
        <f t="shared" si="2"/>
        <v>0</v>
      </c>
      <c r="D25" s="97"/>
      <c r="E25" s="3">
        <f t="shared" si="3"/>
        <v>0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114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41936</v>
      </c>
      <c r="B26" s="1"/>
      <c r="C26" s="2">
        <f t="shared" si="2"/>
        <v>0</v>
      </c>
      <c r="D26" s="97"/>
      <c r="E26" s="3">
        <f t="shared" si="3"/>
        <v>0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114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41937</v>
      </c>
      <c r="B27" s="1"/>
      <c r="C27" s="2">
        <f t="shared" si="2"/>
        <v>0</v>
      </c>
      <c r="D27" s="97"/>
      <c r="E27" s="3">
        <f t="shared" si="3"/>
        <v>0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114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41938</v>
      </c>
      <c r="B28" s="1"/>
      <c r="C28" s="2">
        <f t="shared" si="2"/>
        <v>0</v>
      </c>
      <c r="D28" s="97"/>
      <c r="E28" s="3">
        <f t="shared" si="3"/>
        <v>0</v>
      </c>
      <c r="F28" s="62"/>
      <c r="G28" s="1"/>
      <c r="H28" s="2">
        <f t="shared" si="4"/>
        <v>0</v>
      </c>
      <c r="I28" s="3">
        <f t="shared" si="5"/>
        <v>0</v>
      </c>
      <c r="J28" s="5"/>
      <c r="K28" s="62"/>
      <c r="L28" s="33"/>
      <c r="M28" s="77"/>
      <c r="N28" s="114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41939</v>
      </c>
      <c r="B29" s="1"/>
      <c r="C29" s="2">
        <f t="shared" si="2"/>
        <v>0</v>
      </c>
      <c r="D29" s="97"/>
      <c r="E29" s="3">
        <f t="shared" si="3"/>
        <v>0</v>
      </c>
      <c r="F29" s="62"/>
      <c r="G29" s="1"/>
      <c r="H29" s="2">
        <f t="shared" si="4"/>
        <v>0</v>
      </c>
      <c r="I29" s="3">
        <f t="shared" si="5"/>
        <v>0</v>
      </c>
      <c r="J29" s="5"/>
      <c r="K29" s="62"/>
      <c r="L29" s="33"/>
      <c r="M29" s="77"/>
      <c r="N29" s="114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41940</v>
      </c>
      <c r="B30" s="1"/>
      <c r="C30" s="2">
        <f t="shared" si="2"/>
        <v>0</v>
      </c>
      <c r="D30" s="97"/>
      <c r="E30" s="97">
        <f t="shared" si="3"/>
        <v>0</v>
      </c>
      <c r="F30" s="62"/>
      <c r="G30" s="1"/>
      <c r="H30" s="2">
        <f t="shared" si="4"/>
        <v>0</v>
      </c>
      <c r="I30" s="3">
        <f t="shared" si="5"/>
        <v>0</v>
      </c>
      <c r="J30" s="5"/>
      <c r="K30" s="62"/>
      <c r="L30" s="33"/>
      <c r="M30" s="77"/>
      <c r="N30" s="16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41941</v>
      </c>
      <c r="B31" s="1"/>
      <c r="C31" s="2">
        <f t="shared" si="2"/>
        <v>0</v>
      </c>
      <c r="D31" s="116"/>
      <c r="E31" s="97">
        <f t="shared" si="3"/>
        <v>0</v>
      </c>
      <c r="F31" s="62"/>
      <c r="G31" s="1"/>
      <c r="H31" s="2">
        <f t="shared" si="4"/>
        <v>0</v>
      </c>
      <c r="I31" s="3">
        <f t="shared" si="5"/>
        <v>0</v>
      </c>
      <c r="J31" s="5"/>
      <c r="K31" s="62"/>
      <c r="L31" s="33"/>
      <c r="M31" s="77"/>
      <c r="N31" s="90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41942</v>
      </c>
      <c r="B32" s="1"/>
      <c r="C32" s="2">
        <f t="shared" si="2"/>
        <v>0</v>
      </c>
      <c r="D32" s="97"/>
      <c r="E32" s="97">
        <f t="shared" si="3"/>
        <v>0</v>
      </c>
      <c r="F32" s="62"/>
      <c r="G32" s="1"/>
      <c r="H32" s="2">
        <f t="shared" si="4"/>
        <v>0</v>
      </c>
      <c r="I32" s="3">
        <f t="shared" si="5"/>
        <v>0</v>
      </c>
      <c r="J32" s="5"/>
      <c r="K32" s="62"/>
      <c r="L32" s="42"/>
      <c r="M32" s="77"/>
      <c r="N32" s="16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41943</v>
      </c>
      <c r="B33" s="1"/>
      <c r="C33" s="2">
        <f t="shared" si="2"/>
        <v>0</v>
      </c>
      <c r="D33" s="97"/>
      <c r="E33" s="97">
        <f t="shared" si="3"/>
        <v>0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90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0</v>
      </c>
      <c r="E34" s="88">
        <f>+D34</f>
        <v>0</v>
      </c>
      <c r="F34" s="25"/>
      <c r="G34" s="26">
        <f>SUM(G3:G32)</f>
        <v>0</v>
      </c>
      <c r="H34" s="40">
        <f>+G34</f>
        <v>0</v>
      </c>
      <c r="I34" s="118">
        <f>SUM(I3:I33)</f>
        <v>1.0368E-2</v>
      </c>
      <c r="J34" s="27">
        <f>SUM(J3:J33)</f>
        <v>1.44</v>
      </c>
      <c r="K34" s="28"/>
      <c r="L34" s="35"/>
      <c r="M34" s="83">
        <f>SUM(M3:M33)</f>
        <v>0</v>
      </c>
      <c r="N34" s="84">
        <f>SUM(N3:N33)</f>
        <v>0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41"/>
  <sheetViews>
    <sheetView workbookViewId="0">
      <selection sqref="A1:F1"/>
    </sheetView>
  </sheetViews>
  <sheetFormatPr defaultRowHeight="12.75" x14ac:dyDescent="0.2"/>
  <cols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42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41944</v>
      </c>
      <c r="B3" s="1"/>
      <c r="C3" s="87">
        <f>B3</f>
        <v>0</v>
      </c>
      <c r="D3" s="97"/>
      <c r="E3" s="3">
        <f>D3</f>
        <v>0</v>
      </c>
      <c r="F3" s="96"/>
      <c r="G3" s="1"/>
      <c r="H3" s="2">
        <f>G3</f>
        <v>0</v>
      </c>
      <c r="I3" s="3">
        <f>J3*7.2/1000</f>
        <v>0</v>
      </c>
      <c r="J3" s="121"/>
      <c r="K3" s="62"/>
      <c r="L3" s="33"/>
      <c r="M3" s="72"/>
      <c r="N3" s="6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41945</v>
      </c>
      <c r="B4" s="1"/>
      <c r="C4" s="2">
        <f t="shared" ref="C4:C33" si="2">B4+C3</f>
        <v>0</v>
      </c>
      <c r="D4" s="97"/>
      <c r="E4" s="3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63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41946</v>
      </c>
      <c r="B5" s="1"/>
      <c r="C5" s="2">
        <f t="shared" si="2"/>
        <v>0</v>
      </c>
      <c r="D5" s="97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63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41947</v>
      </c>
      <c r="B6" s="1"/>
      <c r="C6" s="2">
        <f t="shared" si="2"/>
        <v>0</v>
      </c>
      <c r="D6" s="97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63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41948</v>
      </c>
      <c r="B7" s="1"/>
      <c r="C7" s="2">
        <f t="shared" si="2"/>
        <v>0</v>
      </c>
      <c r="D7" s="97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63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41949</v>
      </c>
      <c r="B8" s="1"/>
      <c r="C8" s="2">
        <f t="shared" si="2"/>
        <v>0</v>
      </c>
      <c r="D8" s="97"/>
      <c r="E8" s="3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63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41950</v>
      </c>
      <c r="B9" s="1"/>
      <c r="C9" s="2">
        <f t="shared" si="2"/>
        <v>0</v>
      </c>
      <c r="D9" s="97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63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41951</v>
      </c>
      <c r="B10" s="1"/>
      <c r="C10" s="2">
        <f t="shared" si="2"/>
        <v>0</v>
      </c>
      <c r="D10" s="97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41952</v>
      </c>
      <c r="B11" s="1"/>
      <c r="C11" s="2">
        <f t="shared" si="2"/>
        <v>0</v>
      </c>
      <c r="D11" s="97"/>
      <c r="E11" s="3">
        <f t="shared" si="3"/>
        <v>0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63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41953</v>
      </c>
      <c r="B12" s="1"/>
      <c r="C12" s="2">
        <f t="shared" si="2"/>
        <v>0</v>
      </c>
      <c r="D12" s="97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63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41954</v>
      </c>
      <c r="B13" s="1"/>
      <c r="C13" s="2">
        <f t="shared" si="2"/>
        <v>0</v>
      </c>
      <c r="D13" s="97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63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41955</v>
      </c>
      <c r="B14" s="1"/>
      <c r="C14" s="2">
        <f t="shared" si="2"/>
        <v>0</v>
      </c>
      <c r="D14" s="97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63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41956</v>
      </c>
      <c r="B15" s="1"/>
      <c r="C15" s="2">
        <f t="shared" si="2"/>
        <v>0</v>
      </c>
      <c r="D15" s="97"/>
      <c r="E15" s="3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63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41957</v>
      </c>
      <c r="B16" s="1"/>
      <c r="C16" s="2">
        <f t="shared" si="2"/>
        <v>0</v>
      </c>
      <c r="D16" s="97"/>
      <c r="E16" s="3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63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41958</v>
      </c>
      <c r="B17" s="1"/>
      <c r="C17" s="2">
        <f t="shared" si="2"/>
        <v>0</v>
      </c>
      <c r="D17" s="97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63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41959</v>
      </c>
      <c r="B18" s="1"/>
      <c r="C18" s="2">
        <f t="shared" si="2"/>
        <v>0</v>
      </c>
      <c r="D18" s="97">
        <f>(300+1555)*7.2/1000</f>
        <v>13.356</v>
      </c>
      <c r="E18" s="3">
        <f t="shared" si="3"/>
        <v>13.356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63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41960</v>
      </c>
      <c r="B19" s="1"/>
      <c r="C19" s="2">
        <f>B19+C18</f>
        <v>0</v>
      </c>
      <c r="D19" s="97">
        <f>700*7.2/1000</f>
        <v>5.04</v>
      </c>
      <c r="E19" s="3">
        <f t="shared" si="3"/>
        <v>18.396000000000001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41961</v>
      </c>
      <c r="B20" s="1"/>
      <c r="C20" s="2">
        <f t="shared" si="2"/>
        <v>0</v>
      </c>
      <c r="D20" s="97">
        <f>1200*7.2/1000</f>
        <v>8.64</v>
      </c>
      <c r="E20" s="3">
        <f t="shared" si="3"/>
        <v>27.036000000000001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63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41962</v>
      </c>
      <c r="B21" s="1"/>
      <c r="C21" s="2">
        <f t="shared" si="2"/>
        <v>0</v>
      </c>
      <c r="D21" s="97">
        <f>(1083+280)*7.2/1000</f>
        <v>9.813600000000001</v>
      </c>
      <c r="E21" s="3">
        <f t="shared" si="3"/>
        <v>36.849600000000002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63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41963</v>
      </c>
      <c r="B22" s="1"/>
      <c r="C22" s="2">
        <f t="shared" si="2"/>
        <v>0</v>
      </c>
      <c r="D22" s="97"/>
      <c r="E22" s="3">
        <f t="shared" si="3"/>
        <v>36.849600000000002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63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41964</v>
      </c>
      <c r="B23" s="1"/>
      <c r="C23" s="2">
        <f t="shared" si="2"/>
        <v>0</v>
      </c>
      <c r="D23" s="3"/>
      <c r="E23" s="3">
        <f t="shared" si="3"/>
        <v>36.849600000000002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63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41965</v>
      </c>
      <c r="B24" s="1"/>
      <c r="C24" s="2">
        <f t="shared" si="2"/>
        <v>0</v>
      </c>
      <c r="D24" s="97"/>
      <c r="E24" s="3">
        <f t="shared" si="3"/>
        <v>36.849600000000002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63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41966</v>
      </c>
      <c r="B25" s="1"/>
      <c r="C25" s="2">
        <f t="shared" si="2"/>
        <v>0</v>
      </c>
      <c r="D25" s="97"/>
      <c r="E25" s="3">
        <f t="shared" si="3"/>
        <v>36.849600000000002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63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41967</v>
      </c>
      <c r="B26" s="1"/>
      <c r="C26" s="2">
        <f t="shared" si="2"/>
        <v>0</v>
      </c>
      <c r="D26" s="97"/>
      <c r="E26" s="3">
        <f t="shared" si="3"/>
        <v>36.849600000000002</v>
      </c>
      <c r="F26" s="62"/>
      <c r="G26" s="1"/>
      <c r="H26" s="2">
        <f t="shared" si="4"/>
        <v>0</v>
      </c>
      <c r="I26" s="3">
        <f t="shared" si="5"/>
        <v>0</v>
      </c>
      <c r="J26" s="5"/>
      <c r="K26" s="62"/>
      <c r="L26" s="33"/>
      <c r="M26" s="77"/>
      <c r="N26" s="63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41968</v>
      </c>
      <c r="B27" s="1"/>
      <c r="C27" s="2">
        <f t="shared" si="2"/>
        <v>0</v>
      </c>
      <c r="D27" s="97"/>
      <c r="E27" s="3">
        <f t="shared" si="3"/>
        <v>36.849600000000002</v>
      </c>
      <c r="F27" s="62"/>
      <c r="G27" s="1"/>
      <c r="H27" s="2">
        <f t="shared" si="4"/>
        <v>0</v>
      </c>
      <c r="I27" s="3">
        <f t="shared" si="5"/>
        <v>0</v>
      </c>
      <c r="J27" s="5"/>
      <c r="K27" s="62"/>
      <c r="L27" s="33"/>
      <c r="M27" s="77"/>
      <c r="N27" s="63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41969</v>
      </c>
      <c r="B28" s="1"/>
      <c r="C28" s="2">
        <f t="shared" si="2"/>
        <v>0</v>
      </c>
      <c r="D28" s="97"/>
      <c r="E28" s="3">
        <f t="shared" si="3"/>
        <v>36.849600000000002</v>
      </c>
      <c r="F28" s="62"/>
      <c r="G28" s="1"/>
      <c r="H28" s="2">
        <f t="shared" si="4"/>
        <v>0</v>
      </c>
      <c r="I28" s="3">
        <f t="shared" si="5"/>
        <v>6.048</v>
      </c>
      <c r="J28" s="5">
        <v>840</v>
      </c>
      <c r="K28" s="62"/>
      <c r="L28" s="33"/>
      <c r="M28" s="77"/>
      <c r="N28" s="63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41970</v>
      </c>
      <c r="B29" s="1"/>
      <c r="C29" s="2">
        <f t="shared" si="2"/>
        <v>0</v>
      </c>
      <c r="D29" s="97"/>
      <c r="E29" s="3">
        <f t="shared" si="3"/>
        <v>36.849600000000002</v>
      </c>
      <c r="F29" s="62"/>
      <c r="G29" s="1"/>
      <c r="H29" s="2">
        <f t="shared" si="4"/>
        <v>0</v>
      </c>
      <c r="I29" s="3">
        <f t="shared" si="5"/>
        <v>7.2936000000000005</v>
      </c>
      <c r="J29" s="5">
        <v>1013</v>
      </c>
      <c r="K29" s="62"/>
      <c r="L29" s="33"/>
      <c r="M29" s="77"/>
      <c r="N29" s="63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41971</v>
      </c>
      <c r="B30" s="1"/>
      <c r="C30" s="2">
        <f t="shared" si="2"/>
        <v>0</v>
      </c>
      <c r="D30" s="97"/>
      <c r="E30" s="97">
        <f t="shared" si="3"/>
        <v>36.849600000000002</v>
      </c>
      <c r="F30" s="62"/>
      <c r="G30" s="1"/>
      <c r="H30" s="2">
        <f t="shared" si="4"/>
        <v>0</v>
      </c>
      <c r="I30" s="3">
        <f t="shared" si="5"/>
        <v>6.5664000000000007</v>
      </c>
      <c r="J30" s="5">
        <f>698+214</f>
        <v>912</v>
      </c>
      <c r="K30" s="62"/>
      <c r="L30" s="33"/>
      <c r="M30" s="77">
        <f>840+1013</f>
        <v>1853</v>
      </c>
      <c r="N30" s="63">
        <f t="shared" si="0"/>
        <v>13.3416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41972</v>
      </c>
      <c r="B31" s="1"/>
      <c r="C31" s="2">
        <f t="shared" si="2"/>
        <v>0</v>
      </c>
      <c r="D31" s="116"/>
      <c r="E31" s="97">
        <f t="shared" si="3"/>
        <v>36.849600000000002</v>
      </c>
      <c r="F31" s="62"/>
      <c r="G31" s="1"/>
      <c r="H31" s="2">
        <f t="shared" si="4"/>
        <v>0</v>
      </c>
      <c r="I31" s="3">
        <f t="shared" si="5"/>
        <v>6.5376000000000003</v>
      </c>
      <c r="J31" s="5">
        <f>336+572</f>
        <v>908</v>
      </c>
      <c r="K31" s="62"/>
      <c r="L31" s="33"/>
      <c r="M31" s="77">
        <f>698+550+648+76+834+41</f>
        <v>2847</v>
      </c>
      <c r="N31" s="63">
        <f t="shared" si="0"/>
        <v>20.4984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41973</v>
      </c>
      <c r="B32" s="1"/>
      <c r="C32" s="2">
        <f t="shared" si="2"/>
        <v>0</v>
      </c>
      <c r="D32" s="97"/>
      <c r="E32" s="97">
        <f t="shared" si="3"/>
        <v>36.849600000000002</v>
      </c>
      <c r="F32" s="62"/>
      <c r="G32" s="1"/>
      <c r="H32" s="2">
        <f t="shared" si="4"/>
        <v>0</v>
      </c>
      <c r="I32" s="3">
        <f t="shared" si="5"/>
        <v>6.8472</v>
      </c>
      <c r="J32" s="5">
        <f>76+834+41</f>
        <v>951</v>
      </c>
      <c r="K32" s="62"/>
      <c r="L32" s="42"/>
      <c r="M32" s="77"/>
      <c r="N32" s="63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41974</v>
      </c>
      <c r="B33" s="1"/>
      <c r="C33" s="2">
        <f t="shared" si="2"/>
        <v>0</v>
      </c>
      <c r="D33" s="97"/>
      <c r="E33" s="97">
        <f t="shared" si="3"/>
        <v>36.849600000000002</v>
      </c>
      <c r="F33" s="69"/>
      <c r="G33" s="55"/>
      <c r="H33" s="2">
        <f t="shared" si="4"/>
        <v>0</v>
      </c>
      <c r="I33" s="3">
        <f t="shared" si="5"/>
        <v>0</v>
      </c>
      <c r="J33" s="56"/>
      <c r="K33" s="69"/>
      <c r="L33" s="42"/>
      <c r="M33" s="100"/>
      <c r="N33" s="63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36.849600000000002</v>
      </c>
      <c r="E34" s="88">
        <f>+D34</f>
        <v>36.849600000000002</v>
      </c>
      <c r="F34" s="25"/>
      <c r="G34" s="26">
        <f>SUM(G3:G32)</f>
        <v>0</v>
      </c>
      <c r="H34" s="40">
        <f>+G34</f>
        <v>0</v>
      </c>
      <c r="I34" s="118">
        <f>SUM(I3:I33)</f>
        <v>33.2928</v>
      </c>
      <c r="J34" s="27">
        <f>SUM(J3:J33)</f>
        <v>4624</v>
      </c>
      <c r="K34" s="28"/>
      <c r="L34" s="35"/>
      <c r="M34" s="83">
        <f>SUM(M3:M33)</f>
        <v>4700</v>
      </c>
      <c r="N34" s="84">
        <f>SUM(N3:N33)</f>
        <v>33.840000000000003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  <pageSetup orientation="portrait" verticalDpi="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pane xSplit="1" ySplit="2" topLeftCell="D15" activePane="bottomRight" state="frozen"/>
      <selection pane="topRight" activeCell="B1" sqref="B1"/>
      <selection pane="bottomLeft" activeCell="A3" sqref="A3"/>
      <selection pane="bottomRight" activeCell="D30" sqref="D30"/>
    </sheetView>
  </sheetViews>
  <sheetFormatPr defaultRowHeight="12.75" x14ac:dyDescent="0.2"/>
  <cols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42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41974</v>
      </c>
      <c r="B3" s="1"/>
      <c r="C3" s="87">
        <f>B3</f>
        <v>0</v>
      </c>
      <c r="D3" s="97"/>
      <c r="E3" s="97">
        <f>D3</f>
        <v>0</v>
      </c>
      <c r="F3" s="96"/>
      <c r="G3" s="1"/>
      <c r="H3" s="2">
        <f>G3</f>
        <v>0</v>
      </c>
      <c r="I3" s="3">
        <f>J3*7.2/1000</f>
        <v>3.8808000000000002</v>
      </c>
      <c r="J3" s="121">
        <f>259+280</f>
        <v>539</v>
      </c>
      <c r="K3" s="62"/>
      <c r="L3" s="33"/>
      <c r="M3" s="72"/>
      <c r="N3" s="6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41975</v>
      </c>
      <c r="B4" s="1"/>
      <c r="C4" s="2">
        <f t="shared" ref="C4:C33" si="2">B4+C3</f>
        <v>0</v>
      </c>
      <c r="D4" s="97"/>
      <c r="E4" s="97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63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41976</v>
      </c>
      <c r="B5" s="1"/>
      <c r="C5" s="2">
        <f t="shared" si="2"/>
        <v>0</v>
      </c>
      <c r="D5" s="97"/>
      <c r="E5" s="97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63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41977</v>
      </c>
      <c r="B6" s="1"/>
      <c r="C6" s="2">
        <f t="shared" si="2"/>
        <v>0</v>
      </c>
      <c r="D6" s="97"/>
      <c r="E6" s="97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63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41978</v>
      </c>
      <c r="B7" s="1"/>
      <c r="C7" s="2">
        <f t="shared" si="2"/>
        <v>0</v>
      </c>
      <c r="D7" s="97"/>
      <c r="E7" s="97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63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41979</v>
      </c>
      <c r="B8" s="1"/>
      <c r="C8" s="2">
        <f t="shared" si="2"/>
        <v>0</v>
      </c>
      <c r="D8" s="97"/>
      <c r="E8" s="97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63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41980</v>
      </c>
      <c r="B9" s="1"/>
      <c r="C9" s="2">
        <f t="shared" si="2"/>
        <v>0</v>
      </c>
      <c r="D9" s="97"/>
      <c r="E9" s="97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63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41981</v>
      </c>
      <c r="B10" s="1"/>
      <c r="C10" s="2">
        <f t="shared" si="2"/>
        <v>0</v>
      </c>
      <c r="D10" s="97"/>
      <c r="E10" s="97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41982</v>
      </c>
      <c r="B11" s="1"/>
      <c r="C11" s="2">
        <f t="shared" si="2"/>
        <v>0</v>
      </c>
      <c r="D11" s="97"/>
      <c r="E11" s="97">
        <f t="shared" si="3"/>
        <v>0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63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41983</v>
      </c>
      <c r="B12" s="1"/>
      <c r="C12" s="2">
        <f t="shared" si="2"/>
        <v>0</v>
      </c>
      <c r="D12" s="97"/>
      <c r="E12" s="97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63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41984</v>
      </c>
      <c r="B13" s="1"/>
      <c r="C13" s="2">
        <f t="shared" si="2"/>
        <v>0</v>
      </c>
      <c r="D13" s="97"/>
      <c r="E13" s="97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63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41985</v>
      </c>
      <c r="B14" s="1"/>
      <c r="C14" s="2">
        <f t="shared" si="2"/>
        <v>0</v>
      </c>
      <c r="D14" s="97"/>
      <c r="E14" s="97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63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41986</v>
      </c>
      <c r="B15" s="1"/>
      <c r="C15" s="2">
        <f t="shared" si="2"/>
        <v>0</v>
      </c>
      <c r="D15" s="97"/>
      <c r="E15" s="97">
        <f t="shared" si="3"/>
        <v>0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63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41987</v>
      </c>
      <c r="B16" s="1"/>
      <c r="C16" s="2">
        <f t="shared" si="2"/>
        <v>0</v>
      </c>
      <c r="D16" s="97"/>
      <c r="E16" s="97">
        <f t="shared" si="3"/>
        <v>0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63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41988</v>
      </c>
      <c r="B17" s="1"/>
      <c r="C17" s="2">
        <f t="shared" si="2"/>
        <v>0</v>
      </c>
      <c r="D17" s="97"/>
      <c r="E17" s="121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63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41989</v>
      </c>
      <c r="B18" s="1"/>
      <c r="C18" s="2">
        <f t="shared" si="2"/>
        <v>0</v>
      </c>
      <c r="D18" s="97">
        <f>1055*7.2/1000</f>
        <v>7.5960000000000001</v>
      </c>
      <c r="E18" s="97">
        <f t="shared" si="3"/>
        <v>7.5960000000000001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63">
        <f t="shared" si="0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41990</v>
      </c>
      <c r="B19" s="1"/>
      <c r="C19" s="2">
        <f>B19+C18</f>
        <v>0</v>
      </c>
      <c r="D19" s="97">
        <f>1585*7.2/1000</f>
        <v>11.412000000000001</v>
      </c>
      <c r="E19" s="97">
        <f t="shared" si="3"/>
        <v>19.008000000000003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41991</v>
      </c>
      <c r="B20" s="1"/>
      <c r="C20" s="2">
        <f t="shared" si="2"/>
        <v>0</v>
      </c>
      <c r="D20" s="97">
        <f>851*7.2/1000</f>
        <v>6.1272000000000002</v>
      </c>
      <c r="E20" s="97">
        <f t="shared" si="3"/>
        <v>25.135200000000005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63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41992</v>
      </c>
      <c r="B21" s="1"/>
      <c r="C21" s="2">
        <f t="shared" si="2"/>
        <v>0</v>
      </c>
      <c r="D21" s="97"/>
      <c r="E21" s="97">
        <f t="shared" si="3"/>
        <v>25.135200000000005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63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41993</v>
      </c>
      <c r="B22" s="1"/>
      <c r="C22" s="2">
        <f t="shared" si="2"/>
        <v>0</v>
      </c>
      <c r="D22" s="97">
        <f>(1204+5)*7.2/1000</f>
        <v>8.7048000000000005</v>
      </c>
      <c r="E22" s="97">
        <f t="shared" si="3"/>
        <v>33.840000000000003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63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41994</v>
      </c>
      <c r="B23" s="1"/>
      <c r="C23" s="2">
        <f t="shared" si="2"/>
        <v>0</v>
      </c>
      <c r="D23" s="3"/>
      <c r="E23" s="97">
        <f t="shared" si="3"/>
        <v>33.840000000000003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63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41995</v>
      </c>
      <c r="B24" s="1"/>
      <c r="C24" s="2">
        <f t="shared" si="2"/>
        <v>0</v>
      </c>
      <c r="D24" s="97"/>
      <c r="E24" s="97">
        <f t="shared" si="3"/>
        <v>33.840000000000003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63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41996</v>
      </c>
      <c r="B25" s="1"/>
      <c r="C25" s="2">
        <f t="shared" si="2"/>
        <v>0</v>
      </c>
      <c r="D25" s="97"/>
      <c r="E25" s="97">
        <f t="shared" si="3"/>
        <v>33.840000000000003</v>
      </c>
      <c r="F25" s="62"/>
      <c r="G25" s="1"/>
      <c r="H25" s="2">
        <f t="shared" si="4"/>
        <v>0</v>
      </c>
      <c r="I25" s="97">
        <f t="shared" si="5"/>
        <v>4.6079999999999997</v>
      </c>
      <c r="J25" s="5">
        <f>340+300</f>
        <v>640</v>
      </c>
      <c r="K25" s="62"/>
      <c r="L25" s="33"/>
      <c r="M25" s="77"/>
      <c r="N25" s="63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41997</v>
      </c>
      <c r="B26" s="1"/>
      <c r="C26" s="2">
        <f t="shared" si="2"/>
        <v>0</v>
      </c>
      <c r="D26" s="97"/>
      <c r="E26" s="97">
        <f t="shared" si="3"/>
        <v>33.840000000000003</v>
      </c>
      <c r="F26" s="62"/>
      <c r="G26" s="1"/>
      <c r="H26" s="2">
        <f t="shared" si="4"/>
        <v>0</v>
      </c>
      <c r="I26" s="97">
        <f t="shared" si="5"/>
        <v>7.6391999999999998</v>
      </c>
      <c r="J26" s="5">
        <f>413+648</f>
        <v>1061</v>
      </c>
      <c r="K26" s="62"/>
      <c r="L26" s="33"/>
      <c r="M26" s="77"/>
      <c r="N26" s="63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41998</v>
      </c>
      <c r="B27" s="1"/>
      <c r="C27" s="2">
        <f t="shared" si="2"/>
        <v>0</v>
      </c>
      <c r="D27" s="97"/>
      <c r="E27" s="97">
        <f t="shared" si="3"/>
        <v>33.840000000000003</v>
      </c>
      <c r="F27" s="62"/>
      <c r="G27" s="1"/>
      <c r="H27" s="2">
        <f t="shared" si="4"/>
        <v>0</v>
      </c>
      <c r="I27" s="97">
        <f t="shared" si="5"/>
        <v>7.7976000000000001</v>
      </c>
      <c r="J27" s="5">
        <f>105+828+150</f>
        <v>1083</v>
      </c>
      <c r="K27" s="62"/>
      <c r="L27" s="33"/>
      <c r="M27" s="77"/>
      <c r="N27" s="63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41999</v>
      </c>
      <c r="B28" s="1"/>
      <c r="C28" s="2">
        <f t="shared" si="2"/>
        <v>0</v>
      </c>
      <c r="D28" s="97"/>
      <c r="E28" s="97">
        <f t="shared" si="3"/>
        <v>33.840000000000003</v>
      </c>
      <c r="F28" s="62"/>
      <c r="G28" s="1"/>
      <c r="H28" s="2">
        <f t="shared" si="4"/>
        <v>0</v>
      </c>
      <c r="I28" s="97">
        <f t="shared" si="5"/>
        <v>0</v>
      </c>
      <c r="J28" s="5"/>
      <c r="K28" s="62"/>
      <c r="L28" s="33"/>
      <c r="M28" s="77"/>
      <c r="N28" s="63">
        <f t="shared" si="0"/>
        <v>0</v>
      </c>
      <c r="O28" s="81">
        <f>340+713+753+828</f>
        <v>2634</v>
      </c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42000</v>
      </c>
      <c r="B29" s="1"/>
      <c r="C29" s="2">
        <f t="shared" si="2"/>
        <v>0</v>
      </c>
      <c r="D29" s="97"/>
      <c r="E29" s="97">
        <f t="shared" si="3"/>
        <v>33.840000000000003</v>
      </c>
      <c r="F29" s="62"/>
      <c r="G29" s="1"/>
      <c r="H29" s="2">
        <f t="shared" si="4"/>
        <v>0</v>
      </c>
      <c r="I29" s="97">
        <f t="shared" si="5"/>
        <v>7.8984000000000005</v>
      </c>
      <c r="J29" s="5">
        <f>274+425+398</f>
        <v>1097</v>
      </c>
      <c r="K29" s="62"/>
      <c r="L29" s="33"/>
      <c r="M29" s="77"/>
      <c r="N29" s="63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42001</v>
      </c>
      <c r="B30" s="1"/>
      <c r="C30" s="2">
        <f t="shared" si="2"/>
        <v>0</v>
      </c>
      <c r="D30" s="97"/>
      <c r="E30" s="97">
        <f t="shared" si="3"/>
        <v>33.840000000000003</v>
      </c>
      <c r="F30" s="62"/>
      <c r="G30" s="1"/>
      <c r="H30" s="2">
        <f t="shared" si="4"/>
        <v>0</v>
      </c>
      <c r="I30" s="97">
        <f t="shared" si="5"/>
        <v>5.9039999999999999</v>
      </c>
      <c r="J30" s="5">
        <f>190+630</f>
        <v>820</v>
      </c>
      <c r="K30" s="62"/>
      <c r="L30" s="33"/>
      <c r="M30" s="77"/>
      <c r="N30" s="63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42002</v>
      </c>
      <c r="B31" s="1"/>
      <c r="C31" s="2">
        <f t="shared" si="2"/>
        <v>0</v>
      </c>
      <c r="D31" s="116"/>
      <c r="E31" s="97">
        <f t="shared" si="3"/>
        <v>33.840000000000003</v>
      </c>
      <c r="F31" s="62"/>
      <c r="G31" s="1"/>
      <c r="H31" s="2">
        <f t="shared" si="4"/>
        <v>0</v>
      </c>
      <c r="I31" s="97">
        <f t="shared" si="5"/>
        <v>0</v>
      </c>
      <c r="J31" s="5"/>
      <c r="K31" s="62"/>
      <c r="L31" s="33"/>
      <c r="M31" s="77"/>
      <c r="N31" s="63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42003</v>
      </c>
      <c r="B32" s="1"/>
      <c r="C32" s="2">
        <f t="shared" si="2"/>
        <v>0</v>
      </c>
      <c r="D32" s="97"/>
      <c r="E32" s="97">
        <f t="shared" si="3"/>
        <v>33.840000000000003</v>
      </c>
      <c r="F32" s="62"/>
      <c r="G32" s="1"/>
      <c r="H32" s="2">
        <f t="shared" si="4"/>
        <v>0</v>
      </c>
      <c r="I32" s="97">
        <f t="shared" si="5"/>
        <v>0</v>
      </c>
      <c r="J32" s="5"/>
      <c r="K32" s="62"/>
      <c r="L32" s="42"/>
      <c r="M32" s="77"/>
      <c r="N32" s="63">
        <f t="shared" si="0"/>
        <v>0</v>
      </c>
      <c r="O32" s="81">
        <f>425+424+588+630</f>
        <v>2067</v>
      </c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42004</v>
      </c>
      <c r="B33" s="1"/>
      <c r="C33" s="2">
        <f t="shared" si="2"/>
        <v>0</v>
      </c>
      <c r="D33" s="97"/>
      <c r="E33" s="97">
        <f t="shared" si="3"/>
        <v>33.840000000000003</v>
      </c>
      <c r="F33" s="69"/>
      <c r="G33" s="55"/>
      <c r="H33" s="2">
        <f t="shared" si="4"/>
        <v>0</v>
      </c>
      <c r="I33" s="97">
        <f t="shared" si="5"/>
        <v>0</v>
      </c>
      <c r="J33" s="56"/>
      <c r="K33" s="69"/>
      <c r="L33" s="42"/>
      <c r="M33" s="100"/>
      <c r="N33" s="63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33.840000000000003</v>
      </c>
      <c r="E34" s="88">
        <f>+D34</f>
        <v>33.840000000000003</v>
      </c>
      <c r="F34" s="25"/>
      <c r="G34" s="26">
        <f>SUM(G3:G32)</f>
        <v>0</v>
      </c>
      <c r="H34" s="40">
        <f>+G34</f>
        <v>0</v>
      </c>
      <c r="I34" s="118">
        <f>SUM(I3:I33)</f>
        <v>37.727999999999994</v>
      </c>
      <c r="J34" s="27">
        <f>SUM(J3:J33)</f>
        <v>5240</v>
      </c>
      <c r="K34" s="28"/>
      <c r="L34" s="35"/>
      <c r="M34" s="83">
        <f>SUM(M3:M33)</f>
        <v>0</v>
      </c>
      <c r="N34" s="84">
        <f>SUM(N3:N33)</f>
        <v>0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D24" sqref="D24"/>
    </sheetView>
  </sheetViews>
  <sheetFormatPr defaultRowHeight="12.75" x14ac:dyDescent="0.2"/>
  <cols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8.85546875" bestFit="1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42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42005</v>
      </c>
      <c r="B3" s="1"/>
      <c r="C3" s="87">
        <f>B3</f>
        <v>0</v>
      </c>
      <c r="D3" s="97"/>
      <c r="E3" s="97">
        <f>D3</f>
        <v>0</v>
      </c>
      <c r="F3" s="96"/>
      <c r="G3" s="1"/>
      <c r="H3" s="2">
        <f>G3</f>
        <v>0</v>
      </c>
      <c r="I3" s="3">
        <f>J3*7.2/1000</f>
        <v>0</v>
      </c>
      <c r="J3" s="121"/>
      <c r="K3" s="62"/>
      <c r="L3" s="33"/>
      <c r="M3" s="72"/>
      <c r="N3" s="6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42006</v>
      </c>
      <c r="B4" s="1"/>
      <c r="C4" s="2">
        <f t="shared" ref="C4:C33" si="2">B4+C3</f>
        <v>0</v>
      </c>
      <c r="D4" s="97"/>
      <c r="E4" s="97">
        <f t="shared" ref="E4:E33" si="3">D4+E3</f>
        <v>0</v>
      </c>
      <c r="F4" s="62"/>
      <c r="G4" s="1"/>
      <c r="H4" s="2">
        <f t="shared" ref="H4:H33" si="4">H3+G4</f>
        <v>0</v>
      </c>
      <c r="I4" s="3">
        <f t="shared" ref="I4:I33" si="5">J4*7.2/1000</f>
        <v>0</v>
      </c>
      <c r="J4" s="5"/>
      <c r="K4" s="62"/>
      <c r="L4" s="34"/>
      <c r="M4" s="75"/>
      <c r="N4" s="63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42007</v>
      </c>
      <c r="B5" s="1"/>
      <c r="C5" s="2">
        <f t="shared" si="2"/>
        <v>0</v>
      </c>
      <c r="D5" s="97"/>
      <c r="E5" s="97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4"/>
      <c r="M5" s="75"/>
      <c r="N5" s="63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42008</v>
      </c>
      <c r="B6" s="1"/>
      <c r="C6" s="2">
        <f t="shared" si="2"/>
        <v>0</v>
      </c>
      <c r="D6" s="97"/>
      <c r="E6" s="97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4"/>
      <c r="M6" s="75"/>
      <c r="N6" s="63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42009</v>
      </c>
      <c r="B7" s="1"/>
      <c r="C7" s="2">
        <f t="shared" si="2"/>
        <v>0</v>
      </c>
      <c r="D7" s="97"/>
      <c r="E7" s="97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4"/>
      <c r="M7" s="75"/>
      <c r="N7" s="63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42010</v>
      </c>
      <c r="B8" s="1"/>
      <c r="C8" s="2">
        <f t="shared" si="2"/>
        <v>0</v>
      </c>
      <c r="D8" s="97"/>
      <c r="E8" s="97">
        <f t="shared" si="3"/>
        <v>0</v>
      </c>
      <c r="F8" s="62"/>
      <c r="G8" s="1"/>
      <c r="H8" s="2">
        <f t="shared" si="4"/>
        <v>0</v>
      </c>
      <c r="I8" s="3">
        <f>J8*7.2/1000</f>
        <v>0</v>
      </c>
      <c r="J8" s="65"/>
      <c r="K8" s="62"/>
      <c r="L8" s="33"/>
      <c r="M8" s="79"/>
      <c r="N8" s="63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42011</v>
      </c>
      <c r="B9" s="1"/>
      <c r="C9" s="2">
        <f t="shared" si="2"/>
        <v>0</v>
      </c>
      <c r="D9" s="97"/>
      <c r="E9" s="97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77"/>
      <c r="N9" s="63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42012</v>
      </c>
      <c r="B10" s="1"/>
      <c r="C10" s="2">
        <f t="shared" si="2"/>
        <v>0</v>
      </c>
      <c r="D10" s="97"/>
      <c r="E10" s="97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42013</v>
      </c>
      <c r="B11" s="1"/>
      <c r="C11" s="2">
        <f t="shared" si="2"/>
        <v>0</v>
      </c>
      <c r="D11" s="97"/>
      <c r="E11" s="97">
        <f t="shared" si="3"/>
        <v>0</v>
      </c>
      <c r="F11" s="4"/>
      <c r="G11" s="1"/>
      <c r="H11" s="2">
        <f t="shared" si="4"/>
        <v>0</v>
      </c>
      <c r="I11" s="97">
        <f t="shared" si="5"/>
        <v>0</v>
      </c>
      <c r="J11" s="5"/>
      <c r="K11" s="62"/>
      <c r="L11" s="33"/>
      <c r="M11" s="77"/>
      <c r="N11" s="63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42014</v>
      </c>
      <c r="B12" s="1"/>
      <c r="C12" s="2">
        <f t="shared" si="2"/>
        <v>0</v>
      </c>
      <c r="D12" s="97"/>
      <c r="E12" s="97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82"/>
      <c r="N12" s="63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42015</v>
      </c>
      <c r="B13" s="1"/>
      <c r="C13" s="2">
        <f t="shared" si="2"/>
        <v>0</v>
      </c>
      <c r="D13" s="97"/>
      <c r="E13" s="97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63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42016</v>
      </c>
      <c r="B14" s="1"/>
      <c r="C14" s="2">
        <f t="shared" si="2"/>
        <v>0</v>
      </c>
      <c r="D14" s="97"/>
      <c r="E14" s="97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63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42017</v>
      </c>
      <c r="B15" s="1"/>
      <c r="C15" s="2">
        <f t="shared" si="2"/>
        <v>0</v>
      </c>
      <c r="D15" s="97">
        <f>1000*7.2/1000</f>
        <v>7.2</v>
      </c>
      <c r="E15" s="97">
        <f t="shared" si="3"/>
        <v>7.2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/>
      <c r="N15" s="63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42018</v>
      </c>
      <c r="B16" s="1"/>
      <c r="C16" s="2">
        <f t="shared" si="2"/>
        <v>0</v>
      </c>
      <c r="D16" s="97">
        <f>1600*7.2/1000</f>
        <v>11.52</v>
      </c>
      <c r="E16" s="97">
        <f t="shared" si="3"/>
        <v>18.72</v>
      </c>
      <c r="F16" s="96"/>
      <c r="G16" s="1"/>
      <c r="H16" s="2">
        <f t="shared" si="4"/>
        <v>0</v>
      </c>
      <c r="I16" s="3">
        <f t="shared" si="5"/>
        <v>0.54</v>
      </c>
      <c r="J16" s="5">
        <v>75</v>
      </c>
      <c r="K16" s="62"/>
      <c r="L16" s="33"/>
      <c r="M16" s="77"/>
      <c r="N16" s="63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42019</v>
      </c>
      <c r="B17" s="1"/>
      <c r="C17" s="2">
        <f t="shared" si="2"/>
        <v>0</v>
      </c>
      <c r="D17" s="97">
        <f>1610*7.2/1000</f>
        <v>11.592000000000001</v>
      </c>
      <c r="E17" s="121">
        <f t="shared" si="3"/>
        <v>30.311999999999998</v>
      </c>
      <c r="F17" s="61"/>
      <c r="G17" s="1"/>
      <c r="H17" s="2">
        <f t="shared" si="4"/>
        <v>0</v>
      </c>
      <c r="I17" s="6">
        <f t="shared" si="5"/>
        <v>7.0919999999999996</v>
      </c>
      <c r="J17" s="5">
        <v>985</v>
      </c>
      <c r="K17" s="62"/>
      <c r="L17" s="33"/>
      <c r="M17" s="77"/>
      <c r="N17" s="63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42020</v>
      </c>
      <c r="B18" s="1"/>
      <c r="C18" s="2">
        <f t="shared" si="2"/>
        <v>0</v>
      </c>
      <c r="D18" s="97">
        <f>1650*7.2/1000</f>
        <v>11.88</v>
      </c>
      <c r="E18" s="97">
        <f t="shared" si="3"/>
        <v>42.192</v>
      </c>
      <c r="F18" s="67"/>
      <c r="G18" s="1"/>
      <c r="H18" s="2">
        <f t="shared" si="4"/>
        <v>0</v>
      </c>
      <c r="I18" s="3">
        <f t="shared" si="5"/>
        <v>11.0448</v>
      </c>
      <c r="J18" s="5">
        <f>766+768</f>
        <v>1534</v>
      </c>
      <c r="K18" s="62"/>
      <c r="L18" s="33"/>
      <c r="M18" s="77">
        <f>998+828+768</f>
        <v>2594</v>
      </c>
      <c r="N18" s="63">
        <f t="shared" si="0"/>
        <v>18.6768</v>
      </c>
      <c r="O18" s="122" t="s">
        <v>43</v>
      </c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42021</v>
      </c>
      <c r="B19" s="1"/>
      <c r="C19" s="2">
        <f>B19+C18</f>
        <v>0</v>
      </c>
      <c r="D19" s="97">
        <f>2035*7.2/1000</f>
        <v>14.651999999999999</v>
      </c>
      <c r="E19" s="97">
        <f t="shared" si="3"/>
        <v>56.844000000000001</v>
      </c>
      <c r="F19" s="39"/>
      <c r="G19" s="1"/>
      <c r="H19" s="2">
        <f t="shared" si="4"/>
        <v>0</v>
      </c>
      <c r="I19" s="3">
        <f t="shared" si="5"/>
        <v>4.0392000000000001</v>
      </c>
      <c r="J19" s="5">
        <v>561</v>
      </c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42022</v>
      </c>
      <c r="B20" s="1"/>
      <c r="C20" s="2">
        <f t="shared" si="2"/>
        <v>0</v>
      </c>
      <c r="D20" s="97">
        <f>1405*7.2/1000</f>
        <v>10.116</v>
      </c>
      <c r="E20" s="97">
        <f t="shared" si="3"/>
        <v>66.960000000000008</v>
      </c>
      <c r="F20" s="67"/>
      <c r="G20" s="1"/>
      <c r="H20" s="2">
        <f t="shared" si="4"/>
        <v>0</v>
      </c>
      <c r="I20" s="3">
        <f t="shared" si="5"/>
        <v>7.74</v>
      </c>
      <c r="J20" s="5">
        <f>277+768+30</f>
        <v>1075</v>
      </c>
      <c r="K20" s="62"/>
      <c r="L20" s="33"/>
      <c r="M20" s="77"/>
      <c r="N20" s="63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42023</v>
      </c>
      <c r="B21" s="1"/>
      <c r="C21" s="2">
        <f t="shared" si="2"/>
        <v>0</v>
      </c>
      <c r="D21" s="97">
        <f>2390*7.2/1000</f>
        <v>17.207999999999998</v>
      </c>
      <c r="E21" s="97">
        <f t="shared" si="3"/>
        <v>84.168000000000006</v>
      </c>
      <c r="F21" s="96"/>
      <c r="G21" s="1"/>
      <c r="H21" s="2">
        <f t="shared" si="4"/>
        <v>0</v>
      </c>
      <c r="I21" s="3">
        <f t="shared" si="5"/>
        <v>7.7616000000000005</v>
      </c>
      <c r="J21" s="5">
        <f>703+375</f>
        <v>1078</v>
      </c>
      <c r="K21" s="62"/>
      <c r="L21" s="33"/>
      <c r="M21" s="77"/>
      <c r="N21" s="63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42024</v>
      </c>
      <c r="B22" s="1"/>
      <c r="C22" s="2">
        <f t="shared" si="2"/>
        <v>0</v>
      </c>
      <c r="D22" s="97">
        <f>83*9.3/1000</f>
        <v>0.77190000000000014</v>
      </c>
      <c r="E22" s="97">
        <f t="shared" si="3"/>
        <v>84.939900000000009</v>
      </c>
      <c r="F22" s="67"/>
      <c r="G22" s="1"/>
      <c r="H22" s="2">
        <f t="shared" si="4"/>
        <v>0</v>
      </c>
      <c r="I22" s="3">
        <f t="shared" si="5"/>
        <v>8.0351999999999997</v>
      </c>
      <c r="J22" s="5">
        <f>537+579</f>
        <v>1116</v>
      </c>
      <c r="K22" s="62"/>
      <c r="L22" s="33"/>
      <c r="M22" s="77"/>
      <c r="N22" s="63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42025</v>
      </c>
      <c r="B23" s="1"/>
      <c r="C23" s="2">
        <f t="shared" si="2"/>
        <v>0</v>
      </c>
      <c r="D23" s="3"/>
      <c r="E23" s="97">
        <f t="shared" si="3"/>
        <v>84.939900000000009</v>
      </c>
      <c r="F23" s="62"/>
      <c r="G23" s="1"/>
      <c r="H23" s="2">
        <f t="shared" si="4"/>
        <v>0</v>
      </c>
      <c r="I23" s="3">
        <f t="shared" si="5"/>
        <v>8.7336000000000009</v>
      </c>
      <c r="J23" s="5">
        <f>479+734</f>
        <v>1213</v>
      </c>
      <c r="K23" s="62"/>
      <c r="L23" s="33"/>
      <c r="M23" s="77">
        <f>768+838+733+912</f>
        <v>3251</v>
      </c>
      <c r="N23" s="63">
        <f t="shared" si="0"/>
        <v>23.4072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42026</v>
      </c>
      <c r="B24" s="1"/>
      <c r="C24" s="2">
        <f t="shared" si="2"/>
        <v>0</v>
      </c>
      <c r="D24" s="97"/>
      <c r="E24" s="97">
        <f t="shared" si="3"/>
        <v>84.939900000000009</v>
      </c>
      <c r="F24" s="62"/>
      <c r="G24" s="1"/>
      <c r="H24" s="2">
        <f t="shared" si="4"/>
        <v>0</v>
      </c>
      <c r="I24" s="3">
        <f t="shared" si="5"/>
        <v>7.3079999999999998</v>
      </c>
      <c r="J24" s="5">
        <f>239+776</f>
        <v>1015</v>
      </c>
      <c r="K24" s="62"/>
      <c r="L24" s="33"/>
      <c r="M24" s="77"/>
      <c r="N24" s="63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42027</v>
      </c>
      <c r="B25" s="1"/>
      <c r="C25" s="2">
        <f t="shared" si="2"/>
        <v>0</v>
      </c>
      <c r="D25" s="97"/>
      <c r="E25" s="97">
        <f t="shared" si="3"/>
        <v>84.939900000000009</v>
      </c>
      <c r="F25" s="62"/>
      <c r="G25" s="1"/>
      <c r="H25" s="2">
        <f t="shared" si="4"/>
        <v>0</v>
      </c>
      <c r="I25" s="97">
        <f t="shared" si="5"/>
        <v>8.2799999999999994</v>
      </c>
      <c r="J25" s="5">
        <f>67+558+525</f>
        <v>1150</v>
      </c>
      <c r="K25" s="62"/>
      <c r="L25" s="33"/>
      <c r="M25" s="77"/>
      <c r="N25" s="63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42028</v>
      </c>
      <c r="B26" s="1"/>
      <c r="C26" s="2">
        <f t="shared" si="2"/>
        <v>0</v>
      </c>
      <c r="D26" s="97"/>
      <c r="E26" s="97">
        <f t="shared" si="3"/>
        <v>84.939900000000009</v>
      </c>
      <c r="F26" s="62"/>
      <c r="G26" s="1"/>
      <c r="H26" s="2">
        <f t="shared" si="4"/>
        <v>0</v>
      </c>
      <c r="I26" s="97">
        <f t="shared" si="5"/>
        <v>8.5536000000000012</v>
      </c>
      <c r="J26" s="5">
        <f>613+575</f>
        <v>1188</v>
      </c>
      <c r="K26" s="62"/>
      <c r="L26" s="33"/>
      <c r="M26" s="77"/>
      <c r="N26" s="63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42029</v>
      </c>
      <c r="B27" s="1"/>
      <c r="C27" s="2">
        <f t="shared" si="2"/>
        <v>0</v>
      </c>
      <c r="D27" s="97"/>
      <c r="E27" s="97">
        <f t="shared" si="3"/>
        <v>84.939900000000009</v>
      </c>
      <c r="F27" s="62"/>
      <c r="G27" s="1"/>
      <c r="H27" s="2">
        <f t="shared" si="4"/>
        <v>0</v>
      </c>
      <c r="I27" s="97">
        <f t="shared" si="5"/>
        <v>4.3128000000000002</v>
      </c>
      <c r="J27" s="5">
        <v>599</v>
      </c>
      <c r="K27" s="62"/>
      <c r="L27" s="33"/>
      <c r="M27" s="77"/>
      <c r="N27" s="63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42030</v>
      </c>
      <c r="B28" s="1"/>
      <c r="C28" s="2">
        <f t="shared" si="2"/>
        <v>0</v>
      </c>
      <c r="D28" s="97"/>
      <c r="E28" s="97">
        <f t="shared" si="3"/>
        <v>84.939900000000009</v>
      </c>
      <c r="F28" s="62"/>
      <c r="G28" s="1"/>
      <c r="H28" s="2">
        <f t="shared" si="4"/>
        <v>0</v>
      </c>
      <c r="I28" s="97">
        <f t="shared" si="5"/>
        <v>0</v>
      </c>
      <c r="J28" s="5"/>
      <c r="K28" s="62"/>
      <c r="L28" s="33"/>
      <c r="M28" s="77"/>
      <c r="N28" s="63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42031</v>
      </c>
      <c r="B29" s="1"/>
      <c r="C29" s="2">
        <f t="shared" si="2"/>
        <v>0</v>
      </c>
      <c r="D29" s="97"/>
      <c r="E29" s="97">
        <f t="shared" si="3"/>
        <v>84.939900000000009</v>
      </c>
      <c r="F29" s="62"/>
      <c r="G29" s="1"/>
      <c r="H29" s="2">
        <f t="shared" si="4"/>
        <v>0</v>
      </c>
      <c r="I29" s="97">
        <f t="shared" si="5"/>
        <v>0</v>
      </c>
      <c r="J29" s="5"/>
      <c r="K29" s="62"/>
      <c r="L29" s="33"/>
      <c r="M29" s="77"/>
      <c r="N29" s="63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42032</v>
      </c>
      <c r="B30" s="1"/>
      <c r="C30" s="2">
        <f t="shared" si="2"/>
        <v>0</v>
      </c>
      <c r="D30" s="97"/>
      <c r="E30" s="97">
        <f t="shared" si="3"/>
        <v>84.939900000000009</v>
      </c>
      <c r="F30" s="62"/>
      <c r="G30" s="1"/>
      <c r="H30" s="2">
        <f t="shared" si="4"/>
        <v>0</v>
      </c>
      <c r="I30" s="97">
        <f t="shared" si="5"/>
        <v>0</v>
      </c>
      <c r="J30" s="5"/>
      <c r="K30" s="62"/>
      <c r="L30" s="33"/>
      <c r="M30" s="77">
        <f>1058+973+842+558</f>
        <v>3431</v>
      </c>
      <c r="N30" s="63">
        <f t="shared" si="0"/>
        <v>24.703200000000002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42033</v>
      </c>
      <c r="B31" s="1"/>
      <c r="C31" s="2">
        <f t="shared" si="2"/>
        <v>0</v>
      </c>
      <c r="D31" s="116"/>
      <c r="E31" s="97">
        <f t="shared" si="3"/>
        <v>84.939900000000009</v>
      </c>
      <c r="F31" s="62"/>
      <c r="G31" s="1"/>
      <c r="H31" s="2">
        <f t="shared" si="4"/>
        <v>0</v>
      </c>
      <c r="I31" s="97">
        <f t="shared" si="5"/>
        <v>0</v>
      </c>
      <c r="J31" s="5"/>
      <c r="K31" s="62"/>
      <c r="L31" s="33"/>
      <c r="M31" s="77">
        <f>1138+1227</f>
        <v>2365</v>
      </c>
      <c r="N31" s="63">
        <f t="shared" si="0"/>
        <v>17.027999999999999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42034</v>
      </c>
      <c r="B32" s="1"/>
      <c r="C32" s="2">
        <f t="shared" si="2"/>
        <v>0</v>
      </c>
      <c r="D32" s="97"/>
      <c r="E32" s="97">
        <f t="shared" si="3"/>
        <v>84.939900000000009</v>
      </c>
      <c r="F32" s="62"/>
      <c r="G32" s="1"/>
      <c r="H32" s="2">
        <f t="shared" si="4"/>
        <v>0</v>
      </c>
      <c r="I32" s="97">
        <f t="shared" si="5"/>
        <v>0</v>
      </c>
      <c r="J32" s="5"/>
      <c r="K32" s="62"/>
      <c r="L32" s="42"/>
      <c r="M32" s="77"/>
      <c r="N32" s="63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42035</v>
      </c>
      <c r="B33" s="1"/>
      <c r="C33" s="2">
        <f t="shared" si="2"/>
        <v>0</v>
      </c>
      <c r="D33" s="97"/>
      <c r="E33" s="97">
        <f t="shared" si="3"/>
        <v>84.939900000000009</v>
      </c>
      <c r="F33" s="69"/>
      <c r="G33" s="55"/>
      <c r="H33" s="2">
        <f t="shared" si="4"/>
        <v>0</v>
      </c>
      <c r="I33" s="97">
        <f t="shared" si="5"/>
        <v>0</v>
      </c>
      <c r="J33" s="56"/>
      <c r="K33" s="69"/>
      <c r="L33" s="42"/>
      <c r="M33" s="100"/>
      <c r="N33" s="63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84.939900000000009</v>
      </c>
      <c r="E34" s="88">
        <f>+D34</f>
        <v>84.939900000000009</v>
      </c>
      <c r="F34" s="25"/>
      <c r="G34" s="26">
        <f>SUM(G3:G32)</f>
        <v>0</v>
      </c>
      <c r="H34" s="40">
        <f>+G34</f>
        <v>0</v>
      </c>
      <c r="I34" s="118">
        <f>SUM(I3:I33)</f>
        <v>83.44080000000001</v>
      </c>
      <c r="J34" s="27">
        <f>SUM(J3:J33)</f>
        <v>11589</v>
      </c>
      <c r="K34" s="28"/>
      <c r="L34" s="35"/>
      <c r="M34" s="83">
        <f>SUM(M3:M33)</f>
        <v>11641</v>
      </c>
      <c r="N34" s="84">
        <f>SUM(N3:N33)</f>
        <v>83.815200000000004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99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sqref="A1:IV65536"/>
    </sheetView>
  </sheetViews>
  <sheetFormatPr defaultRowHeight="12.75" x14ac:dyDescent="0.2"/>
  <cols>
    <col min="1" max="1" width="7" bestFit="1" customWidth="1"/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22.85546875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42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42036</v>
      </c>
      <c r="B3" s="1"/>
      <c r="C3" s="87">
        <f>B3</f>
        <v>0</v>
      </c>
      <c r="D3" s="97"/>
      <c r="E3" s="97">
        <f>D3</f>
        <v>0</v>
      </c>
      <c r="F3" s="96"/>
      <c r="G3" s="1"/>
      <c r="H3" s="2">
        <f>G3</f>
        <v>0</v>
      </c>
      <c r="I3" s="97">
        <f>J3*7.2/1000</f>
        <v>0</v>
      </c>
      <c r="J3" s="121"/>
      <c r="K3" s="62"/>
      <c r="L3" s="33"/>
      <c r="M3" s="72"/>
      <c r="N3" s="6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42037</v>
      </c>
      <c r="B4" s="1"/>
      <c r="C4" s="2">
        <f t="shared" ref="C4:C33" si="2">B4+C3</f>
        <v>0</v>
      </c>
      <c r="D4" s="97"/>
      <c r="E4" s="97">
        <f t="shared" ref="E4:E33" si="3">D4+E3</f>
        <v>0</v>
      </c>
      <c r="F4" s="62"/>
      <c r="G4" s="1"/>
      <c r="H4" s="2">
        <f t="shared" ref="H4:H33" si="4">H3+G4</f>
        <v>0</v>
      </c>
      <c r="I4" s="97">
        <f t="shared" ref="I4:I33" si="5">J4*7.2/1000</f>
        <v>0</v>
      </c>
      <c r="J4" s="5"/>
      <c r="K4" s="62"/>
      <c r="L4" s="34"/>
      <c r="M4" s="75"/>
      <c r="N4" s="63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42038</v>
      </c>
      <c r="B5" s="1"/>
      <c r="C5" s="2">
        <f t="shared" si="2"/>
        <v>0</v>
      </c>
      <c r="D5" s="97">
        <f>25*7.2/1000</f>
        <v>0.18</v>
      </c>
      <c r="E5" s="97">
        <f t="shared" si="3"/>
        <v>0.18</v>
      </c>
      <c r="F5" s="62" t="s">
        <v>44</v>
      </c>
      <c r="G5" s="1"/>
      <c r="H5" s="2">
        <f t="shared" si="4"/>
        <v>0</v>
      </c>
      <c r="I5" s="97">
        <f t="shared" si="5"/>
        <v>0</v>
      </c>
      <c r="J5" s="5"/>
      <c r="K5" s="62"/>
      <c r="L5" s="34"/>
      <c r="M5" s="75"/>
      <c r="N5" s="63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42039</v>
      </c>
      <c r="B6" s="1">
        <v>8</v>
      </c>
      <c r="C6" s="2">
        <f t="shared" si="2"/>
        <v>8</v>
      </c>
      <c r="D6" s="97">
        <f>750*7.2/1000</f>
        <v>5.4</v>
      </c>
      <c r="E6" s="97">
        <f t="shared" si="3"/>
        <v>5.58</v>
      </c>
      <c r="F6" s="62"/>
      <c r="G6" s="1"/>
      <c r="H6" s="2">
        <f t="shared" si="4"/>
        <v>0</v>
      </c>
      <c r="I6" s="97">
        <f t="shared" si="5"/>
        <v>0</v>
      </c>
      <c r="J6" s="5"/>
      <c r="K6" s="62"/>
      <c r="L6" s="34"/>
      <c r="M6" s="75"/>
      <c r="N6" s="63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42040</v>
      </c>
      <c r="B7" s="1">
        <v>14</v>
      </c>
      <c r="C7" s="2">
        <f t="shared" si="2"/>
        <v>22</v>
      </c>
      <c r="D7" s="97">
        <f>1770*7.2/1000</f>
        <v>12.744</v>
      </c>
      <c r="E7" s="97">
        <f t="shared" si="3"/>
        <v>18.323999999999998</v>
      </c>
      <c r="F7" s="62"/>
      <c r="G7" s="1"/>
      <c r="H7" s="2">
        <f t="shared" si="4"/>
        <v>0</v>
      </c>
      <c r="I7" s="97">
        <f t="shared" si="5"/>
        <v>0</v>
      </c>
      <c r="J7" s="5"/>
      <c r="K7" s="62"/>
      <c r="L7" s="34"/>
      <c r="M7" s="75"/>
      <c r="N7" s="63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42041</v>
      </c>
      <c r="B8" s="1">
        <v>14</v>
      </c>
      <c r="C8" s="2">
        <f t="shared" si="2"/>
        <v>36</v>
      </c>
      <c r="D8" s="97">
        <f>1590*7.2/1000</f>
        <v>11.448</v>
      </c>
      <c r="E8" s="97">
        <f t="shared" si="3"/>
        <v>29.771999999999998</v>
      </c>
      <c r="F8" s="62"/>
      <c r="G8" s="1"/>
      <c r="H8" s="2">
        <f t="shared" si="4"/>
        <v>0</v>
      </c>
      <c r="I8" s="97">
        <f>J8*7.2/1000</f>
        <v>0</v>
      </c>
      <c r="J8" s="65"/>
      <c r="K8" s="62"/>
      <c r="L8" s="33"/>
      <c r="M8" s="79"/>
      <c r="N8" s="63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42042</v>
      </c>
      <c r="B9" s="1">
        <v>14</v>
      </c>
      <c r="C9" s="2">
        <f t="shared" si="2"/>
        <v>50</v>
      </c>
      <c r="D9" s="97">
        <f>1745*7.2/1000</f>
        <v>12.564</v>
      </c>
      <c r="E9" s="97">
        <f t="shared" si="3"/>
        <v>42.335999999999999</v>
      </c>
      <c r="F9" s="62"/>
      <c r="G9" s="1"/>
      <c r="H9" s="2">
        <f t="shared" si="4"/>
        <v>0</v>
      </c>
      <c r="I9" s="97">
        <f t="shared" si="5"/>
        <v>6.8544000000000009</v>
      </c>
      <c r="J9" s="5">
        <f>748+204</f>
        <v>952</v>
      </c>
      <c r="K9" s="62"/>
      <c r="L9" s="33"/>
      <c r="M9" s="77"/>
      <c r="N9" s="63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42043</v>
      </c>
      <c r="B10" s="1">
        <v>14</v>
      </c>
      <c r="C10" s="2">
        <f t="shared" si="2"/>
        <v>64</v>
      </c>
      <c r="D10" s="97">
        <f>2530*7.2/1000</f>
        <v>18.216000000000001</v>
      </c>
      <c r="E10" s="97">
        <f t="shared" si="3"/>
        <v>60.552</v>
      </c>
      <c r="F10" s="4"/>
      <c r="G10" s="1"/>
      <c r="H10" s="2">
        <f t="shared" si="4"/>
        <v>0</v>
      </c>
      <c r="I10" s="97">
        <f t="shared" si="5"/>
        <v>5.5368000000000004</v>
      </c>
      <c r="J10" s="5">
        <f>694+75</f>
        <v>769</v>
      </c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42044</v>
      </c>
      <c r="B11" s="1">
        <v>14</v>
      </c>
      <c r="C11" s="2">
        <f t="shared" si="2"/>
        <v>78</v>
      </c>
      <c r="D11" s="97">
        <f>2505*7.2/1000</f>
        <v>18.036000000000001</v>
      </c>
      <c r="E11" s="97">
        <f t="shared" si="3"/>
        <v>78.587999999999994</v>
      </c>
      <c r="F11" s="4"/>
      <c r="G11" s="1"/>
      <c r="H11" s="2">
        <f t="shared" si="4"/>
        <v>0</v>
      </c>
      <c r="I11" s="97">
        <f t="shared" si="5"/>
        <v>5.0472000000000001</v>
      </c>
      <c r="J11" s="5">
        <f>701</f>
        <v>701</v>
      </c>
      <c r="K11" s="62"/>
      <c r="L11" s="33"/>
      <c r="M11" s="77"/>
      <c r="N11" s="63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42045</v>
      </c>
      <c r="B12" s="1">
        <v>14</v>
      </c>
      <c r="C12" s="2">
        <f t="shared" si="2"/>
        <v>92</v>
      </c>
      <c r="D12" s="97">
        <f>1933*7.2/1000</f>
        <v>13.9176</v>
      </c>
      <c r="E12" s="97">
        <f t="shared" si="3"/>
        <v>92.505599999999987</v>
      </c>
      <c r="F12" s="4"/>
      <c r="G12" s="1"/>
      <c r="H12" s="2">
        <f t="shared" si="4"/>
        <v>0</v>
      </c>
      <c r="I12" s="97">
        <f t="shared" si="5"/>
        <v>5.5224000000000002</v>
      </c>
      <c r="J12" s="5">
        <f>92+675</f>
        <v>767</v>
      </c>
      <c r="K12" s="62"/>
      <c r="L12" s="33"/>
      <c r="M12" s="82">
        <f>748+898+868</f>
        <v>2514</v>
      </c>
      <c r="N12" s="63">
        <f t="shared" si="0"/>
        <v>18.1008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42046</v>
      </c>
      <c r="B13" s="1"/>
      <c r="C13" s="2">
        <f t="shared" si="2"/>
        <v>92</v>
      </c>
      <c r="D13" s="97"/>
      <c r="E13" s="97">
        <f t="shared" si="3"/>
        <v>92.505599999999987</v>
      </c>
      <c r="F13" s="4"/>
      <c r="G13" s="1"/>
      <c r="H13" s="2">
        <f t="shared" si="4"/>
        <v>0</v>
      </c>
      <c r="I13" s="3">
        <f t="shared" si="5"/>
        <v>4.9536000000000007</v>
      </c>
      <c r="J13" s="5">
        <f>88+600</f>
        <v>688</v>
      </c>
      <c r="K13" s="62"/>
      <c r="L13" s="33"/>
      <c r="M13" s="77"/>
      <c r="N13" s="63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42047</v>
      </c>
      <c r="B14" s="1"/>
      <c r="C14" s="2">
        <f t="shared" si="2"/>
        <v>92</v>
      </c>
      <c r="D14" s="97"/>
      <c r="E14" s="97">
        <f t="shared" si="3"/>
        <v>92.505599999999987</v>
      </c>
      <c r="F14" s="39"/>
      <c r="G14" s="1"/>
      <c r="H14" s="2">
        <f t="shared" si="4"/>
        <v>0</v>
      </c>
      <c r="I14" s="3">
        <f t="shared" si="5"/>
        <v>6.4656000000000002</v>
      </c>
      <c r="J14" s="5">
        <f>223+675</f>
        <v>898</v>
      </c>
      <c r="K14" s="62"/>
      <c r="L14" s="33"/>
      <c r="M14" s="77"/>
      <c r="N14" s="63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42048</v>
      </c>
      <c r="B15" s="1"/>
      <c r="C15" s="2">
        <f t="shared" si="2"/>
        <v>92</v>
      </c>
      <c r="D15" s="97"/>
      <c r="E15" s="97">
        <f t="shared" si="3"/>
        <v>92.505599999999987</v>
      </c>
      <c r="F15" s="96"/>
      <c r="G15" s="1"/>
      <c r="H15" s="2">
        <f t="shared" si="4"/>
        <v>0</v>
      </c>
      <c r="I15" s="3">
        <f t="shared" si="5"/>
        <v>10.605600000000001</v>
      </c>
      <c r="J15" s="5">
        <f>188+878+407</f>
        <v>1473</v>
      </c>
      <c r="K15" s="62"/>
      <c r="L15" s="33"/>
      <c r="M15" s="77"/>
      <c r="N15" s="63">
        <f t="shared" si="0"/>
        <v>0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42049</v>
      </c>
      <c r="B16" s="1"/>
      <c r="C16" s="2">
        <f t="shared" si="2"/>
        <v>92</v>
      </c>
      <c r="D16" s="97"/>
      <c r="E16" s="97">
        <f t="shared" si="3"/>
        <v>92.505599999999987</v>
      </c>
      <c r="F16" s="96"/>
      <c r="G16" s="1"/>
      <c r="H16" s="2">
        <f t="shared" si="4"/>
        <v>0</v>
      </c>
      <c r="I16" s="3">
        <f t="shared" si="5"/>
        <v>9.8064</v>
      </c>
      <c r="J16" s="5">
        <f>790+572</f>
        <v>1362</v>
      </c>
      <c r="K16" s="62"/>
      <c r="L16" s="33"/>
      <c r="M16" s="77">
        <f>763+823+863+873</f>
        <v>3322</v>
      </c>
      <c r="N16" s="63">
        <f t="shared" si="0"/>
        <v>23.918400000000002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42050</v>
      </c>
      <c r="B17" s="1"/>
      <c r="C17" s="2">
        <f t="shared" si="2"/>
        <v>92</v>
      </c>
      <c r="D17" s="97"/>
      <c r="E17" s="121">
        <f t="shared" si="3"/>
        <v>92.505599999999987</v>
      </c>
      <c r="F17" s="61"/>
      <c r="G17" s="1"/>
      <c r="H17" s="2">
        <f t="shared" si="4"/>
        <v>0</v>
      </c>
      <c r="I17" s="6">
        <f t="shared" si="5"/>
        <v>7.5096000000000007</v>
      </c>
      <c r="J17" s="5">
        <f>756+287</f>
        <v>1043</v>
      </c>
      <c r="K17" s="62"/>
      <c r="L17" s="33"/>
      <c r="M17" s="77"/>
      <c r="N17" s="63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42051</v>
      </c>
      <c r="B18" s="1"/>
      <c r="C18" s="2">
        <f t="shared" si="2"/>
        <v>92</v>
      </c>
      <c r="D18" s="97"/>
      <c r="E18" s="97">
        <f t="shared" si="3"/>
        <v>92.505599999999987</v>
      </c>
      <c r="F18" s="67"/>
      <c r="G18" s="1"/>
      <c r="H18" s="2">
        <f t="shared" si="4"/>
        <v>0</v>
      </c>
      <c r="I18" s="3">
        <f t="shared" si="5"/>
        <v>9.7848000000000006</v>
      </c>
      <c r="J18" s="5">
        <f>934+425</f>
        <v>1359</v>
      </c>
      <c r="K18" s="62"/>
      <c r="L18" s="33"/>
      <c r="M18" s="77"/>
      <c r="N18" s="63">
        <f t="shared" si="0"/>
        <v>0</v>
      </c>
      <c r="O18" s="122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42052</v>
      </c>
      <c r="B19" s="1"/>
      <c r="C19" s="2">
        <f>B19+C18</f>
        <v>92</v>
      </c>
      <c r="D19" s="97"/>
      <c r="E19" s="97">
        <f t="shared" si="3"/>
        <v>92.505599999999987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42053</v>
      </c>
      <c r="B20" s="1"/>
      <c r="C20" s="2">
        <f t="shared" si="2"/>
        <v>92</v>
      </c>
      <c r="D20" s="97"/>
      <c r="E20" s="97">
        <f t="shared" si="3"/>
        <v>92.505599999999987</v>
      </c>
      <c r="F20" s="67"/>
      <c r="G20" s="1"/>
      <c r="H20" s="2">
        <f t="shared" si="4"/>
        <v>0</v>
      </c>
      <c r="I20" s="3">
        <f t="shared" si="5"/>
        <v>7.2144000000000004</v>
      </c>
      <c r="J20" s="5">
        <f>852+150</f>
        <v>1002</v>
      </c>
      <c r="K20" s="62"/>
      <c r="L20" s="33"/>
      <c r="M20" s="77"/>
      <c r="N20" s="63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42054</v>
      </c>
      <c r="B21" s="1"/>
      <c r="C21" s="2">
        <f t="shared" si="2"/>
        <v>92</v>
      </c>
      <c r="D21" s="97"/>
      <c r="E21" s="97">
        <f t="shared" si="3"/>
        <v>92.505599999999987</v>
      </c>
      <c r="F21" s="96"/>
      <c r="G21" s="1"/>
      <c r="H21" s="2">
        <f t="shared" si="4"/>
        <v>0</v>
      </c>
      <c r="I21" s="3">
        <f t="shared" si="5"/>
        <v>7.3511999999999995</v>
      </c>
      <c r="J21" s="5">
        <v>1021</v>
      </c>
      <c r="K21" s="62"/>
      <c r="L21" s="33"/>
      <c r="M21" s="77"/>
      <c r="N21" s="63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42055</v>
      </c>
      <c r="B22" s="1"/>
      <c r="C22" s="2">
        <f t="shared" si="2"/>
        <v>92</v>
      </c>
      <c r="D22" s="97"/>
      <c r="E22" s="97">
        <f t="shared" si="3"/>
        <v>92.505599999999987</v>
      </c>
      <c r="F22" s="67"/>
      <c r="G22" s="1"/>
      <c r="H22" s="2">
        <f t="shared" si="4"/>
        <v>0</v>
      </c>
      <c r="I22" s="3">
        <f t="shared" si="5"/>
        <v>4.2048000000000005</v>
      </c>
      <c r="J22" s="5">
        <f>59+525</f>
        <v>584</v>
      </c>
      <c r="K22" s="62"/>
      <c r="L22" s="33"/>
      <c r="M22" s="77">
        <f>1197+1328+1221+1277</f>
        <v>5023</v>
      </c>
      <c r="N22" s="63">
        <f t="shared" si="0"/>
        <v>36.165599999999998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42056</v>
      </c>
      <c r="B23" s="1"/>
      <c r="C23" s="2">
        <f t="shared" si="2"/>
        <v>92</v>
      </c>
      <c r="D23" s="3"/>
      <c r="E23" s="97">
        <f t="shared" si="3"/>
        <v>92.505599999999987</v>
      </c>
      <c r="F23" s="62"/>
      <c r="G23" s="1"/>
      <c r="H23" s="2">
        <f t="shared" si="4"/>
        <v>0</v>
      </c>
      <c r="I23" s="3">
        <f t="shared" si="5"/>
        <v>2.1024000000000003</v>
      </c>
      <c r="J23" s="5">
        <v>292</v>
      </c>
      <c r="K23" s="62"/>
      <c r="L23" s="33"/>
      <c r="M23" s="77"/>
      <c r="N23" s="63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42057</v>
      </c>
      <c r="B24" s="1"/>
      <c r="C24" s="2">
        <f t="shared" si="2"/>
        <v>92</v>
      </c>
      <c r="D24" s="97"/>
      <c r="E24" s="97">
        <f t="shared" si="3"/>
        <v>92.505599999999987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63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42058</v>
      </c>
      <c r="B25" s="1"/>
      <c r="C25" s="2">
        <f t="shared" si="2"/>
        <v>92</v>
      </c>
      <c r="D25" s="97"/>
      <c r="E25" s="97">
        <f t="shared" si="3"/>
        <v>92.505599999999987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>
        <f>1230+817</f>
        <v>2047</v>
      </c>
      <c r="N25" s="63">
        <f t="shared" si="0"/>
        <v>14.7384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42059</v>
      </c>
      <c r="B26" s="1"/>
      <c r="C26" s="2">
        <f t="shared" si="2"/>
        <v>92</v>
      </c>
      <c r="D26" s="97"/>
      <c r="E26" s="97">
        <f t="shared" si="3"/>
        <v>92.505599999999987</v>
      </c>
      <c r="F26" s="62"/>
      <c r="G26" s="1"/>
      <c r="H26" s="2">
        <f t="shared" si="4"/>
        <v>0</v>
      </c>
      <c r="I26" s="97">
        <f t="shared" si="5"/>
        <v>0</v>
      </c>
      <c r="J26" s="5"/>
      <c r="K26" s="62"/>
      <c r="L26" s="33"/>
      <c r="M26" s="77"/>
      <c r="N26" s="63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42060</v>
      </c>
      <c r="B27" s="1"/>
      <c r="C27" s="2">
        <f t="shared" si="2"/>
        <v>92</v>
      </c>
      <c r="D27" s="97"/>
      <c r="E27" s="97">
        <f t="shared" si="3"/>
        <v>92.505599999999987</v>
      </c>
      <c r="F27" s="62"/>
      <c r="G27" s="1"/>
      <c r="H27" s="2">
        <f t="shared" si="4"/>
        <v>0</v>
      </c>
      <c r="I27" s="97">
        <f t="shared" si="5"/>
        <v>0</v>
      </c>
      <c r="J27" s="5"/>
      <c r="K27" s="62"/>
      <c r="L27" s="33"/>
      <c r="M27" s="77"/>
      <c r="N27" s="63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42061</v>
      </c>
      <c r="B28" s="1"/>
      <c r="C28" s="2">
        <f t="shared" si="2"/>
        <v>92</v>
      </c>
      <c r="D28" s="97"/>
      <c r="E28" s="97">
        <f t="shared" si="3"/>
        <v>92.505599999999987</v>
      </c>
      <c r="F28" s="62"/>
      <c r="G28" s="1"/>
      <c r="H28" s="2">
        <f t="shared" si="4"/>
        <v>0</v>
      </c>
      <c r="I28" s="97">
        <f t="shared" si="5"/>
        <v>0</v>
      </c>
      <c r="J28" s="5"/>
      <c r="K28" s="62"/>
      <c r="L28" s="33"/>
      <c r="M28" s="77"/>
      <c r="N28" s="63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42062</v>
      </c>
      <c r="B29" s="1"/>
      <c r="C29" s="2">
        <f t="shared" si="2"/>
        <v>92</v>
      </c>
      <c r="D29" s="97"/>
      <c r="E29" s="97">
        <f t="shared" si="3"/>
        <v>92.505599999999987</v>
      </c>
      <c r="F29" s="62"/>
      <c r="G29" s="1"/>
      <c r="H29" s="2">
        <f t="shared" si="4"/>
        <v>0</v>
      </c>
      <c r="I29" s="97">
        <f t="shared" si="5"/>
        <v>0</v>
      </c>
      <c r="J29" s="5"/>
      <c r="K29" s="62"/>
      <c r="L29" s="33"/>
      <c r="M29" s="77"/>
      <c r="N29" s="63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42063</v>
      </c>
      <c r="B30" s="1"/>
      <c r="C30" s="2">
        <f t="shared" si="2"/>
        <v>92</v>
      </c>
      <c r="D30" s="97"/>
      <c r="E30" s="97">
        <f t="shared" si="3"/>
        <v>92.505599999999987</v>
      </c>
      <c r="F30" s="62"/>
      <c r="G30" s="1"/>
      <c r="H30" s="2">
        <f t="shared" si="4"/>
        <v>0</v>
      </c>
      <c r="I30" s="97">
        <f t="shared" si="5"/>
        <v>0</v>
      </c>
      <c r="J30" s="5"/>
      <c r="K30" s="62"/>
      <c r="L30" s="33"/>
      <c r="M30" s="77"/>
      <c r="N30" s="63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42064</v>
      </c>
      <c r="B31" s="1"/>
      <c r="C31" s="2">
        <f t="shared" si="2"/>
        <v>92</v>
      </c>
      <c r="D31" s="116"/>
      <c r="E31" s="97">
        <f t="shared" si="3"/>
        <v>92.505599999999987</v>
      </c>
      <c r="F31" s="62"/>
      <c r="G31" s="1"/>
      <c r="H31" s="2">
        <f t="shared" si="4"/>
        <v>0</v>
      </c>
      <c r="I31" s="97">
        <f t="shared" si="5"/>
        <v>0</v>
      </c>
      <c r="J31" s="5"/>
      <c r="K31" s="62"/>
      <c r="L31" s="33"/>
      <c r="M31" s="77"/>
      <c r="N31" s="63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42065</v>
      </c>
      <c r="B32" s="1"/>
      <c r="C32" s="2">
        <f t="shared" si="2"/>
        <v>92</v>
      </c>
      <c r="D32" s="97"/>
      <c r="E32" s="97">
        <f t="shared" si="3"/>
        <v>92.505599999999987</v>
      </c>
      <c r="F32" s="62"/>
      <c r="G32" s="1"/>
      <c r="H32" s="2">
        <f t="shared" si="4"/>
        <v>0</v>
      </c>
      <c r="I32" s="97">
        <f t="shared" si="5"/>
        <v>0</v>
      </c>
      <c r="J32" s="5"/>
      <c r="K32" s="62"/>
      <c r="L32" s="42"/>
      <c r="M32" s="77"/>
      <c r="N32" s="63">
        <f t="shared" si="0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42066</v>
      </c>
      <c r="B33" s="1"/>
      <c r="C33" s="2">
        <f t="shared" si="2"/>
        <v>92</v>
      </c>
      <c r="D33" s="97"/>
      <c r="E33" s="97">
        <f t="shared" si="3"/>
        <v>92.505599999999987</v>
      </c>
      <c r="F33" s="69"/>
      <c r="G33" s="55"/>
      <c r="H33" s="2">
        <f t="shared" si="4"/>
        <v>0</v>
      </c>
      <c r="I33" s="97">
        <f t="shared" si="5"/>
        <v>0</v>
      </c>
      <c r="J33" s="56"/>
      <c r="K33" s="69"/>
      <c r="L33" s="42"/>
      <c r="M33" s="100"/>
      <c r="N33" s="63">
        <f t="shared" si="0"/>
        <v>0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92</v>
      </c>
      <c r="C34" s="40">
        <f>+B34</f>
        <v>92</v>
      </c>
      <c r="D34" s="88">
        <f>SUM(D3:D33)</f>
        <v>92.505599999999987</v>
      </c>
      <c r="E34" s="88">
        <f>+D34</f>
        <v>92.505599999999987</v>
      </c>
      <c r="F34" s="25"/>
      <c r="G34" s="26">
        <f>SUM(G3:G32)</f>
        <v>0</v>
      </c>
      <c r="H34" s="40">
        <f>+G34</f>
        <v>0</v>
      </c>
      <c r="I34" s="118">
        <f>SUM(I3:I33)</f>
        <v>92.95920000000001</v>
      </c>
      <c r="J34" s="27">
        <f>SUM(J3:J33)</f>
        <v>12911</v>
      </c>
      <c r="K34" s="28"/>
      <c r="L34" s="35"/>
      <c r="M34" s="83">
        <f>SUM(M3:M33)</f>
        <v>12906</v>
      </c>
      <c r="N34" s="84">
        <f>SUM(N3:N33)</f>
        <v>92.923199999999994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123"/>
      <c r="S35" s="98"/>
      <c r="X35" s="99"/>
    </row>
    <row r="36" spans="1:25" x14ac:dyDescent="0.2">
      <c r="C36" s="99"/>
      <c r="D36" s="91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workbookViewId="0">
      <selection sqref="A1:F1"/>
    </sheetView>
  </sheetViews>
  <sheetFormatPr defaultRowHeight="12.75" x14ac:dyDescent="0.2"/>
  <cols>
    <col min="1" max="1" width="7" bestFit="1" customWidth="1"/>
    <col min="2" max="2" width="9.7109375" bestFit="1" customWidth="1"/>
    <col min="3" max="3" width="13.42578125" customWidth="1"/>
    <col min="4" max="4" width="10.7109375" bestFit="1" customWidth="1"/>
    <col min="5" max="5" width="13.140625" bestFit="1" customWidth="1"/>
    <col min="6" max="6" width="22.85546875" customWidth="1"/>
    <col min="7" max="7" width="13.85546875" customWidth="1"/>
    <col min="8" max="8" width="13.140625" customWidth="1"/>
    <col min="9" max="9" width="10.7109375" customWidth="1"/>
    <col min="10" max="10" width="9.140625" customWidth="1"/>
    <col min="11" max="11" width="10" customWidth="1"/>
    <col min="12" max="12" width="6.5703125" customWidth="1"/>
    <col min="13" max="13" width="10.85546875" customWidth="1"/>
    <col min="14" max="14" width="9.140625" customWidth="1"/>
    <col min="15" max="15" width="11.2851562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6.5" thickBot="1" x14ac:dyDescent="0.3">
      <c r="A1" s="218" t="s">
        <v>42</v>
      </c>
      <c r="B1" s="219"/>
      <c r="C1" s="219"/>
      <c r="D1" s="219"/>
      <c r="E1" s="219"/>
      <c r="F1" s="220"/>
      <c r="G1" s="218" t="s">
        <v>22</v>
      </c>
      <c r="H1" s="219"/>
      <c r="I1" s="219"/>
      <c r="J1" s="219"/>
      <c r="K1" s="220"/>
      <c r="L1" s="31"/>
      <c r="M1" s="221" t="s">
        <v>17</v>
      </c>
      <c r="N1" s="221"/>
      <c r="Q1" s="219" t="s">
        <v>29</v>
      </c>
      <c r="R1" s="219"/>
      <c r="S1" s="219"/>
      <c r="T1" s="219"/>
      <c r="U1" s="220"/>
      <c r="W1" s="37" t="s">
        <v>30</v>
      </c>
    </row>
    <row r="2" spans="1:25" ht="44.25" thickBot="1" x14ac:dyDescent="0.3">
      <c r="A2" s="18" t="s">
        <v>1</v>
      </c>
      <c r="B2" s="19" t="s">
        <v>2</v>
      </c>
      <c r="C2" s="120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71" t="s">
        <v>9</v>
      </c>
      <c r="N2" s="10" t="s">
        <v>10</v>
      </c>
      <c r="O2" s="10" t="s">
        <v>11</v>
      </c>
      <c r="Q2" s="19" t="s">
        <v>6</v>
      </c>
      <c r="R2" s="19" t="s">
        <v>3</v>
      </c>
      <c r="S2" s="15" t="s">
        <v>4</v>
      </c>
      <c r="T2" s="15" t="s">
        <v>7</v>
      </c>
      <c r="U2" s="21" t="s">
        <v>5</v>
      </c>
      <c r="W2" s="36" t="s">
        <v>9</v>
      </c>
      <c r="X2" s="10" t="s">
        <v>10</v>
      </c>
      <c r="Y2" s="10" t="s">
        <v>11</v>
      </c>
    </row>
    <row r="3" spans="1:25" ht="15" x14ac:dyDescent="0.2">
      <c r="A3" s="11">
        <v>42064</v>
      </c>
      <c r="B3" s="1"/>
      <c r="C3" s="87">
        <f>B3</f>
        <v>0</v>
      </c>
      <c r="D3" s="97"/>
      <c r="E3" s="97">
        <f>D3</f>
        <v>0</v>
      </c>
      <c r="F3" s="96"/>
      <c r="G3" s="1"/>
      <c r="H3" s="2">
        <f>G3</f>
        <v>0</v>
      </c>
      <c r="I3" s="97">
        <f>J3*7.2/1000</f>
        <v>0</v>
      </c>
      <c r="J3" s="121"/>
      <c r="K3" s="62"/>
      <c r="L3" s="33"/>
      <c r="M3" s="72"/>
      <c r="N3" s="63">
        <f t="shared" ref="N3:N33" si="0">+M3*7.2/1000</f>
        <v>0</v>
      </c>
      <c r="O3" s="74"/>
      <c r="Q3" s="1"/>
      <c r="R3" s="2">
        <f>Q3</f>
        <v>0</v>
      </c>
      <c r="S3" s="97">
        <f>T3*9.6/1000</f>
        <v>0</v>
      </c>
      <c r="T3" s="5"/>
      <c r="U3" s="62"/>
      <c r="W3" s="30"/>
      <c r="X3" s="63">
        <f>+W3*9.6/1000</f>
        <v>0</v>
      </c>
      <c r="Y3" s="38"/>
    </row>
    <row r="4" spans="1:25" ht="15" x14ac:dyDescent="0.25">
      <c r="A4" s="11">
        <f t="shared" ref="A4:A33" si="1">A3+1</f>
        <v>42065</v>
      </c>
      <c r="B4" s="1"/>
      <c r="C4" s="2">
        <f t="shared" ref="C4:C33" si="2">B4+C3</f>
        <v>0</v>
      </c>
      <c r="D4" s="97">
        <f>1105*7.2/1000</f>
        <v>7.9560000000000004</v>
      </c>
      <c r="E4" s="97">
        <f t="shared" ref="E4:E33" si="3">D4+E3</f>
        <v>7.9560000000000004</v>
      </c>
      <c r="F4" s="62"/>
      <c r="G4" s="1"/>
      <c r="H4" s="2">
        <f t="shared" ref="H4:H33" si="4">H3+G4</f>
        <v>0</v>
      </c>
      <c r="I4" s="97">
        <f t="shared" ref="I4:I33" si="5">J4*7.2/1000</f>
        <v>0</v>
      </c>
      <c r="J4" s="5"/>
      <c r="K4" s="62"/>
      <c r="L4" s="34"/>
      <c r="M4" s="75"/>
      <c r="N4" s="63">
        <f t="shared" si="0"/>
        <v>0</v>
      </c>
      <c r="O4" s="76"/>
      <c r="Q4" s="1"/>
      <c r="R4" s="2">
        <f t="shared" ref="R4:R33" si="6">R3+Q4</f>
        <v>0</v>
      </c>
      <c r="S4" s="97">
        <f t="shared" ref="S4:S33" si="7">T4*9.6/1000</f>
        <v>0</v>
      </c>
      <c r="T4" s="5"/>
      <c r="U4" s="62"/>
      <c r="W4" s="44"/>
      <c r="X4" s="63">
        <f t="shared" ref="X4:X33" si="8">+W4*9.6/1000</f>
        <v>0</v>
      </c>
      <c r="Y4" s="38"/>
    </row>
    <row r="5" spans="1:25" ht="15" x14ac:dyDescent="0.25">
      <c r="A5" s="11">
        <f t="shared" si="1"/>
        <v>42066</v>
      </c>
      <c r="B5" s="1"/>
      <c r="C5" s="2">
        <f t="shared" si="2"/>
        <v>0</v>
      </c>
      <c r="D5" s="97">
        <f>1409*7.2/1000</f>
        <v>10.144800000000002</v>
      </c>
      <c r="E5" s="97">
        <f t="shared" si="3"/>
        <v>18.100800000000003</v>
      </c>
      <c r="F5" s="62"/>
      <c r="G5" s="1"/>
      <c r="H5" s="2">
        <f t="shared" si="4"/>
        <v>0</v>
      </c>
      <c r="I5" s="97">
        <f t="shared" si="5"/>
        <v>2.3904000000000001</v>
      </c>
      <c r="J5" s="5">
        <f>300+32</f>
        <v>332</v>
      </c>
      <c r="K5" s="62"/>
      <c r="L5" s="34"/>
      <c r="M5" s="75"/>
      <c r="N5" s="63">
        <f t="shared" si="0"/>
        <v>0</v>
      </c>
      <c r="O5" s="76"/>
      <c r="Q5" s="1"/>
      <c r="R5" s="2">
        <f t="shared" si="6"/>
        <v>0</v>
      </c>
      <c r="S5" s="97">
        <f t="shared" si="7"/>
        <v>0</v>
      </c>
      <c r="T5" s="5"/>
      <c r="U5" s="62"/>
      <c r="W5" s="44"/>
      <c r="X5" s="63">
        <f t="shared" si="8"/>
        <v>0</v>
      </c>
      <c r="Y5" s="38"/>
    </row>
    <row r="6" spans="1:25" ht="15" x14ac:dyDescent="0.25">
      <c r="A6" s="11">
        <f t="shared" si="1"/>
        <v>42067</v>
      </c>
      <c r="B6" s="1"/>
      <c r="C6" s="2">
        <f t="shared" si="2"/>
        <v>0</v>
      </c>
      <c r="D6" s="97"/>
      <c r="E6" s="97">
        <f t="shared" si="3"/>
        <v>18.100800000000003</v>
      </c>
      <c r="F6" s="62"/>
      <c r="G6" s="1"/>
      <c r="H6" s="2">
        <f t="shared" si="4"/>
        <v>0</v>
      </c>
      <c r="I6" s="97">
        <f t="shared" si="5"/>
        <v>0</v>
      </c>
      <c r="J6" s="5"/>
      <c r="K6" s="62"/>
      <c r="L6" s="34"/>
      <c r="M6" s="75"/>
      <c r="N6" s="63">
        <f t="shared" si="0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42068</v>
      </c>
      <c r="B7" s="1"/>
      <c r="C7" s="2">
        <f t="shared" si="2"/>
        <v>0</v>
      </c>
      <c r="D7" s="97"/>
      <c r="E7" s="97">
        <f t="shared" si="3"/>
        <v>18.100800000000003</v>
      </c>
      <c r="F7" s="62"/>
      <c r="G7" s="1"/>
      <c r="H7" s="2">
        <f t="shared" si="4"/>
        <v>0</v>
      </c>
      <c r="I7" s="97">
        <f t="shared" si="5"/>
        <v>2.8152000000000004</v>
      </c>
      <c r="J7" s="5">
        <v>391</v>
      </c>
      <c r="K7" s="62"/>
      <c r="L7" s="34"/>
      <c r="M7" s="75"/>
      <c r="N7" s="63">
        <f t="shared" si="0"/>
        <v>0</v>
      </c>
      <c r="O7" s="76"/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42069</v>
      </c>
      <c r="B8" s="1"/>
      <c r="C8" s="2">
        <f t="shared" si="2"/>
        <v>0</v>
      </c>
      <c r="D8" s="97"/>
      <c r="E8" s="97">
        <f t="shared" si="3"/>
        <v>18.100800000000003</v>
      </c>
      <c r="F8" s="62"/>
      <c r="G8" s="1"/>
      <c r="H8" s="2">
        <f t="shared" si="4"/>
        <v>0</v>
      </c>
      <c r="I8" s="97">
        <f>J8*7.2/1000</f>
        <v>0</v>
      </c>
      <c r="J8" s="65"/>
      <c r="K8" s="62"/>
      <c r="L8" s="33"/>
      <c r="M8" s="79"/>
      <c r="N8" s="63">
        <f t="shared" si="0"/>
        <v>0</v>
      </c>
      <c r="O8" s="80"/>
      <c r="Q8" s="1"/>
      <c r="R8" s="2">
        <f t="shared" si="6"/>
        <v>0</v>
      </c>
      <c r="S8" s="97">
        <f t="shared" si="7"/>
        <v>0</v>
      </c>
      <c r="T8" s="65"/>
      <c r="U8" s="96"/>
      <c r="W8" s="66"/>
      <c r="X8" s="63">
        <f t="shared" si="8"/>
        <v>0</v>
      </c>
      <c r="Y8" s="14"/>
    </row>
    <row r="9" spans="1:25" ht="15" x14ac:dyDescent="0.25">
      <c r="A9" s="11">
        <f t="shared" si="1"/>
        <v>42070</v>
      </c>
      <c r="B9" s="1"/>
      <c r="C9" s="2">
        <f t="shared" si="2"/>
        <v>0</v>
      </c>
      <c r="D9" s="97"/>
      <c r="E9" s="97">
        <f t="shared" si="3"/>
        <v>18.100800000000003</v>
      </c>
      <c r="F9" s="62"/>
      <c r="G9" s="1"/>
      <c r="H9" s="2">
        <f t="shared" si="4"/>
        <v>0</v>
      </c>
      <c r="I9" s="97">
        <f t="shared" si="5"/>
        <v>3.24</v>
      </c>
      <c r="J9" s="5">
        <f>375+75</f>
        <v>450</v>
      </c>
      <c r="K9" s="62"/>
      <c r="L9" s="33"/>
      <c r="M9" s="77"/>
      <c r="N9" s="63">
        <f t="shared" si="0"/>
        <v>0</v>
      </c>
      <c r="O9" s="81"/>
      <c r="Q9" s="1"/>
      <c r="R9" s="2">
        <f t="shared" si="6"/>
        <v>0</v>
      </c>
      <c r="S9" s="97">
        <f t="shared" si="7"/>
        <v>0</v>
      </c>
      <c r="T9" s="5"/>
      <c r="U9" s="62"/>
      <c r="W9" s="13"/>
      <c r="X9" s="63">
        <f t="shared" si="8"/>
        <v>0</v>
      </c>
      <c r="Y9" s="29"/>
    </row>
    <row r="10" spans="1:25" ht="15" x14ac:dyDescent="0.25">
      <c r="A10" s="11">
        <f t="shared" si="1"/>
        <v>42071</v>
      </c>
      <c r="B10" s="1"/>
      <c r="C10" s="2">
        <f t="shared" si="2"/>
        <v>0</v>
      </c>
      <c r="D10" s="97"/>
      <c r="E10" s="97">
        <f t="shared" si="3"/>
        <v>18.100800000000003</v>
      </c>
      <c r="F10" s="4"/>
      <c r="G10" s="1"/>
      <c r="H10" s="2">
        <f t="shared" si="4"/>
        <v>0</v>
      </c>
      <c r="I10" s="97">
        <f t="shared" si="5"/>
        <v>4.5720000000000001</v>
      </c>
      <c r="J10" s="5">
        <v>635</v>
      </c>
      <c r="K10" s="62"/>
      <c r="L10" s="33"/>
      <c r="M10" s="77"/>
      <c r="N10" s="63">
        <f t="shared" si="0"/>
        <v>0</v>
      </c>
      <c r="O10" s="76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38"/>
    </row>
    <row r="11" spans="1:25" ht="15" x14ac:dyDescent="0.25">
      <c r="A11" s="11">
        <f t="shared" si="1"/>
        <v>42072</v>
      </c>
      <c r="B11" s="1"/>
      <c r="C11" s="2">
        <f t="shared" si="2"/>
        <v>0</v>
      </c>
      <c r="D11" s="97"/>
      <c r="E11" s="97">
        <f t="shared" si="3"/>
        <v>18.100800000000003</v>
      </c>
      <c r="F11" s="4"/>
      <c r="G11" s="1"/>
      <c r="H11" s="2">
        <f t="shared" si="4"/>
        <v>0</v>
      </c>
      <c r="I11" s="97">
        <f t="shared" si="5"/>
        <v>5.1840000000000002</v>
      </c>
      <c r="J11" s="5">
        <f>290+430</f>
        <v>720</v>
      </c>
      <c r="K11" s="62"/>
      <c r="L11" s="33"/>
      <c r="M11" s="77"/>
      <c r="N11" s="63">
        <f t="shared" si="0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">
      <c r="A12" s="11">
        <f t="shared" si="1"/>
        <v>42073</v>
      </c>
      <c r="B12" s="1"/>
      <c r="C12" s="2">
        <f t="shared" si="2"/>
        <v>0</v>
      </c>
      <c r="D12" s="97"/>
      <c r="E12" s="97">
        <f t="shared" si="3"/>
        <v>18.100800000000003</v>
      </c>
      <c r="F12" s="4"/>
      <c r="G12" s="1"/>
      <c r="H12" s="2">
        <f t="shared" si="4"/>
        <v>0</v>
      </c>
      <c r="I12" s="97">
        <f t="shared" si="5"/>
        <v>0</v>
      </c>
      <c r="J12" s="5"/>
      <c r="K12" s="62"/>
      <c r="L12" s="33"/>
      <c r="M12" s="82"/>
      <c r="N12" s="63">
        <f t="shared" si="0"/>
        <v>0</v>
      </c>
      <c r="O12" s="81"/>
      <c r="Q12" s="1"/>
      <c r="R12" s="2">
        <f t="shared" si="6"/>
        <v>0</v>
      </c>
      <c r="S12" s="97">
        <f t="shared" si="7"/>
        <v>0</v>
      </c>
      <c r="T12" s="5"/>
      <c r="U12" s="62"/>
      <c r="W12" s="30"/>
      <c r="X12" s="63">
        <f t="shared" si="8"/>
        <v>0</v>
      </c>
      <c r="Y12" s="29"/>
    </row>
    <row r="13" spans="1:25" ht="15" x14ac:dyDescent="0.25">
      <c r="A13" s="11">
        <f t="shared" si="1"/>
        <v>42074</v>
      </c>
      <c r="B13" s="1"/>
      <c r="C13" s="2">
        <f t="shared" si="2"/>
        <v>0</v>
      </c>
      <c r="D13" s="97"/>
      <c r="E13" s="97">
        <f t="shared" si="3"/>
        <v>18.100800000000003</v>
      </c>
      <c r="F13" s="4"/>
      <c r="G13" s="1"/>
      <c r="H13" s="2">
        <f t="shared" si="4"/>
        <v>0</v>
      </c>
      <c r="I13" s="3">
        <f t="shared" si="5"/>
        <v>0</v>
      </c>
      <c r="J13" s="5"/>
      <c r="K13" s="62"/>
      <c r="L13" s="33"/>
      <c r="M13" s="77"/>
      <c r="N13" s="63">
        <f t="shared" si="0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13"/>
      <c r="X13" s="63">
        <f t="shared" si="8"/>
        <v>0</v>
      </c>
      <c r="Y13" s="29"/>
    </row>
    <row r="14" spans="1:25" ht="15" x14ac:dyDescent="0.25">
      <c r="A14" s="11">
        <f t="shared" si="1"/>
        <v>42075</v>
      </c>
      <c r="B14" s="1"/>
      <c r="C14" s="2">
        <f t="shared" si="2"/>
        <v>0</v>
      </c>
      <c r="D14" s="97"/>
      <c r="E14" s="97">
        <f t="shared" si="3"/>
        <v>18.100800000000003</v>
      </c>
      <c r="F14" s="67"/>
      <c r="G14" s="1"/>
      <c r="H14" s="2">
        <f t="shared" si="4"/>
        <v>0</v>
      </c>
      <c r="I14" s="3">
        <f t="shared" si="5"/>
        <v>0</v>
      </c>
      <c r="J14" s="5"/>
      <c r="K14" s="62"/>
      <c r="L14" s="33"/>
      <c r="M14" s="77"/>
      <c r="N14" s="63">
        <f t="shared" si="0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42076</v>
      </c>
      <c r="B15" s="1"/>
      <c r="C15" s="2">
        <f t="shared" si="2"/>
        <v>0</v>
      </c>
      <c r="D15" s="97"/>
      <c r="E15" s="97">
        <f t="shared" si="3"/>
        <v>18.100800000000003</v>
      </c>
      <c r="F15" s="96"/>
      <c r="G15" s="1"/>
      <c r="H15" s="2">
        <f t="shared" si="4"/>
        <v>0</v>
      </c>
      <c r="I15" s="3">
        <f t="shared" si="5"/>
        <v>0</v>
      </c>
      <c r="J15" s="5"/>
      <c r="K15" s="62"/>
      <c r="L15" s="33"/>
      <c r="M15" s="77">
        <f>300+798+1000+430</f>
        <v>2528</v>
      </c>
      <c r="N15" s="63">
        <f t="shared" si="0"/>
        <v>18.201600000000003</v>
      </c>
      <c r="O15" s="76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38"/>
    </row>
    <row r="16" spans="1:25" ht="15" x14ac:dyDescent="0.25">
      <c r="A16" s="11">
        <f t="shared" si="1"/>
        <v>42077</v>
      </c>
      <c r="B16" s="1"/>
      <c r="C16" s="2">
        <f t="shared" si="2"/>
        <v>0</v>
      </c>
      <c r="D16" s="97"/>
      <c r="E16" s="97">
        <f t="shared" si="3"/>
        <v>18.100800000000003</v>
      </c>
      <c r="F16" s="96"/>
      <c r="G16" s="1"/>
      <c r="H16" s="2">
        <f t="shared" si="4"/>
        <v>0</v>
      </c>
      <c r="I16" s="3">
        <f t="shared" si="5"/>
        <v>0</v>
      </c>
      <c r="J16" s="5"/>
      <c r="K16" s="62"/>
      <c r="L16" s="33"/>
      <c r="M16" s="77"/>
      <c r="N16" s="63">
        <f t="shared" si="0"/>
        <v>0</v>
      </c>
      <c r="O16" s="81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29"/>
    </row>
    <row r="17" spans="1:255" ht="15" x14ac:dyDescent="0.25">
      <c r="A17" s="11">
        <f t="shared" si="1"/>
        <v>42078</v>
      </c>
      <c r="B17" s="1"/>
      <c r="C17" s="2">
        <f t="shared" si="2"/>
        <v>0</v>
      </c>
      <c r="D17" s="97"/>
      <c r="E17" s="121">
        <f t="shared" si="3"/>
        <v>18.100800000000003</v>
      </c>
      <c r="F17" s="115"/>
      <c r="G17" s="1"/>
      <c r="H17" s="2">
        <f t="shared" si="4"/>
        <v>0</v>
      </c>
      <c r="I17" s="6">
        <f t="shared" si="5"/>
        <v>0</v>
      </c>
      <c r="J17" s="5"/>
      <c r="K17" s="62"/>
      <c r="L17" s="33"/>
      <c r="M17" s="77"/>
      <c r="N17" s="63">
        <f t="shared" si="0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42079</v>
      </c>
      <c r="B18" s="1"/>
      <c r="C18" s="2">
        <f t="shared" si="2"/>
        <v>0</v>
      </c>
      <c r="D18" s="97"/>
      <c r="E18" s="97">
        <f t="shared" si="3"/>
        <v>18.100800000000003</v>
      </c>
      <c r="F18" s="67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77"/>
      <c r="N18" s="63">
        <f t="shared" si="0"/>
        <v>0</v>
      </c>
      <c r="O18" s="122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42080</v>
      </c>
      <c r="B19" s="1"/>
      <c r="C19" s="2">
        <f>B19+C18</f>
        <v>0</v>
      </c>
      <c r="D19" s="97"/>
      <c r="E19" s="97">
        <f t="shared" si="3"/>
        <v>18.100800000000003</v>
      </c>
      <c r="F19" s="67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77"/>
      <c r="N19" s="63">
        <f t="shared" si="0"/>
        <v>0</v>
      </c>
      <c r="O19" s="81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42081</v>
      </c>
      <c r="B20" s="1"/>
      <c r="C20" s="2">
        <f t="shared" si="2"/>
        <v>0</v>
      </c>
      <c r="D20" s="97"/>
      <c r="E20" s="97">
        <f t="shared" si="3"/>
        <v>18.100800000000003</v>
      </c>
      <c r="F20" s="67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77"/>
      <c r="N20" s="63">
        <f t="shared" si="0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42082</v>
      </c>
      <c r="B21" s="1"/>
      <c r="C21" s="2">
        <f t="shared" si="2"/>
        <v>0</v>
      </c>
      <c r="D21" s="97"/>
      <c r="E21" s="97">
        <f t="shared" si="3"/>
        <v>18.100800000000003</v>
      </c>
      <c r="F21" s="96"/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77"/>
      <c r="N21" s="63">
        <f t="shared" si="0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42083</v>
      </c>
      <c r="B22" s="1"/>
      <c r="C22" s="2">
        <f t="shared" si="2"/>
        <v>0</v>
      </c>
      <c r="D22" s="97"/>
      <c r="E22" s="97">
        <f t="shared" si="3"/>
        <v>18.100800000000003</v>
      </c>
      <c r="F22" s="67"/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77"/>
      <c r="N22" s="63">
        <f t="shared" si="0"/>
        <v>0</v>
      </c>
      <c r="O22" s="80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14"/>
    </row>
    <row r="23" spans="1:255" ht="15" x14ac:dyDescent="0.25">
      <c r="A23" s="11">
        <f t="shared" si="1"/>
        <v>42084</v>
      </c>
      <c r="B23" s="1"/>
      <c r="C23" s="2">
        <f t="shared" si="2"/>
        <v>0</v>
      </c>
      <c r="D23" s="3"/>
      <c r="E23" s="97">
        <f t="shared" si="3"/>
        <v>18.100800000000003</v>
      </c>
      <c r="F23" s="62"/>
      <c r="G23" s="1"/>
      <c r="H23" s="2">
        <f t="shared" si="4"/>
        <v>0</v>
      </c>
      <c r="I23" s="3">
        <f t="shared" si="5"/>
        <v>0</v>
      </c>
      <c r="J23" s="5"/>
      <c r="K23" s="62"/>
      <c r="L23" s="33"/>
      <c r="M23" s="77"/>
      <c r="N23" s="63">
        <f t="shared" si="0"/>
        <v>0</v>
      </c>
      <c r="O23" s="81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29"/>
      <c r="IU23">
        <f>845+1120+1290+1460</f>
        <v>4715</v>
      </c>
    </row>
    <row r="24" spans="1:255" ht="15" x14ac:dyDescent="0.25">
      <c r="A24" s="11">
        <f t="shared" si="1"/>
        <v>42085</v>
      </c>
      <c r="B24" s="1"/>
      <c r="C24" s="2">
        <f t="shared" si="2"/>
        <v>0</v>
      </c>
      <c r="D24" s="97"/>
      <c r="E24" s="97">
        <f t="shared" si="3"/>
        <v>18.100800000000003</v>
      </c>
      <c r="F24" s="62"/>
      <c r="G24" s="1"/>
      <c r="H24" s="2">
        <f t="shared" si="4"/>
        <v>0</v>
      </c>
      <c r="I24" s="3">
        <f t="shared" si="5"/>
        <v>0</v>
      </c>
      <c r="J24" s="5"/>
      <c r="K24" s="62"/>
      <c r="L24" s="33"/>
      <c r="M24" s="77"/>
      <c r="N24" s="63">
        <f t="shared" si="0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</row>
    <row r="25" spans="1:255" ht="15" x14ac:dyDescent="0.25">
      <c r="A25" s="11">
        <f t="shared" si="1"/>
        <v>42086</v>
      </c>
      <c r="B25" s="1"/>
      <c r="C25" s="2">
        <f t="shared" si="2"/>
        <v>0</v>
      </c>
      <c r="D25" s="97"/>
      <c r="E25" s="97">
        <f t="shared" si="3"/>
        <v>18.100800000000003</v>
      </c>
      <c r="F25" s="62"/>
      <c r="G25" s="1"/>
      <c r="H25" s="2">
        <f t="shared" si="4"/>
        <v>0</v>
      </c>
      <c r="I25" s="97">
        <f t="shared" si="5"/>
        <v>0</v>
      </c>
      <c r="J25" s="5"/>
      <c r="K25" s="62"/>
      <c r="L25" s="33"/>
      <c r="M25" s="77"/>
      <c r="N25" s="63">
        <f t="shared" si="0"/>
        <v>0</v>
      </c>
      <c r="O25" s="76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38"/>
    </row>
    <row r="26" spans="1:255" ht="15" x14ac:dyDescent="0.25">
      <c r="A26" s="11">
        <f t="shared" si="1"/>
        <v>42087</v>
      </c>
      <c r="B26" s="1"/>
      <c r="C26" s="2">
        <f t="shared" si="2"/>
        <v>0</v>
      </c>
      <c r="D26" s="97">
        <f>170*7.2/1000</f>
        <v>1.224</v>
      </c>
      <c r="E26" s="97">
        <f t="shared" si="3"/>
        <v>19.324800000000003</v>
      </c>
      <c r="F26" s="62"/>
      <c r="G26" s="1"/>
      <c r="H26" s="2">
        <f t="shared" si="4"/>
        <v>0</v>
      </c>
      <c r="I26" s="97">
        <f t="shared" si="5"/>
        <v>0</v>
      </c>
      <c r="J26" s="5"/>
      <c r="K26" s="62"/>
      <c r="L26" s="33"/>
      <c r="M26" s="77"/>
      <c r="N26" s="63">
        <f t="shared" si="0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29"/>
    </row>
    <row r="27" spans="1:255" ht="15" x14ac:dyDescent="0.25">
      <c r="A27" s="11">
        <f t="shared" si="1"/>
        <v>42088</v>
      </c>
      <c r="B27" s="1"/>
      <c r="C27" s="2">
        <f t="shared" si="2"/>
        <v>0</v>
      </c>
      <c r="D27" s="97">
        <f>1280*7.2/1000</f>
        <v>9.2159999999999993</v>
      </c>
      <c r="E27" s="97">
        <f t="shared" si="3"/>
        <v>28.540800000000004</v>
      </c>
      <c r="F27" s="62"/>
      <c r="G27" s="1"/>
      <c r="H27" s="2">
        <f t="shared" si="4"/>
        <v>0</v>
      </c>
      <c r="I27" s="97">
        <f t="shared" si="5"/>
        <v>0</v>
      </c>
      <c r="J27" s="5"/>
      <c r="K27" s="62"/>
      <c r="L27" s="33"/>
      <c r="M27" s="77"/>
      <c r="N27" s="63">
        <f t="shared" si="0"/>
        <v>0</v>
      </c>
      <c r="O27" s="96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42089</v>
      </c>
      <c r="B28" s="1"/>
      <c r="C28" s="2">
        <f t="shared" si="2"/>
        <v>0</v>
      </c>
      <c r="D28" s="97">
        <f>1620*7.2/1000</f>
        <v>11.664</v>
      </c>
      <c r="E28" s="97">
        <f t="shared" si="3"/>
        <v>40.204800000000006</v>
      </c>
      <c r="F28" s="62"/>
      <c r="G28" s="1"/>
      <c r="H28" s="2">
        <f t="shared" si="4"/>
        <v>0</v>
      </c>
      <c r="I28" s="97">
        <f t="shared" si="5"/>
        <v>7.7111999999999998</v>
      </c>
      <c r="J28" s="5">
        <f>648+423</f>
        <v>1071</v>
      </c>
      <c r="K28" s="62"/>
      <c r="L28" s="33"/>
      <c r="M28" s="77"/>
      <c r="N28" s="63">
        <f t="shared" si="0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42090</v>
      </c>
      <c r="B29" s="1"/>
      <c r="C29" s="2">
        <f t="shared" si="2"/>
        <v>0</v>
      </c>
      <c r="D29" s="97">
        <f>1675*7.2/1000</f>
        <v>12.06</v>
      </c>
      <c r="E29" s="97">
        <f t="shared" si="3"/>
        <v>52.264800000000008</v>
      </c>
      <c r="F29" s="62"/>
      <c r="G29" s="1"/>
      <c r="H29" s="2">
        <f t="shared" si="4"/>
        <v>0</v>
      </c>
      <c r="I29" s="97">
        <f t="shared" si="5"/>
        <v>7.7904000000000009</v>
      </c>
      <c r="J29" s="5">
        <f>375+613+94</f>
        <v>1082</v>
      </c>
      <c r="K29" s="62"/>
      <c r="L29" s="33"/>
      <c r="M29" s="77"/>
      <c r="N29" s="63">
        <f t="shared" si="0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42091</v>
      </c>
      <c r="B30" s="1"/>
      <c r="C30" s="2">
        <f t="shared" si="2"/>
        <v>0</v>
      </c>
      <c r="D30" s="97">
        <f>1715*7.2/1000</f>
        <v>12.348000000000001</v>
      </c>
      <c r="E30" s="97">
        <f t="shared" si="3"/>
        <v>64.612800000000007</v>
      </c>
      <c r="F30" s="62"/>
      <c r="G30" s="1"/>
      <c r="H30" s="2">
        <f t="shared" si="4"/>
        <v>0</v>
      </c>
      <c r="I30" s="97">
        <f t="shared" si="5"/>
        <v>7.8911999999999995</v>
      </c>
      <c r="J30" s="5">
        <f>869+227</f>
        <v>1096</v>
      </c>
      <c r="K30" s="62"/>
      <c r="L30" s="33"/>
      <c r="M30" s="77"/>
      <c r="N30" s="63">
        <f t="shared" si="0"/>
        <v>0</v>
      </c>
      <c r="O30" s="96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14"/>
    </row>
    <row r="31" spans="1:255" ht="15" x14ac:dyDescent="0.25">
      <c r="A31" s="11">
        <f t="shared" si="1"/>
        <v>42092</v>
      </c>
      <c r="B31" s="1"/>
      <c r="C31" s="2">
        <f t="shared" si="2"/>
        <v>0</v>
      </c>
      <c r="D31" s="116">
        <f>588*7.2/1000</f>
        <v>4.2336</v>
      </c>
      <c r="E31" s="97">
        <f t="shared" si="3"/>
        <v>68.846400000000003</v>
      </c>
      <c r="F31" s="62"/>
      <c r="G31" s="1"/>
      <c r="H31" s="2">
        <f t="shared" si="4"/>
        <v>0</v>
      </c>
      <c r="I31" s="97">
        <f t="shared" si="5"/>
        <v>8.2656000000000009</v>
      </c>
      <c r="J31" s="5">
        <f>623+525</f>
        <v>1148</v>
      </c>
      <c r="K31" s="62"/>
      <c r="L31" s="33"/>
      <c r="M31" s="77"/>
      <c r="N31" s="63">
        <f t="shared" si="0"/>
        <v>0</v>
      </c>
      <c r="O31" s="81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29"/>
    </row>
    <row r="32" spans="1:255" ht="15" x14ac:dyDescent="0.25">
      <c r="A32" s="11">
        <f t="shared" si="1"/>
        <v>42093</v>
      </c>
      <c r="B32" s="1"/>
      <c r="C32" s="2">
        <f t="shared" si="2"/>
        <v>0</v>
      </c>
      <c r="D32" s="97"/>
      <c r="E32" s="97">
        <f t="shared" si="3"/>
        <v>68.846400000000003</v>
      </c>
      <c r="F32" s="62"/>
      <c r="G32" s="1"/>
      <c r="H32" s="2">
        <f t="shared" si="4"/>
        <v>0</v>
      </c>
      <c r="I32" s="97">
        <f t="shared" si="5"/>
        <v>11.584800000000001</v>
      </c>
      <c r="J32" s="5">
        <f>335+1075+199</f>
        <v>1609</v>
      </c>
      <c r="K32" s="62"/>
      <c r="L32" s="42"/>
      <c r="M32" s="77">
        <f>648+798+613+964+850+860</f>
        <v>4733</v>
      </c>
      <c r="N32" s="63">
        <f t="shared" si="0"/>
        <v>34.077599999999997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42094</v>
      </c>
      <c r="B33" s="1"/>
      <c r="C33" s="2">
        <f t="shared" si="2"/>
        <v>0</v>
      </c>
      <c r="D33" s="97"/>
      <c r="E33" s="97">
        <f t="shared" si="3"/>
        <v>68.846400000000003</v>
      </c>
      <c r="F33" s="69"/>
      <c r="G33" s="55"/>
      <c r="H33" s="2">
        <f t="shared" si="4"/>
        <v>0</v>
      </c>
      <c r="I33" s="97">
        <f t="shared" si="5"/>
        <v>7.3224000000000009</v>
      </c>
      <c r="J33" s="56">
        <v>1017</v>
      </c>
      <c r="K33" s="69"/>
      <c r="L33" s="42"/>
      <c r="M33" s="100">
        <v>2290</v>
      </c>
      <c r="N33" s="63">
        <f t="shared" si="0"/>
        <v>16.488</v>
      </c>
      <c r="O33" s="96"/>
      <c r="Q33" s="1"/>
      <c r="R33" s="2">
        <f t="shared" si="6"/>
        <v>0</v>
      </c>
      <c r="S33" s="97">
        <f t="shared" si="7"/>
        <v>0</v>
      </c>
      <c r="T33" s="56"/>
      <c r="U33" s="69"/>
      <c r="W33" s="13"/>
      <c r="X33" s="63">
        <f t="shared" si="8"/>
        <v>0</v>
      </c>
      <c r="Y33" s="29"/>
    </row>
    <row r="34" spans="1:25" ht="21" customHeight="1" thickBot="1" x14ac:dyDescent="0.3">
      <c r="A34" s="17" t="s">
        <v>8</v>
      </c>
      <c r="B34" s="40">
        <f>SUM(B3:B33)</f>
        <v>0</v>
      </c>
      <c r="C34" s="40">
        <f>+B34</f>
        <v>0</v>
      </c>
      <c r="D34" s="88">
        <f>SUM(D3:D33)</f>
        <v>68.846400000000003</v>
      </c>
      <c r="E34" s="88">
        <f>+D34</f>
        <v>68.846400000000003</v>
      </c>
      <c r="F34" s="25"/>
      <c r="G34" s="26">
        <f>SUM(G3:G32)</f>
        <v>0</v>
      </c>
      <c r="H34" s="40">
        <f>+G34</f>
        <v>0</v>
      </c>
      <c r="I34" s="118">
        <f>SUM(I3:I33)</f>
        <v>68.767200000000003</v>
      </c>
      <c r="J34" s="27">
        <f>SUM(J3:J33)</f>
        <v>9551</v>
      </c>
      <c r="K34" s="28"/>
      <c r="L34" s="35"/>
      <c r="M34" s="83">
        <f>SUM(M3:M33)</f>
        <v>9551</v>
      </c>
      <c r="N34" s="84">
        <f>SUM(N3:N33)</f>
        <v>68.767200000000003</v>
      </c>
      <c r="O34" s="85"/>
      <c r="Q34" s="95">
        <f>SUM(Q3:Q33)</f>
        <v>0</v>
      </c>
      <c r="R34" s="94">
        <f>+Q34</f>
        <v>0</v>
      </c>
      <c r="S34" s="101">
        <f>SUM(S3:S33)</f>
        <v>0</v>
      </c>
      <c r="T34" s="27">
        <f>SUM(T3:T33)</f>
        <v>0</v>
      </c>
      <c r="U34" s="28"/>
      <c r="W34" s="29">
        <f>SUM(W3:W33)</f>
        <v>0</v>
      </c>
      <c r="X34" s="63">
        <f>SUM(X3:X33)</f>
        <v>0</v>
      </c>
      <c r="Y34" s="16"/>
    </row>
    <row r="35" spans="1:25" x14ac:dyDescent="0.2">
      <c r="D35" s="64"/>
      <c r="E35" s="119"/>
      <c r="I35" s="123"/>
      <c r="S35" s="98"/>
      <c r="X35" s="99"/>
    </row>
    <row r="36" spans="1:25" x14ac:dyDescent="0.2">
      <c r="C36" s="99"/>
      <c r="D36" s="91"/>
      <c r="I36" s="99"/>
      <c r="S36" s="64"/>
      <c r="T36" s="64"/>
    </row>
    <row r="37" spans="1:25" x14ac:dyDescent="0.2">
      <c r="R37" s="64"/>
      <c r="T37" s="64"/>
    </row>
    <row r="41" spans="1:25" x14ac:dyDescent="0.2">
      <c r="D41" s="37"/>
    </row>
  </sheetData>
  <mergeCells count="4">
    <mergeCell ref="A1:F1"/>
    <mergeCell ref="G1:K1"/>
    <mergeCell ref="M1:N1"/>
    <mergeCell ref="Q1:U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workbookViewId="0">
      <pane xSplit="1" ySplit="3" topLeftCell="B17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defaultRowHeight="12.75" x14ac:dyDescent="0.2"/>
  <cols>
    <col min="1" max="1" width="9" bestFit="1" customWidth="1"/>
    <col min="2" max="2" width="7.7109375" customWidth="1"/>
    <col min="3" max="3" width="10.140625" customWidth="1"/>
    <col min="4" max="4" width="10.7109375" bestFit="1" customWidth="1"/>
    <col min="5" max="5" width="8.85546875" customWidth="1"/>
    <col min="6" max="7" width="10.5703125" customWidth="1"/>
    <col min="8" max="8" width="11" customWidth="1"/>
    <col min="9" max="9" width="12.7109375" customWidth="1"/>
    <col min="10" max="10" width="9.140625" bestFit="1" customWidth="1"/>
    <col min="11" max="11" width="15.5703125" customWidth="1"/>
    <col min="12" max="12" width="2.140625" customWidth="1"/>
    <col min="13" max="13" width="13" bestFit="1" customWidth="1"/>
    <col min="14" max="14" width="11.42578125" bestFit="1" customWidth="1"/>
    <col min="15" max="15" width="21.710937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3.5" thickBot="1" x14ac:dyDescent="0.25">
      <c r="A1" s="139" t="s">
        <v>71</v>
      </c>
      <c r="B1" s="140" t="s">
        <v>69</v>
      </c>
      <c r="C1" s="141"/>
      <c r="D1" s="141"/>
      <c r="E1" s="141"/>
      <c r="F1" s="142"/>
    </row>
    <row r="2" spans="1:25" ht="16.5" thickBot="1" x14ac:dyDescent="0.3">
      <c r="A2" s="222" t="s">
        <v>72</v>
      </c>
      <c r="B2" s="223"/>
      <c r="C2" s="223"/>
      <c r="D2" s="223"/>
      <c r="E2" s="223"/>
      <c r="F2" s="224"/>
      <c r="G2" s="225" t="s">
        <v>70</v>
      </c>
      <c r="H2" s="226"/>
      <c r="I2" s="226"/>
      <c r="J2" s="226"/>
      <c r="K2" s="227"/>
      <c r="L2" s="31"/>
      <c r="M2" s="221" t="s">
        <v>17</v>
      </c>
      <c r="N2" s="221"/>
      <c r="Q2" s="219" t="s">
        <v>29</v>
      </c>
      <c r="R2" s="219"/>
      <c r="S2" s="219"/>
      <c r="T2" s="219"/>
      <c r="U2" s="220"/>
      <c r="W2" s="37" t="s">
        <v>30</v>
      </c>
    </row>
    <row r="3" spans="1:25" ht="30" thickBot="1" x14ac:dyDescent="0.3">
      <c r="A3" s="18" t="s">
        <v>1</v>
      </c>
      <c r="B3" s="120" t="s">
        <v>2</v>
      </c>
      <c r="C3" s="120" t="s">
        <v>3</v>
      </c>
      <c r="D3" s="15" t="s">
        <v>4</v>
      </c>
      <c r="E3" s="145" t="s">
        <v>3</v>
      </c>
      <c r="F3" s="144" t="s">
        <v>54</v>
      </c>
      <c r="G3" s="120" t="s">
        <v>6</v>
      </c>
      <c r="H3" s="120" t="s">
        <v>3</v>
      </c>
      <c r="I3" s="15" t="s">
        <v>4</v>
      </c>
      <c r="J3" s="15" t="s">
        <v>7</v>
      </c>
      <c r="K3" s="146" t="s">
        <v>54</v>
      </c>
      <c r="L3" s="32"/>
      <c r="M3" s="71" t="s">
        <v>9</v>
      </c>
      <c r="N3" s="10" t="s">
        <v>10</v>
      </c>
      <c r="O3" s="10" t="s">
        <v>11</v>
      </c>
      <c r="Q3" s="19" t="s">
        <v>6</v>
      </c>
      <c r="R3" s="19" t="s">
        <v>3</v>
      </c>
      <c r="S3" s="15" t="s">
        <v>4</v>
      </c>
      <c r="T3" s="15" t="s">
        <v>7</v>
      </c>
      <c r="U3" s="21" t="s">
        <v>5</v>
      </c>
      <c r="W3" s="36" t="s">
        <v>9</v>
      </c>
      <c r="X3" s="10" t="s">
        <v>10</v>
      </c>
      <c r="Y3" s="10" t="s">
        <v>11</v>
      </c>
    </row>
    <row r="4" spans="1:25" ht="33.75" x14ac:dyDescent="0.2">
      <c r="A4" s="11">
        <v>42125</v>
      </c>
      <c r="B4" s="1"/>
      <c r="C4" s="87">
        <f>B4</f>
        <v>0</v>
      </c>
      <c r="D4" s="97"/>
      <c r="E4" s="97">
        <f>D4</f>
        <v>0</v>
      </c>
      <c r="F4" s="134" t="s">
        <v>53</v>
      </c>
      <c r="G4" s="1"/>
      <c r="H4" s="2">
        <f>G4</f>
        <v>0</v>
      </c>
      <c r="I4" s="97">
        <f t="shared" ref="I4:I9" si="0">J4*10.8/1000</f>
        <v>0</v>
      </c>
      <c r="J4" s="121"/>
      <c r="K4" s="62"/>
      <c r="L4" s="33"/>
      <c r="M4" s="72"/>
      <c r="N4" s="63">
        <f>+M4*10.8/1000</f>
        <v>0</v>
      </c>
      <c r="O4" s="74"/>
      <c r="Q4" s="1"/>
      <c r="R4" s="2">
        <f>Q4</f>
        <v>0</v>
      </c>
      <c r="S4" s="97">
        <f>T4*9.6/1000</f>
        <v>0</v>
      </c>
      <c r="T4" s="5"/>
      <c r="U4" s="62"/>
      <c r="W4" s="30"/>
      <c r="X4" s="63">
        <f>+W4*9.6/1000</f>
        <v>0</v>
      </c>
      <c r="Y4" s="38"/>
    </row>
    <row r="5" spans="1:25" ht="15" x14ac:dyDescent="0.25">
      <c r="A5" s="11">
        <f t="shared" ref="A5:A34" si="1">A4+1</f>
        <v>42126</v>
      </c>
      <c r="B5" s="1"/>
      <c r="C5" s="2">
        <f t="shared" ref="C5:C34" si="2">B5+C4</f>
        <v>0</v>
      </c>
      <c r="D5" s="97">
        <f>+(9+9.972)</f>
        <v>18.972000000000001</v>
      </c>
      <c r="E5" s="97">
        <f t="shared" ref="E5:E34" si="3">D5+E4</f>
        <v>18.972000000000001</v>
      </c>
      <c r="F5" s="62"/>
      <c r="G5" s="1"/>
      <c r="H5" s="2">
        <f t="shared" ref="H5:H34" si="4">H4+G5</f>
        <v>0</v>
      </c>
      <c r="I5" s="97">
        <f t="shared" si="0"/>
        <v>8.1107999999999993</v>
      </c>
      <c r="J5" s="5">
        <v>751</v>
      </c>
      <c r="K5" s="62"/>
      <c r="L5" s="34"/>
      <c r="M5" s="75"/>
      <c r="N5" s="63">
        <f t="shared" ref="N5:N33" si="5">+M5*10.8/1000</f>
        <v>0</v>
      </c>
      <c r="O5" s="76"/>
      <c r="Q5" s="1"/>
      <c r="R5" s="2">
        <f t="shared" ref="R5:R34" si="6">R4+Q5</f>
        <v>0</v>
      </c>
      <c r="S5" s="97">
        <f t="shared" ref="S5:S34" si="7">T5*9.6/1000</f>
        <v>0</v>
      </c>
      <c r="T5" s="5"/>
      <c r="U5" s="62"/>
      <c r="W5" s="44"/>
      <c r="X5" s="63">
        <f t="shared" ref="X5:X34" si="8">+W5*9.6/1000</f>
        <v>0</v>
      </c>
      <c r="Y5" s="38"/>
    </row>
    <row r="6" spans="1:25" ht="15" x14ac:dyDescent="0.25">
      <c r="A6" s="11">
        <f t="shared" si="1"/>
        <v>42127</v>
      </c>
      <c r="B6" s="1"/>
      <c r="C6" s="2">
        <f t="shared" si="2"/>
        <v>0</v>
      </c>
      <c r="D6" s="97">
        <f>+(890+880)*0.012</f>
        <v>21.240000000000002</v>
      </c>
      <c r="E6" s="97">
        <f t="shared" si="3"/>
        <v>40.212000000000003</v>
      </c>
      <c r="F6" s="62"/>
      <c r="G6" s="1"/>
      <c r="H6" s="2">
        <f t="shared" si="4"/>
        <v>0</v>
      </c>
      <c r="I6" s="97">
        <f t="shared" si="0"/>
        <v>7.7112000000000007</v>
      </c>
      <c r="J6" s="5">
        <f>348+366</f>
        <v>714</v>
      </c>
      <c r="K6" s="62"/>
      <c r="L6" s="34"/>
      <c r="M6" s="75"/>
      <c r="N6" s="63">
        <f t="shared" si="5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42128</v>
      </c>
      <c r="B7" s="1"/>
      <c r="C7" s="2">
        <f t="shared" si="2"/>
        <v>0</v>
      </c>
      <c r="D7" s="97">
        <f>250*0.012</f>
        <v>3</v>
      </c>
      <c r="E7" s="97">
        <f t="shared" si="3"/>
        <v>43.212000000000003</v>
      </c>
      <c r="F7" s="62"/>
      <c r="G7" s="1"/>
      <c r="H7" s="2">
        <f t="shared" si="4"/>
        <v>0</v>
      </c>
      <c r="I7" s="97">
        <f t="shared" si="0"/>
        <v>11.221200000000001</v>
      </c>
      <c r="J7" s="5">
        <f>825+214</f>
        <v>1039</v>
      </c>
      <c r="K7" s="62"/>
      <c r="L7" s="34"/>
      <c r="M7" s="75">
        <v>1099</v>
      </c>
      <c r="N7" s="63">
        <f t="shared" si="5"/>
        <v>11.869200000000001</v>
      </c>
      <c r="O7" s="76">
        <v>42109</v>
      </c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42129</v>
      </c>
      <c r="B8" s="1"/>
      <c r="C8" s="2">
        <f t="shared" si="2"/>
        <v>0</v>
      </c>
      <c r="D8" s="97"/>
      <c r="E8" s="97">
        <f t="shared" si="3"/>
        <v>43.212000000000003</v>
      </c>
      <c r="F8" s="62"/>
      <c r="G8" s="1"/>
      <c r="H8" s="2">
        <f t="shared" si="4"/>
        <v>0</v>
      </c>
      <c r="I8" s="97">
        <f t="shared" si="0"/>
        <v>11.264400000000002</v>
      </c>
      <c r="J8" s="5">
        <f>367+676</f>
        <v>1043</v>
      </c>
      <c r="K8" s="62"/>
      <c r="L8" s="34"/>
      <c r="M8" s="75">
        <f>890+1558</f>
        <v>2448</v>
      </c>
      <c r="N8" s="63">
        <f t="shared" si="5"/>
        <v>26.438400000000001</v>
      </c>
      <c r="O8" s="76">
        <v>42139</v>
      </c>
      <c r="Q8" s="1"/>
      <c r="R8" s="2">
        <f t="shared" si="6"/>
        <v>0</v>
      </c>
      <c r="S8" s="97">
        <f t="shared" si="7"/>
        <v>0</v>
      </c>
      <c r="T8" s="5"/>
      <c r="U8" s="62"/>
      <c r="W8" s="44"/>
      <c r="X8" s="63">
        <f t="shared" si="8"/>
        <v>0</v>
      </c>
      <c r="Y8" s="38"/>
    </row>
    <row r="9" spans="1:25" ht="15" x14ac:dyDescent="0.25">
      <c r="A9" s="11">
        <f t="shared" si="1"/>
        <v>42130</v>
      </c>
      <c r="B9" s="1"/>
      <c r="C9" s="2">
        <f t="shared" si="2"/>
        <v>0</v>
      </c>
      <c r="D9" s="97"/>
      <c r="E9" s="97">
        <f t="shared" si="3"/>
        <v>43.212000000000003</v>
      </c>
      <c r="F9" s="62"/>
      <c r="G9" s="1"/>
      <c r="H9" s="2">
        <f t="shared" si="4"/>
        <v>0</v>
      </c>
      <c r="I9" s="97">
        <f t="shared" si="0"/>
        <v>10.659600000000001</v>
      </c>
      <c r="J9" s="65">
        <v>987</v>
      </c>
      <c r="K9" s="62"/>
      <c r="L9" s="33"/>
      <c r="M9" s="79"/>
      <c r="N9" s="63">
        <f t="shared" si="5"/>
        <v>0</v>
      </c>
      <c r="O9" s="80"/>
      <c r="Q9" s="1"/>
      <c r="R9" s="2">
        <f t="shared" si="6"/>
        <v>0</v>
      </c>
      <c r="S9" s="97">
        <f t="shared" si="7"/>
        <v>0</v>
      </c>
      <c r="T9" s="65"/>
      <c r="U9" s="96"/>
      <c r="W9" s="66"/>
      <c r="X9" s="63">
        <f t="shared" si="8"/>
        <v>0</v>
      </c>
      <c r="Y9" s="14"/>
    </row>
    <row r="10" spans="1:25" ht="15" x14ac:dyDescent="0.25">
      <c r="A10" s="11">
        <f t="shared" si="1"/>
        <v>42131</v>
      </c>
      <c r="B10" s="1"/>
      <c r="C10" s="2">
        <f t="shared" si="2"/>
        <v>0</v>
      </c>
      <c r="D10" s="97"/>
      <c r="E10" s="97">
        <f t="shared" si="3"/>
        <v>43.212000000000003</v>
      </c>
      <c r="F10" s="62"/>
      <c r="G10" s="1"/>
      <c r="H10" s="2">
        <f t="shared" si="4"/>
        <v>0</v>
      </c>
      <c r="I10" s="97">
        <f t="shared" ref="I10:I33" si="9">J10*10.8/1000</f>
        <v>7.0740000000000007</v>
      </c>
      <c r="J10" s="5">
        <v>655</v>
      </c>
      <c r="K10" s="62"/>
      <c r="L10" s="33"/>
      <c r="M10" s="77"/>
      <c r="N10" s="63">
        <f t="shared" si="5"/>
        <v>0</v>
      </c>
      <c r="O10" s="81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29"/>
    </row>
    <row r="11" spans="1:25" ht="15" x14ac:dyDescent="0.25">
      <c r="A11" s="11">
        <f t="shared" si="1"/>
        <v>42132</v>
      </c>
      <c r="B11" s="1"/>
      <c r="C11" s="2">
        <f t="shared" si="2"/>
        <v>0</v>
      </c>
      <c r="D11" s="97"/>
      <c r="E11" s="97">
        <f t="shared" si="3"/>
        <v>43.212000000000003</v>
      </c>
      <c r="F11" s="4"/>
      <c r="G11" s="1"/>
      <c r="H11" s="2">
        <f t="shared" si="4"/>
        <v>0</v>
      </c>
      <c r="I11" s="97">
        <f t="shared" si="9"/>
        <v>2.2788000000000004</v>
      </c>
      <c r="J11" s="5">
        <v>211</v>
      </c>
      <c r="K11" s="62"/>
      <c r="L11" s="33"/>
      <c r="M11" s="77"/>
      <c r="N11" s="63">
        <f t="shared" si="5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5">
      <c r="A12" s="11">
        <f t="shared" si="1"/>
        <v>42133</v>
      </c>
      <c r="B12" s="1"/>
      <c r="C12" s="2">
        <f t="shared" si="2"/>
        <v>0</v>
      </c>
      <c r="D12" s="97"/>
      <c r="E12" s="97">
        <f t="shared" si="3"/>
        <v>43.212000000000003</v>
      </c>
      <c r="F12" s="4"/>
      <c r="G12" s="1"/>
      <c r="H12" s="2">
        <f t="shared" si="4"/>
        <v>0</v>
      </c>
      <c r="I12" s="97">
        <f t="shared" si="9"/>
        <v>0</v>
      </c>
      <c r="J12" s="5"/>
      <c r="K12" s="62"/>
      <c r="L12" s="33"/>
      <c r="M12" s="77"/>
      <c r="N12" s="63">
        <f t="shared" si="5"/>
        <v>0</v>
      </c>
      <c r="O12" s="76"/>
      <c r="Q12" s="1"/>
      <c r="R12" s="2">
        <f t="shared" si="6"/>
        <v>0</v>
      </c>
      <c r="S12" s="97">
        <f t="shared" si="7"/>
        <v>0</v>
      </c>
      <c r="T12" s="5"/>
      <c r="U12" s="62"/>
      <c r="W12" s="13"/>
      <c r="X12" s="63">
        <f t="shared" si="8"/>
        <v>0</v>
      </c>
      <c r="Y12" s="38"/>
    </row>
    <row r="13" spans="1:25" ht="15" x14ac:dyDescent="0.2">
      <c r="A13" s="11">
        <f t="shared" si="1"/>
        <v>42134</v>
      </c>
      <c r="B13" s="1"/>
      <c r="C13" s="2">
        <f t="shared" si="2"/>
        <v>0</v>
      </c>
      <c r="D13" s="97"/>
      <c r="E13" s="97">
        <f t="shared" si="3"/>
        <v>43.212000000000003</v>
      </c>
      <c r="F13" s="4"/>
      <c r="G13" s="1"/>
      <c r="H13" s="2">
        <f t="shared" si="4"/>
        <v>0</v>
      </c>
      <c r="I13" s="97">
        <f t="shared" si="9"/>
        <v>0</v>
      </c>
      <c r="J13" s="5"/>
      <c r="K13" s="62"/>
      <c r="L13" s="33"/>
      <c r="M13" s="82"/>
      <c r="N13" s="63">
        <f t="shared" si="5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30"/>
      <c r="X13" s="63">
        <f t="shared" si="8"/>
        <v>0</v>
      </c>
      <c r="Y13" s="29"/>
    </row>
    <row r="14" spans="1:25" ht="15" x14ac:dyDescent="0.25">
      <c r="A14" s="11">
        <f t="shared" si="1"/>
        <v>42135</v>
      </c>
      <c r="B14" s="1"/>
      <c r="C14" s="2">
        <f t="shared" si="2"/>
        <v>0</v>
      </c>
      <c r="D14" s="97"/>
      <c r="E14" s="97">
        <f t="shared" si="3"/>
        <v>43.212000000000003</v>
      </c>
      <c r="F14" s="4"/>
      <c r="G14" s="1"/>
      <c r="H14" s="2">
        <f t="shared" si="4"/>
        <v>0</v>
      </c>
      <c r="I14" s="97">
        <f t="shared" si="9"/>
        <v>0</v>
      </c>
      <c r="J14" s="5"/>
      <c r="K14" s="62"/>
      <c r="L14" s="33"/>
      <c r="M14" s="77"/>
      <c r="N14" s="63">
        <f t="shared" si="5"/>
        <v>0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42136</v>
      </c>
      <c r="B15" s="1"/>
      <c r="C15" s="2">
        <f t="shared" si="2"/>
        <v>0</v>
      </c>
      <c r="D15" s="97"/>
      <c r="E15" s="97">
        <f t="shared" si="3"/>
        <v>43.212000000000003</v>
      </c>
      <c r="F15" s="39"/>
      <c r="G15" s="1"/>
      <c r="H15" s="2">
        <f t="shared" si="4"/>
        <v>0</v>
      </c>
      <c r="I15" s="97">
        <f t="shared" si="9"/>
        <v>1.3391999999999999</v>
      </c>
      <c r="J15" s="5">
        <v>124</v>
      </c>
      <c r="K15" s="62"/>
      <c r="L15" s="33"/>
      <c r="M15" s="77"/>
      <c r="N15" s="63">
        <f t="shared" si="5"/>
        <v>0</v>
      </c>
      <c r="O15" s="81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29"/>
    </row>
    <row r="16" spans="1:25" ht="15" x14ac:dyDescent="0.25">
      <c r="A16" s="11">
        <f t="shared" si="1"/>
        <v>42137</v>
      </c>
      <c r="B16" s="1"/>
      <c r="C16" s="2">
        <f t="shared" si="2"/>
        <v>0</v>
      </c>
      <c r="D16" s="97">
        <f>865*12/1000</f>
        <v>10.38</v>
      </c>
      <c r="E16" s="97">
        <f t="shared" si="3"/>
        <v>53.592000000000006</v>
      </c>
      <c r="F16" s="96"/>
      <c r="G16" s="1"/>
      <c r="H16" s="2">
        <f t="shared" si="4"/>
        <v>0</v>
      </c>
      <c r="I16" s="97">
        <f t="shared" si="9"/>
        <v>2.8512000000000004</v>
      </c>
      <c r="J16" s="5">
        <f>111+153</f>
        <v>264</v>
      </c>
      <c r="K16" s="62"/>
      <c r="L16" s="33"/>
      <c r="M16" s="77">
        <f>987+977+277</f>
        <v>2241</v>
      </c>
      <c r="N16" s="63">
        <f t="shared" si="5"/>
        <v>24.202800000000003</v>
      </c>
      <c r="O16" s="76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38"/>
    </row>
    <row r="17" spans="1:255" ht="15" x14ac:dyDescent="0.25">
      <c r="A17" s="11">
        <f t="shared" si="1"/>
        <v>42138</v>
      </c>
      <c r="B17" s="1"/>
      <c r="C17" s="2">
        <f t="shared" si="2"/>
        <v>0</v>
      </c>
      <c r="D17" s="97">
        <f>1898*12/1000</f>
        <v>22.776</v>
      </c>
      <c r="E17" s="97">
        <f t="shared" si="3"/>
        <v>76.368000000000009</v>
      </c>
      <c r="F17" s="96"/>
      <c r="G17" s="1"/>
      <c r="H17" s="2">
        <f t="shared" si="4"/>
        <v>0</v>
      </c>
      <c r="I17" s="97">
        <f t="shared" si="9"/>
        <v>0</v>
      </c>
      <c r="J17" s="5"/>
      <c r="K17" s="62"/>
      <c r="L17" s="33"/>
      <c r="M17" s="77"/>
      <c r="N17" s="63">
        <f t="shared" si="5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42139</v>
      </c>
      <c r="B18" s="1"/>
      <c r="C18" s="2">
        <f t="shared" si="2"/>
        <v>0</v>
      </c>
      <c r="D18" s="97">
        <f>302*12/1000</f>
        <v>3.6240000000000001</v>
      </c>
      <c r="E18" s="121">
        <f t="shared" si="3"/>
        <v>79.992000000000004</v>
      </c>
      <c r="F18" s="96"/>
      <c r="G18" s="1"/>
      <c r="H18" s="2">
        <f t="shared" si="4"/>
        <v>0</v>
      </c>
      <c r="I18" s="97">
        <f t="shared" si="9"/>
        <v>0</v>
      </c>
      <c r="J18" s="5"/>
      <c r="K18" s="62"/>
      <c r="L18" s="33"/>
      <c r="M18" s="77"/>
      <c r="N18" s="63">
        <f t="shared" si="5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42140</v>
      </c>
      <c r="B19" s="1"/>
      <c r="C19" s="2">
        <f t="shared" si="2"/>
        <v>0</v>
      </c>
      <c r="D19" s="97"/>
      <c r="E19" s="97">
        <f t="shared" si="3"/>
        <v>79.992000000000004</v>
      </c>
      <c r="F19" s="96"/>
      <c r="G19" s="1"/>
      <c r="H19" s="2">
        <f t="shared" si="4"/>
        <v>0</v>
      </c>
      <c r="I19" s="97">
        <f t="shared" si="9"/>
        <v>0</v>
      </c>
      <c r="J19" s="5"/>
      <c r="K19" s="62"/>
      <c r="L19" s="33"/>
      <c r="M19" s="77"/>
      <c r="N19" s="63">
        <f t="shared" si="5"/>
        <v>0</v>
      </c>
      <c r="O19" s="122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42141</v>
      </c>
      <c r="B20" s="1"/>
      <c r="C20" s="2">
        <f>B20+C19</f>
        <v>0</v>
      </c>
      <c r="D20" s="97"/>
      <c r="E20" s="97">
        <f t="shared" si="3"/>
        <v>79.992000000000004</v>
      </c>
      <c r="F20" s="96"/>
      <c r="G20" s="1"/>
      <c r="H20" s="2">
        <f t="shared" si="4"/>
        <v>0</v>
      </c>
      <c r="I20" s="97">
        <f t="shared" si="9"/>
        <v>0</v>
      </c>
      <c r="J20" s="5"/>
      <c r="K20" s="62"/>
      <c r="L20" s="33"/>
      <c r="M20" s="77"/>
      <c r="N20" s="63">
        <f t="shared" si="5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42142</v>
      </c>
      <c r="B21" s="1"/>
      <c r="C21" s="2">
        <f t="shared" si="2"/>
        <v>0</v>
      </c>
      <c r="D21" s="97"/>
      <c r="E21" s="97">
        <f t="shared" si="3"/>
        <v>79.992000000000004</v>
      </c>
      <c r="F21" s="67"/>
      <c r="G21" s="1"/>
      <c r="H21" s="2">
        <f t="shared" si="4"/>
        <v>0</v>
      </c>
      <c r="I21" s="97">
        <f t="shared" si="9"/>
        <v>0.86399999999999999</v>
      </c>
      <c r="J21" s="5">
        <v>80</v>
      </c>
      <c r="K21" s="62"/>
      <c r="L21" s="33"/>
      <c r="M21" s="77"/>
      <c r="N21" s="63">
        <f t="shared" si="5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42143</v>
      </c>
      <c r="B22" s="1"/>
      <c r="C22" s="2">
        <f t="shared" si="2"/>
        <v>0</v>
      </c>
      <c r="D22" s="97"/>
      <c r="E22" s="97">
        <f t="shared" si="3"/>
        <v>79.992000000000004</v>
      </c>
      <c r="F22" s="96"/>
      <c r="G22" s="1"/>
      <c r="H22" s="2">
        <f t="shared" si="4"/>
        <v>0</v>
      </c>
      <c r="I22" s="97">
        <f t="shared" si="9"/>
        <v>5.4864000000000006</v>
      </c>
      <c r="J22" s="5">
        <v>508</v>
      </c>
      <c r="K22" s="62"/>
      <c r="L22" s="33"/>
      <c r="M22" s="77"/>
      <c r="N22" s="63">
        <f t="shared" si="5"/>
        <v>0</v>
      </c>
      <c r="O22" s="81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29"/>
    </row>
    <row r="23" spans="1:255" ht="15" x14ac:dyDescent="0.25">
      <c r="A23" s="11">
        <f t="shared" si="1"/>
        <v>42144</v>
      </c>
      <c r="B23" s="1"/>
      <c r="C23" s="2">
        <f t="shared" si="2"/>
        <v>0</v>
      </c>
      <c r="D23" s="97"/>
      <c r="E23" s="97">
        <f t="shared" si="3"/>
        <v>79.992000000000004</v>
      </c>
      <c r="F23" s="67"/>
      <c r="G23" s="1"/>
      <c r="H23" s="2">
        <f t="shared" si="4"/>
        <v>0</v>
      </c>
      <c r="I23" s="97">
        <f t="shared" si="9"/>
        <v>3.7152000000000003</v>
      </c>
      <c r="J23" s="5">
        <v>344</v>
      </c>
      <c r="K23" s="62"/>
      <c r="L23" s="33"/>
      <c r="M23" s="77"/>
      <c r="N23" s="63">
        <f t="shared" si="5"/>
        <v>0</v>
      </c>
      <c r="O23" s="80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14"/>
    </row>
    <row r="24" spans="1:255" ht="15" x14ac:dyDescent="0.25">
      <c r="A24" s="11">
        <f t="shared" si="1"/>
        <v>42145</v>
      </c>
      <c r="B24" s="1"/>
      <c r="C24" s="2">
        <f t="shared" si="2"/>
        <v>0</v>
      </c>
      <c r="D24" s="3"/>
      <c r="E24" s="97">
        <f t="shared" si="3"/>
        <v>79.992000000000004</v>
      </c>
      <c r="F24" s="62"/>
      <c r="G24" s="1"/>
      <c r="H24" s="2">
        <f t="shared" si="4"/>
        <v>0</v>
      </c>
      <c r="I24" s="97">
        <f t="shared" si="9"/>
        <v>0</v>
      </c>
      <c r="J24" s="5"/>
      <c r="K24" s="62"/>
      <c r="L24" s="33"/>
      <c r="M24" s="77"/>
      <c r="N24" s="63">
        <f t="shared" si="5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  <c r="IU24">
        <f>845+1120+1290+1460</f>
        <v>4715</v>
      </c>
    </row>
    <row r="25" spans="1:255" ht="15" x14ac:dyDescent="0.25">
      <c r="A25" s="11">
        <f t="shared" si="1"/>
        <v>42146</v>
      </c>
      <c r="B25" s="1"/>
      <c r="C25" s="2">
        <f t="shared" si="2"/>
        <v>0</v>
      </c>
      <c r="D25" s="97"/>
      <c r="E25" s="97">
        <f t="shared" si="3"/>
        <v>79.992000000000004</v>
      </c>
      <c r="F25" s="62"/>
      <c r="G25" s="1"/>
      <c r="H25" s="2">
        <f t="shared" si="4"/>
        <v>0</v>
      </c>
      <c r="I25" s="97">
        <f t="shared" si="9"/>
        <v>0</v>
      </c>
      <c r="J25" s="5"/>
      <c r="K25" s="62"/>
      <c r="L25" s="33"/>
      <c r="M25" s="77"/>
      <c r="N25" s="63">
        <f t="shared" si="5"/>
        <v>0</v>
      </c>
      <c r="O25" s="81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29"/>
    </row>
    <row r="26" spans="1:255" ht="15" x14ac:dyDescent="0.25">
      <c r="A26" s="11">
        <f t="shared" si="1"/>
        <v>42147</v>
      </c>
      <c r="B26" s="1"/>
      <c r="C26" s="2">
        <f t="shared" si="2"/>
        <v>0</v>
      </c>
      <c r="D26" s="97"/>
      <c r="E26" s="97">
        <f t="shared" si="3"/>
        <v>79.992000000000004</v>
      </c>
      <c r="F26" s="62"/>
      <c r="G26" s="1"/>
      <c r="H26" s="2">
        <f t="shared" si="4"/>
        <v>0</v>
      </c>
      <c r="I26" s="97">
        <f t="shared" si="9"/>
        <v>0.60480000000000012</v>
      </c>
      <c r="J26" s="5">
        <v>56</v>
      </c>
      <c r="K26" s="62"/>
      <c r="L26" s="33"/>
      <c r="M26" s="77"/>
      <c r="N26" s="63">
        <f t="shared" si="5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38"/>
    </row>
    <row r="27" spans="1:255" ht="15" x14ac:dyDescent="0.25">
      <c r="A27" s="11">
        <f t="shared" si="1"/>
        <v>42148</v>
      </c>
      <c r="B27" s="1"/>
      <c r="C27" s="2">
        <f t="shared" si="2"/>
        <v>0</v>
      </c>
      <c r="D27" s="97"/>
      <c r="E27" s="97">
        <f t="shared" si="3"/>
        <v>79.992000000000004</v>
      </c>
      <c r="F27" s="62"/>
      <c r="G27" s="1"/>
      <c r="H27" s="2">
        <f t="shared" si="4"/>
        <v>0</v>
      </c>
      <c r="I27" s="97">
        <f t="shared" si="9"/>
        <v>4.3092000000000006</v>
      </c>
      <c r="J27" s="5">
        <f>278+121</f>
        <v>399</v>
      </c>
      <c r="K27" s="62"/>
      <c r="L27" s="33"/>
      <c r="M27" s="77"/>
      <c r="N27" s="63">
        <f t="shared" si="5"/>
        <v>0</v>
      </c>
      <c r="O27" s="81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42149</v>
      </c>
      <c r="B28" s="1"/>
      <c r="C28" s="2">
        <f t="shared" si="2"/>
        <v>0</v>
      </c>
      <c r="D28" s="97">
        <f>207*12/1000</f>
        <v>2.484</v>
      </c>
      <c r="E28" s="97">
        <f t="shared" si="3"/>
        <v>82.475999999999999</v>
      </c>
      <c r="F28" s="62"/>
      <c r="G28" s="1"/>
      <c r="H28" s="2">
        <f t="shared" si="4"/>
        <v>0</v>
      </c>
      <c r="I28" s="97">
        <f t="shared" si="9"/>
        <v>0</v>
      </c>
      <c r="J28" s="5"/>
      <c r="K28" s="62"/>
      <c r="L28" s="33"/>
      <c r="M28" s="77"/>
      <c r="N28" s="63">
        <f t="shared" si="5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42150</v>
      </c>
      <c r="B29" s="1"/>
      <c r="C29" s="2">
        <f t="shared" si="2"/>
        <v>0</v>
      </c>
      <c r="D29" s="97"/>
      <c r="E29" s="97">
        <f t="shared" si="3"/>
        <v>82.475999999999999</v>
      </c>
      <c r="F29" s="62"/>
      <c r="G29" s="1"/>
      <c r="H29" s="2">
        <f t="shared" si="4"/>
        <v>0</v>
      </c>
      <c r="I29" s="97">
        <f t="shared" si="9"/>
        <v>0</v>
      </c>
      <c r="J29" s="5"/>
      <c r="K29" s="62"/>
      <c r="L29" s="33"/>
      <c r="M29" s="77"/>
      <c r="N29" s="63">
        <f t="shared" si="5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42151</v>
      </c>
      <c r="B30" s="1"/>
      <c r="C30" s="2">
        <f t="shared" si="2"/>
        <v>0</v>
      </c>
      <c r="D30" s="97"/>
      <c r="E30" s="97">
        <f t="shared" si="3"/>
        <v>82.475999999999999</v>
      </c>
      <c r="F30" s="62"/>
      <c r="G30" s="1"/>
      <c r="H30" s="2">
        <f t="shared" si="4"/>
        <v>0</v>
      </c>
      <c r="I30" s="97">
        <f t="shared" si="9"/>
        <v>0</v>
      </c>
      <c r="J30" s="5"/>
      <c r="K30" s="62"/>
      <c r="L30" s="33"/>
      <c r="M30" s="77"/>
      <c r="N30" s="63">
        <f t="shared" si="5"/>
        <v>0</v>
      </c>
      <c r="O30" s="81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29"/>
    </row>
    <row r="31" spans="1:255" ht="15" x14ac:dyDescent="0.25">
      <c r="A31" s="11">
        <f t="shared" si="1"/>
        <v>42152</v>
      </c>
      <c r="B31" s="1"/>
      <c r="C31" s="2">
        <f t="shared" si="2"/>
        <v>0</v>
      </c>
      <c r="D31" s="97"/>
      <c r="E31" s="97">
        <f t="shared" si="3"/>
        <v>82.475999999999999</v>
      </c>
      <c r="F31" s="62"/>
      <c r="G31" s="1"/>
      <c r="H31" s="2">
        <f t="shared" si="4"/>
        <v>0</v>
      </c>
      <c r="I31" s="97">
        <f t="shared" si="9"/>
        <v>0</v>
      </c>
      <c r="J31" s="5"/>
      <c r="K31" s="62"/>
      <c r="L31" s="33"/>
      <c r="M31" s="77">
        <v>934</v>
      </c>
      <c r="N31" s="63">
        <f t="shared" si="5"/>
        <v>10.087200000000001</v>
      </c>
      <c r="O31" s="96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14"/>
    </row>
    <row r="32" spans="1:255" ht="15" x14ac:dyDescent="0.25">
      <c r="A32" s="11">
        <f t="shared" si="1"/>
        <v>42153</v>
      </c>
      <c r="B32" s="1"/>
      <c r="C32" s="2">
        <f t="shared" si="2"/>
        <v>0</v>
      </c>
      <c r="D32" s="116"/>
      <c r="E32" s="97">
        <f t="shared" si="3"/>
        <v>82.475999999999999</v>
      </c>
      <c r="F32" s="62"/>
      <c r="G32" s="1"/>
      <c r="H32" s="2">
        <f t="shared" si="4"/>
        <v>0</v>
      </c>
      <c r="I32" s="97">
        <f t="shared" si="9"/>
        <v>7.9704000000000006</v>
      </c>
      <c r="J32" s="5">
        <f>738</f>
        <v>738</v>
      </c>
      <c r="K32" s="62"/>
      <c r="L32" s="33"/>
      <c r="M32" s="77"/>
      <c r="N32" s="63">
        <f t="shared" si="5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42154</v>
      </c>
      <c r="B33" s="1"/>
      <c r="C33" s="2">
        <f t="shared" si="2"/>
        <v>0</v>
      </c>
      <c r="D33" s="97"/>
      <c r="E33" s="97">
        <f t="shared" si="3"/>
        <v>82.475999999999999</v>
      </c>
      <c r="F33" s="62"/>
      <c r="G33" s="1"/>
      <c r="H33" s="2">
        <f t="shared" si="4"/>
        <v>0</v>
      </c>
      <c r="I33" s="97">
        <f t="shared" si="9"/>
        <v>0</v>
      </c>
      <c r="J33" s="5"/>
      <c r="K33" s="62"/>
      <c r="L33" s="42"/>
      <c r="M33" s="77">
        <f>964+335</f>
        <v>1299</v>
      </c>
      <c r="N33" s="63">
        <f t="shared" si="5"/>
        <v>14.029200000000001</v>
      </c>
      <c r="O33" s="81"/>
      <c r="Q33" s="1"/>
      <c r="R33" s="2">
        <f t="shared" si="6"/>
        <v>0</v>
      </c>
      <c r="S33" s="97">
        <f t="shared" si="7"/>
        <v>0</v>
      </c>
      <c r="T33" s="5"/>
      <c r="U33" s="62"/>
      <c r="W33" s="13"/>
      <c r="X33" s="63">
        <f t="shared" si="8"/>
        <v>0</v>
      </c>
      <c r="Y33" s="29"/>
    </row>
    <row r="34" spans="1:25" ht="15.75" hidden="1" thickBot="1" x14ac:dyDescent="0.3">
      <c r="A34" s="11">
        <f t="shared" si="1"/>
        <v>42155</v>
      </c>
      <c r="B34" s="1"/>
      <c r="C34" s="2">
        <f t="shared" si="2"/>
        <v>0</v>
      </c>
      <c r="D34" s="97"/>
      <c r="E34" s="97">
        <f t="shared" si="3"/>
        <v>82.475999999999999</v>
      </c>
      <c r="F34" s="69"/>
      <c r="G34" s="55"/>
      <c r="H34" s="2">
        <f t="shared" si="4"/>
        <v>0</v>
      </c>
      <c r="I34" s="3">
        <f t="shared" ref="I34" si="10">J34*10.8/1000</f>
        <v>0</v>
      </c>
      <c r="J34" s="56"/>
      <c r="K34" s="69"/>
      <c r="L34" s="42"/>
      <c r="M34" s="100"/>
      <c r="N34" s="63">
        <f t="shared" ref="N34" si="11">+M34*10.8/1000</f>
        <v>0</v>
      </c>
      <c r="O34" s="96"/>
      <c r="Q34" s="1"/>
      <c r="R34" s="2">
        <f t="shared" si="6"/>
        <v>0</v>
      </c>
      <c r="S34" s="97">
        <f t="shared" si="7"/>
        <v>0</v>
      </c>
      <c r="T34" s="56"/>
      <c r="U34" s="69"/>
      <c r="W34" s="13"/>
      <c r="X34" s="63">
        <f t="shared" si="8"/>
        <v>0</v>
      </c>
      <c r="Y34" s="29"/>
    </row>
    <row r="35" spans="1:25" ht="21" customHeight="1" thickBot="1" x14ac:dyDescent="0.3">
      <c r="A35" s="17" t="s">
        <v>8</v>
      </c>
      <c r="B35" s="40">
        <f>SUM(B4:B34)</f>
        <v>0</v>
      </c>
      <c r="C35" s="40">
        <f>+B35</f>
        <v>0</v>
      </c>
      <c r="D35" s="88">
        <f>SUM(D4:D34)</f>
        <v>82.475999999999999</v>
      </c>
      <c r="E35" s="88">
        <f>+D35</f>
        <v>82.475999999999999</v>
      </c>
      <c r="F35" s="25"/>
      <c r="G35" s="26">
        <f>SUM(G4:G33)</f>
        <v>0</v>
      </c>
      <c r="H35" s="40">
        <f>+G35</f>
        <v>0</v>
      </c>
      <c r="I35" s="118">
        <f>SUM(I4:I34)</f>
        <v>85.460399999999993</v>
      </c>
      <c r="J35" s="27">
        <f>SUM(J4:J34)</f>
        <v>7913</v>
      </c>
      <c r="K35" s="28"/>
      <c r="L35" s="35"/>
      <c r="M35" s="23">
        <f>SUM(M4:M34)</f>
        <v>8021</v>
      </c>
      <c r="N35" s="118">
        <f>SUM(N4:N34)</f>
        <v>86.626800000000003</v>
      </c>
      <c r="O35" s="85"/>
      <c r="Q35" s="95">
        <f>SUM(Q4:Q34)</f>
        <v>0</v>
      </c>
      <c r="R35" s="94">
        <f>+Q35</f>
        <v>0</v>
      </c>
      <c r="S35" s="101">
        <f>SUM(S4:S34)</f>
        <v>0</v>
      </c>
      <c r="T35" s="27">
        <f>SUM(T4:T34)</f>
        <v>0</v>
      </c>
      <c r="U35" s="28"/>
      <c r="W35" s="29">
        <f>SUM(W4:W34)</f>
        <v>0</v>
      </c>
      <c r="X35" s="63">
        <f>SUM(X4:X34)</f>
        <v>0</v>
      </c>
      <c r="Y35" s="16"/>
    </row>
    <row r="36" spans="1:25" x14ac:dyDescent="0.2">
      <c r="D36" s="64"/>
      <c r="E36" s="119"/>
      <c r="I36" s="123"/>
      <c r="N36" s="99"/>
      <c r="S36" s="98"/>
      <c r="X36" s="99"/>
    </row>
    <row r="37" spans="1:25" x14ac:dyDescent="0.2">
      <c r="C37" s="99"/>
      <c r="D37" s="91"/>
      <c r="I37" s="99"/>
      <c r="N37" s="99"/>
      <c r="S37" s="64"/>
      <c r="T37" s="64"/>
    </row>
    <row r="38" spans="1:25" x14ac:dyDescent="0.2">
      <c r="R38" s="64"/>
      <c r="T38" s="64"/>
    </row>
    <row r="42" spans="1:25" x14ac:dyDescent="0.2">
      <c r="D42" s="37"/>
    </row>
  </sheetData>
  <mergeCells count="4">
    <mergeCell ref="A2:F2"/>
    <mergeCell ref="G2:K2"/>
    <mergeCell ref="M2:N2"/>
    <mergeCell ref="Q2:U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F1"/>
    </sheetView>
  </sheetViews>
  <sheetFormatPr defaultRowHeight="12.75" x14ac:dyDescent="0.2"/>
  <cols>
    <col min="3" max="3" width="13.140625" bestFit="1" customWidth="1"/>
    <col min="4" max="4" width="10.7109375" bestFit="1" customWidth="1"/>
    <col min="7" max="7" width="13.85546875" bestFit="1" customWidth="1"/>
    <col min="8" max="8" width="12.140625" customWidth="1"/>
    <col min="11" max="11" width="10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41000</v>
      </c>
      <c r="B3" s="1"/>
      <c r="C3" s="2">
        <f>B3</f>
        <v>0</v>
      </c>
      <c r="D3" s="3"/>
      <c r="E3" s="3">
        <f>D3</f>
        <v>0</v>
      </c>
      <c r="F3" s="4"/>
      <c r="G3" s="1">
        <v>5</v>
      </c>
      <c r="H3" s="2">
        <f>G3</f>
        <v>5</v>
      </c>
      <c r="I3" s="3">
        <f>J3*7.2/1000</f>
        <v>0</v>
      </c>
      <c r="J3" s="5"/>
      <c r="K3" s="39"/>
      <c r="L3" s="33"/>
      <c r="M3" s="30"/>
      <c r="N3" s="29">
        <f t="shared" ref="N3:N32" si="0">+M3*7.2/1000</f>
        <v>0</v>
      </c>
      <c r="O3" s="38"/>
    </row>
    <row r="4" spans="1:15" ht="15" x14ac:dyDescent="0.25">
      <c r="A4" s="11">
        <f t="shared" ref="A4:A32" si="1">A3+1</f>
        <v>41001</v>
      </c>
      <c r="B4" s="1">
        <v>7</v>
      </c>
      <c r="C4" s="2">
        <f t="shared" ref="C4:C32" si="2">B4+C3</f>
        <v>7</v>
      </c>
      <c r="D4" s="6">
        <f>(55+820)*8.1/1000</f>
        <v>7.0875000000000004</v>
      </c>
      <c r="E4" s="3">
        <f t="shared" ref="E4:E32" si="3">D4+E3</f>
        <v>7.0875000000000004</v>
      </c>
      <c r="F4" s="4"/>
      <c r="G4" s="1">
        <v>8</v>
      </c>
      <c r="H4" s="2">
        <f t="shared" ref="H4:H31" si="4">H3+G4</f>
        <v>13</v>
      </c>
      <c r="I4" s="3">
        <f t="shared" ref="I4:I32" si="5">J4*7.2/1000</f>
        <v>0</v>
      </c>
      <c r="J4" s="5"/>
      <c r="K4" s="39"/>
      <c r="L4" s="34"/>
      <c r="M4" s="44"/>
      <c r="N4" s="29">
        <f t="shared" si="0"/>
        <v>0</v>
      </c>
      <c r="O4" s="38"/>
    </row>
    <row r="5" spans="1:15" ht="15" x14ac:dyDescent="0.25">
      <c r="A5" s="11">
        <f t="shared" si="1"/>
        <v>41002</v>
      </c>
      <c r="B5" s="1">
        <v>8</v>
      </c>
      <c r="C5" s="2">
        <f t="shared" si="2"/>
        <v>15</v>
      </c>
      <c r="D5" s="6">
        <f>900*8.1/1000</f>
        <v>7.29</v>
      </c>
      <c r="E5" s="3">
        <f t="shared" si="3"/>
        <v>14.377500000000001</v>
      </c>
      <c r="F5" s="4"/>
      <c r="G5" s="1">
        <v>8</v>
      </c>
      <c r="H5" s="2">
        <f t="shared" si="4"/>
        <v>21</v>
      </c>
      <c r="I5" s="3">
        <f t="shared" si="5"/>
        <v>0</v>
      </c>
      <c r="J5" s="5"/>
      <c r="K5" s="39"/>
      <c r="L5" s="33"/>
      <c r="M5" s="13"/>
      <c r="N5" s="29">
        <f t="shared" si="0"/>
        <v>0</v>
      </c>
      <c r="O5" s="29"/>
    </row>
    <row r="6" spans="1:15" ht="15" x14ac:dyDescent="0.25">
      <c r="A6" s="11">
        <f t="shared" si="1"/>
        <v>41003</v>
      </c>
      <c r="B6" s="1">
        <v>10</v>
      </c>
      <c r="C6" s="2">
        <f t="shared" si="2"/>
        <v>25</v>
      </c>
      <c r="D6" s="3">
        <f>815*8.1/1000</f>
        <v>6.6014999999999997</v>
      </c>
      <c r="E6" s="3">
        <f t="shared" si="3"/>
        <v>20.978999999999999</v>
      </c>
      <c r="F6" s="4"/>
      <c r="G6" s="1">
        <v>8</v>
      </c>
      <c r="H6" s="2">
        <f t="shared" si="4"/>
        <v>29</v>
      </c>
      <c r="I6" s="3">
        <f t="shared" si="5"/>
        <v>4.6656000000000004</v>
      </c>
      <c r="J6" s="5">
        <v>648</v>
      </c>
      <c r="K6" s="39"/>
      <c r="L6" s="33"/>
      <c r="M6" s="13"/>
      <c r="N6" s="29">
        <f t="shared" si="0"/>
        <v>0</v>
      </c>
      <c r="O6" s="29"/>
    </row>
    <row r="7" spans="1:15" ht="15" x14ac:dyDescent="0.25">
      <c r="A7" s="11">
        <f t="shared" si="1"/>
        <v>41004</v>
      </c>
      <c r="B7" s="1">
        <v>10</v>
      </c>
      <c r="C7" s="2">
        <f t="shared" si="2"/>
        <v>35</v>
      </c>
      <c r="D7" s="3">
        <f>813*8.1/1000</f>
        <v>6.5852999999999993</v>
      </c>
      <c r="E7" s="3">
        <f t="shared" si="3"/>
        <v>27.564299999999999</v>
      </c>
      <c r="F7" s="4"/>
      <c r="G7" s="1">
        <v>8</v>
      </c>
      <c r="H7" s="2">
        <f t="shared" si="4"/>
        <v>37</v>
      </c>
      <c r="I7" s="3">
        <f t="shared" si="5"/>
        <v>4.1399999999999997</v>
      </c>
      <c r="J7" s="5">
        <v>575</v>
      </c>
      <c r="K7" s="39"/>
      <c r="L7" s="33"/>
      <c r="M7" s="13"/>
      <c r="N7" s="29">
        <f t="shared" si="0"/>
        <v>0</v>
      </c>
      <c r="O7" s="29"/>
    </row>
    <row r="8" spans="1:15" ht="15" x14ac:dyDescent="0.25">
      <c r="A8" s="11">
        <f t="shared" si="1"/>
        <v>41005</v>
      </c>
      <c r="B8" s="1">
        <v>5</v>
      </c>
      <c r="C8" s="2">
        <f t="shared" si="2"/>
        <v>40</v>
      </c>
      <c r="D8" s="3">
        <f>1035*8.1/1000</f>
        <v>8.3834999999999997</v>
      </c>
      <c r="E8" s="3">
        <f t="shared" si="3"/>
        <v>35.947800000000001</v>
      </c>
      <c r="F8" s="4"/>
      <c r="G8" s="1">
        <v>8</v>
      </c>
      <c r="H8" s="2">
        <f t="shared" si="4"/>
        <v>45</v>
      </c>
      <c r="I8" s="3">
        <f t="shared" si="5"/>
        <v>5.8247999999999998</v>
      </c>
      <c r="J8" s="5">
        <f>104+705</f>
        <v>809</v>
      </c>
      <c r="K8" s="39"/>
      <c r="L8" s="33"/>
      <c r="M8" s="30"/>
      <c r="N8" s="29">
        <f t="shared" si="0"/>
        <v>0</v>
      </c>
      <c r="O8" s="14"/>
    </row>
    <row r="9" spans="1:15" ht="15" x14ac:dyDescent="0.25">
      <c r="A9" s="11">
        <f t="shared" si="1"/>
        <v>41006</v>
      </c>
      <c r="B9" s="1"/>
      <c r="C9" s="2">
        <f t="shared" si="2"/>
        <v>40</v>
      </c>
      <c r="D9" s="3">
        <f>437*8.1/1000</f>
        <v>3.5396999999999998</v>
      </c>
      <c r="E9" s="3">
        <f t="shared" si="3"/>
        <v>39.487499999999997</v>
      </c>
      <c r="F9" s="4"/>
      <c r="G9" s="1">
        <v>8</v>
      </c>
      <c r="H9" s="2">
        <f t="shared" si="4"/>
        <v>53</v>
      </c>
      <c r="I9" s="3">
        <f t="shared" si="5"/>
        <v>4.5720000000000001</v>
      </c>
      <c r="J9" s="5">
        <v>635</v>
      </c>
      <c r="K9" s="39"/>
      <c r="L9" s="33"/>
      <c r="M9" s="12"/>
      <c r="N9" s="29">
        <f t="shared" si="0"/>
        <v>0</v>
      </c>
      <c r="O9" s="29"/>
    </row>
    <row r="10" spans="1:15" ht="15" x14ac:dyDescent="0.25">
      <c r="A10" s="11">
        <f t="shared" si="1"/>
        <v>41007</v>
      </c>
      <c r="B10" s="1"/>
      <c r="C10" s="2">
        <f t="shared" si="2"/>
        <v>40</v>
      </c>
      <c r="D10" s="3"/>
      <c r="E10" s="3">
        <f t="shared" si="3"/>
        <v>39.487499999999997</v>
      </c>
      <c r="F10" s="4"/>
      <c r="G10" s="1"/>
      <c r="H10" s="2">
        <f t="shared" si="4"/>
        <v>53</v>
      </c>
      <c r="I10" s="3">
        <f t="shared" si="5"/>
        <v>1.3896000000000002</v>
      </c>
      <c r="J10" s="5">
        <v>193</v>
      </c>
      <c r="K10" s="39"/>
      <c r="L10" s="33"/>
      <c r="M10" s="13"/>
      <c r="N10" s="29">
        <f t="shared" si="0"/>
        <v>0</v>
      </c>
      <c r="O10" s="29"/>
    </row>
    <row r="11" spans="1:15" ht="15" x14ac:dyDescent="0.25">
      <c r="A11" s="11">
        <f t="shared" si="1"/>
        <v>41008</v>
      </c>
      <c r="B11" s="1"/>
      <c r="C11" s="2">
        <f t="shared" si="2"/>
        <v>40</v>
      </c>
      <c r="D11" s="3"/>
      <c r="E11" s="3">
        <f t="shared" si="3"/>
        <v>39.487499999999997</v>
      </c>
      <c r="F11" s="4"/>
      <c r="G11" s="1"/>
      <c r="H11" s="2">
        <f t="shared" si="4"/>
        <v>53</v>
      </c>
      <c r="I11" s="3">
        <f t="shared" si="5"/>
        <v>2.2679999999999998</v>
      </c>
      <c r="J11" s="5">
        <f>255+60</f>
        <v>315</v>
      </c>
      <c r="K11" s="39"/>
      <c r="L11" s="33"/>
      <c r="M11" s="13"/>
      <c r="N11" s="29">
        <f t="shared" si="0"/>
        <v>0</v>
      </c>
      <c r="O11" s="29"/>
    </row>
    <row r="12" spans="1:15" ht="15" x14ac:dyDescent="0.2">
      <c r="A12" s="11">
        <f t="shared" si="1"/>
        <v>41009</v>
      </c>
      <c r="B12" s="1"/>
      <c r="C12" s="2">
        <f t="shared" si="2"/>
        <v>40</v>
      </c>
      <c r="D12" s="3"/>
      <c r="E12" s="3">
        <f t="shared" si="3"/>
        <v>39.487499999999997</v>
      </c>
      <c r="F12" s="4"/>
      <c r="G12" s="1"/>
      <c r="H12" s="2">
        <f t="shared" si="4"/>
        <v>53</v>
      </c>
      <c r="I12" s="3">
        <f t="shared" si="5"/>
        <v>2.0592000000000001</v>
      </c>
      <c r="J12" s="5">
        <v>286</v>
      </c>
      <c r="K12" s="39"/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41010</v>
      </c>
      <c r="B13" s="1"/>
      <c r="C13" s="2">
        <f t="shared" si="2"/>
        <v>40</v>
      </c>
      <c r="D13" s="3"/>
      <c r="E13" s="3">
        <f t="shared" si="3"/>
        <v>39.487499999999997</v>
      </c>
      <c r="F13" s="4"/>
      <c r="G13" s="1"/>
      <c r="H13" s="2">
        <f t="shared" si="4"/>
        <v>53</v>
      </c>
      <c r="I13" s="3">
        <f t="shared" si="5"/>
        <v>1.4327999999999999</v>
      </c>
      <c r="J13" s="5">
        <v>199</v>
      </c>
      <c r="K13" s="39"/>
      <c r="L13" s="33"/>
      <c r="M13" s="13">
        <v>2740</v>
      </c>
      <c r="N13" s="29">
        <f t="shared" si="0"/>
        <v>19.728000000000002</v>
      </c>
      <c r="O13" s="29"/>
    </row>
    <row r="14" spans="1:15" ht="15" x14ac:dyDescent="0.25">
      <c r="A14" s="11">
        <f t="shared" si="1"/>
        <v>41011</v>
      </c>
      <c r="B14" s="1"/>
      <c r="C14" s="2">
        <f t="shared" si="2"/>
        <v>40</v>
      </c>
      <c r="D14" s="3"/>
      <c r="E14" s="3">
        <f t="shared" si="3"/>
        <v>39.487499999999997</v>
      </c>
      <c r="F14" s="39"/>
      <c r="G14" s="1"/>
      <c r="H14" s="2">
        <f t="shared" si="4"/>
        <v>53</v>
      </c>
      <c r="I14" s="3">
        <f t="shared" si="5"/>
        <v>1.728</v>
      </c>
      <c r="J14" s="5">
        <v>240</v>
      </c>
      <c r="K14" s="39"/>
      <c r="L14" s="33"/>
      <c r="M14" s="13"/>
      <c r="N14" s="29">
        <f t="shared" si="0"/>
        <v>0</v>
      </c>
      <c r="O14" s="29"/>
    </row>
    <row r="15" spans="1:15" ht="15" x14ac:dyDescent="0.25">
      <c r="A15" s="11">
        <f t="shared" si="1"/>
        <v>41012</v>
      </c>
      <c r="B15" s="1"/>
      <c r="C15" s="2">
        <f t="shared" si="2"/>
        <v>40</v>
      </c>
      <c r="D15" s="3"/>
      <c r="E15" s="3">
        <f t="shared" si="3"/>
        <v>39.487499999999997</v>
      </c>
      <c r="F15" s="39"/>
      <c r="G15" s="1"/>
      <c r="H15" s="2">
        <f t="shared" si="4"/>
        <v>53</v>
      </c>
      <c r="I15" s="3">
        <f t="shared" si="5"/>
        <v>2.4695999999999998</v>
      </c>
      <c r="J15" s="5">
        <v>343</v>
      </c>
      <c r="K15" s="39"/>
      <c r="L15" s="33"/>
      <c r="M15" s="13"/>
      <c r="N15" s="29">
        <f t="shared" si="0"/>
        <v>0</v>
      </c>
      <c r="O15" s="38"/>
    </row>
    <row r="16" spans="1:15" ht="15" x14ac:dyDescent="0.25">
      <c r="A16" s="11">
        <f t="shared" si="1"/>
        <v>41013</v>
      </c>
      <c r="B16" s="1">
        <v>8</v>
      </c>
      <c r="C16" s="2">
        <f t="shared" si="2"/>
        <v>48</v>
      </c>
      <c r="D16" s="3"/>
      <c r="E16" s="3">
        <f t="shared" si="3"/>
        <v>39.487499999999997</v>
      </c>
      <c r="F16" s="39"/>
      <c r="G16" s="1"/>
      <c r="H16" s="2">
        <f t="shared" si="4"/>
        <v>53</v>
      </c>
      <c r="I16" s="3">
        <f t="shared" si="5"/>
        <v>2.16</v>
      </c>
      <c r="J16" s="5">
        <v>300</v>
      </c>
      <c r="K16" s="39"/>
      <c r="L16" s="33"/>
      <c r="M16" s="13">
        <f>375+545</f>
        <v>920</v>
      </c>
      <c r="N16" s="29">
        <f t="shared" si="0"/>
        <v>6.6239999999999997</v>
      </c>
      <c r="O16" s="29"/>
    </row>
    <row r="17" spans="1:15" ht="15" x14ac:dyDescent="0.25">
      <c r="A17" s="11">
        <f t="shared" si="1"/>
        <v>41014</v>
      </c>
      <c r="B17" s="50"/>
      <c r="C17" s="49">
        <f t="shared" si="2"/>
        <v>48</v>
      </c>
      <c r="D17" s="49"/>
      <c r="E17" s="49">
        <f t="shared" si="3"/>
        <v>39.487499999999997</v>
      </c>
      <c r="F17" s="51"/>
      <c r="G17" s="50"/>
      <c r="H17" s="49">
        <f t="shared" si="4"/>
        <v>53</v>
      </c>
      <c r="I17" s="49">
        <f t="shared" si="5"/>
        <v>0</v>
      </c>
      <c r="J17" s="52"/>
      <c r="K17" s="51"/>
      <c r="L17" s="33"/>
      <c r="M17" s="13"/>
      <c r="N17" s="29">
        <f t="shared" si="0"/>
        <v>0</v>
      </c>
      <c r="O17" s="29"/>
    </row>
    <row r="18" spans="1:15" ht="15" x14ac:dyDescent="0.25">
      <c r="A18" s="11">
        <f t="shared" si="1"/>
        <v>41015</v>
      </c>
      <c r="B18" s="1">
        <v>11</v>
      </c>
      <c r="C18" s="2">
        <f t="shared" si="2"/>
        <v>59</v>
      </c>
      <c r="D18" s="3"/>
      <c r="E18" s="3">
        <f t="shared" si="3"/>
        <v>39.487499999999997</v>
      </c>
      <c r="F18" s="39"/>
      <c r="G18" s="1">
        <v>7</v>
      </c>
      <c r="H18" s="2">
        <f t="shared" si="4"/>
        <v>60</v>
      </c>
      <c r="I18" s="3">
        <f t="shared" si="5"/>
        <v>1.08</v>
      </c>
      <c r="J18" s="5">
        <v>150</v>
      </c>
      <c r="K18" s="39"/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41016</v>
      </c>
      <c r="B19" s="1">
        <v>11</v>
      </c>
      <c r="C19" s="2">
        <f t="shared" si="2"/>
        <v>70</v>
      </c>
      <c r="D19" s="3"/>
      <c r="E19" s="3">
        <f t="shared" si="3"/>
        <v>39.487499999999997</v>
      </c>
      <c r="F19" s="39"/>
      <c r="G19" s="1">
        <v>9</v>
      </c>
      <c r="H19" s="2">
        <f t="shared" si="4"/>
        <v>69</v>
      </c>
      <c r="I19" s="3">
        <f t="shared" si="5"/>
        <v>1.728</v>
      </c>
      <c r="J19" s="5">
        <v>240</v>
      </c>
      <c r="K19" s="39"/>
      <c r="L19" s="33"/>
      <c r="M19" s="13"/>
      <c r="N19" s="29">
        <f t="shared" si="0"/>
        <v>0</v>
      </c>
      <c r="O19" s="38"/>
    </row>
    <row r="20" spans="1:15" ht="15" x14ac:dyDescent="0.25">
      <c r="A20" s="11">
        <f t="shared" si="1"/>
        <v>41017</v>
      </c>
      <c r="B20" s="1">
        <v>11</v>
      </c>
      <c r="C20" s="2">
        <f t="shared" si="2"/>
        <v>81</v>
      </c>
      <c r="D20" s="3"/>
      <c r="E20" s="3">
        <f t="shared" si="3"/>
        <v>39.487499999999997</v>
      </c>
      <c r="F20" s="39"/>
      <c r="G20" s="1">
        <v>9</v>
      </c>
      <c r="H20" s="2">
        <f t="shared" si="4"/>
        <v>78</v>
      </c>
      <c r="I20" s="3">
        <f t="shared" si="5"/>
        <v>2.7360000000000002</v>
      </c>
      <c r="J20" s="5">
        <v>380</v>
      </c>
      <c r="K20" s="39"/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41018</v>
      </c>
      <c r="B21" s="1">
        <v>11</v>
      </c>
      <c r="C21" s="2">
        <f t="shared" si="2"/>
        <v>92</v>
      </c>
      <c r="D21" s="3"/>
      <c r="E21" s="3">
        <f t="shared" si="3"/>
        <v>39.487499999999997</v>
      </c>
      <c r="F21" s="39"/>
      <c r="G21" s="1">
        <v>9</v>
      </c>
      <c r="H21" s="2">
        <f t="shared" si="4"/>
        <v>87</v>
      </c>
      <c r="I21" s="3">
        <f t="shared" si="5"/>
        <v>1.728</v>
      </c>
      <c r="J21" s="5">
        <v>240</v>
      </c>
      <c r="K21" s="39"/>
      <c r="L21" s="33"/>
      <c r="M21" s="13"/>
      <c r="N21" s="29">
        <f t="shared" si="0"/>
        <v>0</v>
      </c>
      <c r="O21" s="29"/>
    </row>
    <row r="22" spans="1:15" ht="15" x14ac:dyDescent="0.25">
      <c r="A22" s="11">
        <f t="shared" si="1"/>
        <v>41019</v>
      </c>
      <c r="B22" s="1">
        <v>11</v>
      </c>
      <c r="C22" s="2">
        <f t="shared" si="2"/>
        <v>103</v>
      </c>
      <c r="D22" s="3"/>
      <c r="E22" s="3">
        <f t="shared" si="3"/>
        <v>39.487499999999997</v>
      </c>
      <c r="F22" s="39"/>
      <c r="G22" s="1">
        <v>10</v>
      </c>
      <c r="H22" s="2">
        <f t="shared" si="4"/>
        <v>97</v>
      </c>
      <c r="I22" s="3">
        <f t="shared" si="5"/>
        <v>2.16</v>
      </c>
      <c r="J22" s="5">
        <f>180+120</f>
        <v>300</v>
      </c>
      <c r="K22" s="39"/>
      <c r="L22" s="33"/>
      <c r="M22" s="13"/>
      <c r="N22" s="29">
        <f t="shared" si="0"/>
        <v>0</v>
      </c>
      <c r="O22" s="14"/>
    </row>
    <row r="23" spans="1:15" ht="15" x14ac:dyDescent="0.25">
      <c r="A23" s="11">
        <f t="shared" si="1"/>
        <v>41020</v>
      </c>
      <c r="B23" s="1">
        <v>11</v>
      </c>
      <c r="C23" s="2">
        <f t="shared" si="2"/>
        <v>114</v>
      </c>
      <c r="D23" s="3"/>
      <c r="E23" s="3">
        <f t="shared" si="3"/>
        <v>39.487499999999997</v>
      </c>
      <c r="F23" s="39"/>
      <c r="G23" s="1">
        <v>10</v>
      </c>
      <c r="H23" s="2">
        <f t="shared" si="4"/>
        <v>107</v>
      </c>
      <c r="I23" s="3">
        <f t="shared" si="5"/>
        <v>1.98</v>
      </c>
      <c r="J23" s="5">
        <v>275</v>
      </c>
      <c r="K23" s="39"/>
      <c r="L23" s="33"/>
      <c r="M23" s="13">
        <v>2073</v>
      </c>
      <c r="N23" s="29">
        <f t="shared" si="0"/>
        <v>14.925600000000001</v>
      </c>
      <c r="O23" s="38"/>
    </row>
    <row r="24" spans="1:15" ht="15" x14ac:dyDescent="0.25">
      <c r="A24" s="11">
        <f t="shared" si="1"/>
        <v>41021</v>
      </c>
      <c r="B24" s="1">
        <v>11</v>
      </c>
      <c r="C24" s="2">
        <f t="shared" si="2"/>
        <v>125</v>
      </c>
      <c r="D24" s="3"/>
      <c r="E24" s="3">
        <f t="shared" si="3"/>
        <v>39.487499999999997</v>
      </c>
      <c r="F24" s="39"/>
      <c r="G24" s="1">
        <v>10</v>
      </c>
      <c r="H24" s="2">
        <f t="shared" si="4"/>
        <v>117</v>
      </c>
      <c r="I24" s="3">
        <f t="shared" si="5"/>
        <v>0</v>
      </c>
      <c r="J24" s="5"/>
      <c r="K24" s="39"/>
      <c r="L24" s="33"/>
      <c r="M24" s="13"/>
      <c r="N24" s="29">
        <f t="shared" si="0"/>
        <v>0</v>
      </c>
      <c r="O24" s="29"/>
    </row>
    <row r="25" spans="1:15" ht="15" x14ac:dyDescent="0.25">
      <c r="A25" s="11">
        <f t="shared" si="1"/>
        <v>41022</v>
      </c>
      <c r="B25" s="1">
        <v>11</v>
      </c>
      <c r="C25" s="2">
        <f t="shared" si="2"/>
        <v>136</v>
      </c>
      <c r="D25" s="3"/>
      <c r="E25" s="3">
        <f t="shared" si="3"/>
        <v>39.487499999999997</v>
      </c>
      <c r="F25" s="39"/>
      <c r="G25" s="1">
        <v>9</v>
      </c>
      <c r="H25" s="2">
        <f t="shared" si="4"/>
        <v>126</v>
      </c>
      <c r="I25" s="3">
        <f t="shared" si="5"/>
        <v>0</v>
      </c>
      <c r="J25" s="5"/>
      <c r="K25" s="39"/>
      <c r="L25" s="33"/>
      <c r="M25" s="13"/>
      <c r="N25" s="29">
        <f t="shared" si="0"/>
        <v>0</v>
      </c>
      <c r="O25" s="38"/>
    </row>
    <row r="26" spans="1:15" ht="15" x14ac:dyDescent="0.25">
      <c r="A26" s="11">
        <f t="shared" si="1"/>
        <v>41023</v>
      </c>
      <c r="B26" s="1">
        <v>11</v>
      </c>
      <c r="C26" s="2">
        <f t="shared" si="2"/>
        <v>147</v>
      </c>
      <c r="D26" s="3">
        <f>1070*8.1/1000</f>
        <v>8.6669999999999998</v>
      </c>
      <c r="E26" s="3">
        <f t="shared" si="3"/>
        <v>48.154499999999999</v>
      </c>
      <c r="F26" s="39"/>
      <c r="G26" s="1">
        <v>9</v>
      </c>
      <c r="H26" s="2">
        <f t="shared" si="4"/>
        <v>135</v>
      </c>
      <c r="I26" s="3">
        <f t="shared" si="5"/>
        <v>0</v>
      </c>
      <c r="J26" s="5"/>
      <c r="K26" s="39"/>
      <c r="L26" s="33"/>
      <c r="M26" s="13"/>
      <c r="N26" s="29">
        <f t="shared" si="0"/>
        <v>0</v>
      </c>
      <c r="O26" s="29"/>
    </row>
    <row r="27" spans="1:15" ht="15" x14ac:dyDescent="0.25">
      <c r="A27" s="11">
        <f t="shared" si="1"/>
        <v>41024</v>
      </c>
      <c r="B27" s="1">
        <v>11</v>
      </c>
      <c r="C27" s="2">
        <f t="shared" si="2"/>
        <v>158</v>
      </c>
      <c r="D27" s="3">
        <f>(810+280)*8.1/1000</f>
        <v>8.8290000000000006</v>
      </c>
      <c r="E27" s="3">
        <f t="shared" si="3"/>
        <v>56.983499999999999</v>
      </c>
      <c r="F27" s="39"/>
      <c r="G27" s="1">
        <v>9</v>
      </c>
      <c r="H27" s="2">
        <f t="shared" si="4"/>
        <v>144</v>
      </c>
      <c r="I27" s="3">
        <f t="shared" si="5"/>
        <v>0</v>
      </c>
      <c r="J27" s="5"/>
      <c r="K27" s="39"/>
      <c r="L27" s="33"/>
      <c r="M27" s="13"/>
      <c r="N27" s="29">
        <f t="shared" si="0"/>
        <v>0</v>
      </c>
      <c r="O27" s="29"/>
    </row>
    <row r="28" spans="1:15" ht="15" x14ac:dyDescent="0.25">
      <c r="A28" s="11">
        <f t="shared" si="1"/>
        <v>41025</v>
      </c>
      <c r="B28" s="1">
        <v>11</v>
      </c>
      <c r="C28" s="2">
        <f t="shared" si="2"/>
        <v>169</v>
      </c>
      <c r="D28" s="3">
        <f>1160*8.1/1000</f>
        <v>9.3960000000000008</v>
      </c>
      <c r="E28" s="3">
        <f t="shared" si="3"/>
        <v>66.379500000000007</v>
      </c>
      <c r="F28" s="4"/>
      <c r="G28" s="1">
        <v>9</v>
      </c>
      <c r="H28" s="2">
        <f t="shared" si="4"/>
        <v>153</v>
      </c>
      <c r="I28" s="3">
        <f t="shared" si="5"/>
        <v>1.8576000000000001</v>
      </c>
      <c r="J28" s="5">
        <v>258</v>
      </c>
      <c r="K28" s="39"/>
      <c r="L28" s="33"/>
      <c r="M28" s="13"/>
      <c r="N28" s="29">
        <f t="shared" si="0"/>
        <v>0</v>
      </c>
      <c r="O28" s="29"/>
    </row>
    <row r="29" spans="1:15" ht="15" x14ac:dyDescent="0.25">
      <c r="A29" s="11">
        <f t="shared" si="1"/>
        <v>41026</v>
      </c>
      <c r="B29" s="1">
        <v>11</v>
      </c>
      <c r="C29" s="2">
        <f t="shared" si="2"/>
        <v>180</v>
      </c>
      <c r="D29" s="3">
        <f>1095*8.1/1000</f>
        <v>8.8695000000000004</v>
      </c>
      <c r="E29" s="3">
        <f t="shared" si="3"/>
        <v>75.249000000000009</v>
      </c>
      <c r="F29" s="4"/>
      <c r="G29" s="1">
        <v>9</v>
      </c>
      <c r="H29" s="2">
        <f t="shared" si="4"/>
        <v>162</v>
      </c>
      <c r="I29" s="3">
        <f t="shared" si="5"/>
        <v>2.1384000000000003</v>
      </c>
      <c r="J29" s="5">
        <v>297</v>
      </c>
      <c r="K29" s="39"/>
      <c r="L29" s="33"/>
      <c r="M29" s="13"/>
      <c r="N29" s="29">
        <f t="shared" si="0"/>
        <v>0</v>
      </c>
      <c r="O29" s="29"/>
    </row>
    <row r="30" spans="1:15" ht="15" x14ac:dyDescent="0.25">
      <c r="A30" s="11">
        <f t="shared" si="1"/>
        <v>41027</v>
      </c>
      <c r="B30" s="1"/>
      <c r="C30" s="2">
        <f t="shared" si="2"/>
        <v>180</v>
      </c>
      <c r="D30" s="3">
        <f>1165*8.1/1000</f>
        <v>9.4365000000000006</v>
      </c>
      <c r="E30" s="3">
        <f t="shared" si="3"/>
        <v>84.685500000000005</v>
      </c>
      <c r="F30" s="4"/>
      <c r="G30" s="1">
        <v>9</v>
      </c>
      <c r="H30" s="2">
        <f t="shared" si="4"/>
        <v>171</v>
      </c>
      <c r="I30" s="3">
        <f t="shared" si="5"/>
        <v>3.456</v>
      </c>
      <c r="J30" s="5">
        <v>480</v>
      </c>
      <c r="K30" s="39"/>
      <c r="L30" s="33"/>
      <c r="M30" s="13"/>
      <c r="N30" s="29">
        <f t="shared" si="0"/>
        <v>0</v>
      </c>
      <c r="O30" s="14"/>
    </row>
    <row r="31" spans="1:15" ht="15" x14ac:dyDescent="0.25">
      <c r="A31" s="11">
        <f t="shared" si="1"/>
        <v>41028</v>
      </c>
      <c r="B31" s="1"/>
      <c r="C31" s="2">
        <f t="shared" si="2"/>
        <v>180</v>
      </c>
      <c r="D31" s="7"/>
      <c r="E31" s="3">
        <f t="shared" si="3"/>
        <v>84.685500000000005</v>
      </c>
      <c r="F31" s="4"/>
      <c r="G31" s="1">
        <v>9</v>
      </c>
      <c r="H31" s="2">
        <f t="shared" si="4"/>
        <v>180</v>
      </c>
      <c r="I31" s="3">
        <f t="shared" si="5"/>
        <v>2.484</v>
      </c>
      <c r="J31" s="5">
        <f>165+180</f>
        <v>345</v>
      </c>
      <c r="K31" s="39"/>
      <c r="L31" s="33"/>
      <c r="M31" s="13"/>
      <c r="N31" s="29">
        <f t="shared" si="0"/>
        <v>0</v>
      </c>
      <c r="O31" s="29"/>
    </row>
    <row r="32" spans="1:15" ht="15.75" thickBot="1" x14ac:dyDescent="0.3">
      <c r="A32" s="11">
        <f t="shared" si="1"/>
        <v>41029</v>
      </c>
      <c r="B32" s="1"/>
      <c r="C32" s="2">
        <f t="shared" si="2"/>
        <v>180</v>
      </c>
      <c r="D32" s="3"/>
      <c r="E32" s="3">
        <f t="shared" si="3"/>
        <v>84.685500000000005</v>
      </c>
      <c r="F32" s="4"/>
      <c r="G32" s="1"/>
      <c r="H32" s="2">
        <f>H31+G32</f>
        <v>180</v>
      </c>
      <c r="I32" s="3">
        <f t="shared" si="5"/>
        <v>3.42</v>
      </c>
      <c r="J32" s="5">
        <v>475</v>
      </c>
      <c r="K32" s="39"/>
      <c r="L32" s="42"/>
      <c r="M32" s="13"/>
      <c r="N32" s="29">
        <f t="shared" si="0"/>
        <v>0</v>
      </c>
      <c r="O32" s="38"/>
    </row>
    <row r="33" spans="1:15" ht="21" customHeight="1" thickBot="1" x14ac:dyDescent="0.3">
      <c r="A33" s="17" t="s">
        <v>8</v>
      </c>
      <c r="B33" s="40">
        <f>+SUM(B3:B31)</f>
        <v>180</v>
      </c>
      <c r="C33" s="40">
        <f>+B33</f>
        <v>180</v>
      </c>
      <c r="D33" s="24">
        <f>SUM(D3:D32)</f>
        <v>84.685500000000005</v>
      </c>
      <c r="E33" s="23">
        <f>+D33</f>
        <v>84.685500000000005</v>
      </c>
      <c r="F33" s="25"/>
      <c r="G33" s="26">
        <f>SUM(G3:G32)</f>
        <v>180</v>
      </c>
      <c r="H33" s="40">
        <f>+G33</f>
        <v>180</v>
      </c>
      <c r="I33" s="23">
        <f>SUM(I3:I32)</f>
        <v>57.47760000000001</v>
      </c>
      <c r="J33" s="27">
        <f>SUM(J3:J32)</f>
        <v>7983</v>
      </c>
      <c r="K33" s="28"/>
      <c r="L33" s="35"/>
      <c r="M33" s="29">
        <f>SUM(M3:M32)</f>
        <v>5733</v>
      </c>
      <c r="N33" s="29">
        <f>SUM(N3:N32)</f>
        <v>41.2776</v>
      </c>
      <c r="O33" s="16"/>
    </row>
  </sheetData>
  <mergeCells count="2">
    <mergeCell ref="A1:F1"/>
    <mergeCell ref="G1:K1"/>
  </mergeCells>
  <phoneticPr fontId="14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4" sqref="J4"/>
    </sheetView>
  </sheetViews>
  <sheetFormatPr defaultRowHeight="12.75" x14ac:dyDescent="0.2"/>
  <cols>
    <col min="1" max="1" width="10.140625" style="65" bestFit="1" customWidth="1"/>
    <col min="2" max="2" width="16.28515625" style="65" bestFit="1" customWidth="1"/>
    <col min="3" max="3" width="32.85546875" bestFit="1" customWidth="1"/>
    <col min="4" max="4" width="18.5703125" bestFit="1" customWidth="1"/>
    <col min="5" max="5" width="12.140625" bestFit="1" customWidth="1"/>
    <col min="6" max="6" width="28" bestFit="1" customWidth="1"/>
    <col min="7" max="7" width="10.5703125" bestFit="1" customWidth="1"/>
    <col min="8" max="8" width="9.7109375" bestFit="1" customWidth="1"/>
    <col min="9" max="9" width="19.42578125" bestFit="1" customWidth="1"/>
    <col min="10" max="10" width="11.85546875" customWidth="1"/>
  </cols>
  <sheetData>
    <row r="1" spans="1:10" x14ac:dyDescent="0.2">
      <c r="A1" s="133" t="s">
        <v>65</v>
      </c>
      <c r="B1" s="133"/>
    </row>
    <row r="2" spans="1:10" ht="15" x14ac:dyDescent="0.25">
      <c r="A2" s="130" t="s">
        <v>1</v>
      </c>
      <c r="B2" s="130" t="s">
        <v>45</v>
      </c>
      <c r="C2" s="126" t="s">
        <v>46</v>
      </c>
      <c r="D2" s="126" t="s">
        <v>47</v>
      </c>
      <c r="E2" s="126" t="s">
        <v>48</v>
      </c>
      <c r="F2" s="126" t="s">
        <v>55</v>
      </c>
      <c r="G2" s="126" t="s">
        <v>51</v>
      </c>
      <c r="H2" s="126" t="s">
        <v>52</v>
      </c>
      <c r="I2" s="126" t="s">
        <v>49</v>
      </c>
      <c r="J2" s="126" t="s">
        <v>50</v>
      </c>
    </row>
    <row r="3" spans="1:10" ht="15" x14ac:dyDescent="0.25">
      <c r="A3" s="135" t="s">
        <v>56</v>
      </c>
      <c r="B3" s="135">
        <v>9114600724</v>
      </c>
      <c r="C3" s="137" t="s">
        <v>57</v>
      </c>
      <c r="D3" s="135" t="s">
        <v>58</v>
      </c>
      <c r="E3" s="135" t="s">
        <v>59</v>
      </c>
      <c r="F3" s="135" t="s">
        <v>60</v>
      </c>
      <c r="G3" s="135">
        <v>1099</v>
      </c>
      <c r="H3" s="138">
        <f>+G3*10.8/1000</f>
        <v>11.869200000000001</v>
      </c>
      <c r="I3" s="137" t="s">
        <v>61</v>
      </c>
      <c r="J3" s="143">
        <v>1606298</v>
      </c>
    </row>
    <row r="4" spans="1:10" ht="15" x14ac:dyDescent="0.25">
      <c r="A4" s="135" t="s">
        <v>62</v>
      </c>
      <c r="B4" s="135">
        <v>9114600740</v>
      </c>
      <c r="C4" s="137" t="s">
        <v>57</v>
      </c>
      <c r="D4" s="135" t="s">
        <v>58</v>
      </c>
      <c r="E4" s="135" t="s">
        <v>59</v>
      </c>
      <c r="F4" s="135" t="s">
        <v>60</v>
      </c>
      <c r="G4" s="135">
        <v>1200</v>
      </c>
      <c r="H4" s="138">
        <f t="shared" ref="H4:H11" si="0">+G4*10.8/1000</f>
        <v>12.96</v>
      </c>
      <c r="I4" s="137" t="s">
        <v>63</v>
      </c>
      <c r="J4" s="143">
        <v>1753920</v>
      </c>
    </row>
    <row r="5" spans="1:10" ht="15" x14ac:dyDescent="0.25">
      <c r="A5" s="135" t="s">
        <v>62</v>
      </c>
      <c r="B5" s="135">
        <v>9114600741</v>
      </c>
      <c r="C5" s="137" t="s">
        <v>57</v>
      </c>
      <c r="D5" s="135" t="s">
        <v>58</v>
      </c>
      <c r="E5" s="135" t="s">
        <v>59</v>
      </c>
      <c r="F5" s="135" t="s">
        <v>60</v>
      </c>
      <c r="G5" s="135">
        <v>1200</v>
      </c>
      <c r="H5" s="138">
        <f t="shared" si="0"/>
        <v>12.96</v>
      </c>
      <c r="I5" s="137" t="s">
        <v>64</v>
      </c>
      <c r="J5" s="143">
        <v>1753920</v>
      </c>
    </row>
    <row r="6" spans="1:10" ht="15" x14ac:dyDescent="0.25">
      <c r="A6" s="135" t="s">
        <v>67</v>
      </c>
      <c r="B6" s="135">
        <v>9114600935</v>
      </c>
      <c r="C6" s="137" t="s">
        <v>57</v>
      </c>
      <c r="D6" s="135" t="s">
        <v>58</v>
      </c>
      <c r="E6" s="135" t="s">
        <v>59</v>
      </c>
      <c r="F6" s="135" t="s">
        <v>60</v>
      </c>
      <c r="G6" s="135">
        <v>425</v>
      </c>
      <c r="H6" s="138">
        <f t="shared" si="0"/>
        <v>4.59</v>
      </c>
      <c r="I6" s="137" t="s">
        <v>66</v>
      </c>
      <c r="J6" s="143">
        <v>621180</v>
      </c>
    </row>
    <row r="7" spans="1:10" ht="15" x14ac:dyDescent="0.25">
      <c r="A7" s="135" t="s">
        <v>67</v>
      </c>
      <c r="B7" s="135">
        <v>9114600934</v>
      </c>
      <c r="C7" s="137" t="s">
        <v>57</v>
      </c>
      <c r="D7" s="135" t="s">
        <v>58</v>
      </c>
      <c r="E7" s="135" t="s">
        <v>59</v>
      </c>
      <c r="F7" s="135" t="s">
        <v>60</v>
      </c>
      <c r="G7" s="135">
        <v>720</v>
      </c>
      <c r="H7" s="138">
        <f t="shared" si="0"/>
        <v>7.7760000000000007</v>
      </c>
      <c r="I7" s="137" t="s">
        <v>66</v>
      </c>
      <c r="J7" s="143">
        <v>1052352</v>
      </c>
    </row>
    <row r="8" spans="1:10" ht="15" x14ac:dyDescent="0.25">
      <c r="A8" s="135" t="s">
        <v>67</v>
      </c>
      <c r="B8" s="135">
        <v>9114600952</v>
      </c>
      <c r="C8" s="137" t="s">
        <v>57</v>
      </c>
      <c r="D8" s="135" t="s">
        <v>58</v>
      </c>
      <c r="E8" s="135" t="s">
        <v>59</v>
      </c>
      <c r="F8" s="135" t="s">
        <v>60</v>
      </c>
      <c r="G8" s="135">
        <v>1144</v>
      </c>
      <c r="H8" s="138">
        <f t="shared" si="0"/>
        <v>12.3552</v>
      </c>
      <c r="I8" s="137" t="s">
        <v>68</v>
      </c>
      <c r="J8" s="143">
        <v>1672070</v>
      </c>
    </row>
    <row r="9" spans="1:10" ht="15" x14ac:dyDescent="0.25">
      <c r="A9" s="135" t="s">
        <v>73</v>
      </c>
      <c r="B9" s="135">
        <v>9114601299</v>
      </c>
      <c r="C9" s="137" t="s">
        <v>57</v>
      </c>
      <c r="D9" s="135" t="s">
        <v>58</v>
      </c>
      <c r="E9" s="135" t="s">
        <v>59</v>
      </c>
      <c r="F9" s="135" t="s">
        <v>60</v>
      </c>
      <c r="G9" s="135">
        <v>740</v>
      </c>
      <c r="H9" s="138">
        <f t="shared" si="0"/>
        <v>7.9920000000000009</v>
      </c>
      <c r="I9" s="137" t="s">
        <v>74</v>
      </c>
      <c r="J9" s="143">
        <v>1672070</v>
      </c>
    </row>
    <row r="10" spans="1:10" ht="15" x14ac:dyDescent="0.25">
      <c r="A10" s="135" t="s">
        <v>75</v>
      </c>
      <c r="B10" s="135">
        <v>9114601352</v>
      </c>
      <c r="C10" s="137" t="s">
        <v>57</v>
      </c>
      <c r="D10" s="135" t="s">
        <v>58</v>
      </c>
      <c r="E10" s="135" t="s">
        <v>59</v>
      </c>
      <c r="F10" s="137" t="s">
        <v>60</v>
      </c>
      <c r="G10" s="135">
        <f>33264/48</f>
        <v>693</v>
      </c>
      <c r="H10" s="138">
        <f t="shared" si="0"/>
        <v>7.4844000000000008</v>
      </c>
      <c r="I10" s="137" t="s">
        <v>76</v>
      </c>
      <c r="J10" s="143">
        <v>1012889</v>
      </c>
    </row>
    <row r="11" spans="1:10" ht="15" x14ac:dyDescent="0.25">
      <c r="A11" s="135" t="s">
        <v>75</v>
      </c>
      <c r="B11" s="135">
        <v>9114601353</v>
      </c>
      <c r="C11" s="137" t="s">
        <v>57</v>
      </c>
      <c r="D11" s="135" t="s">
        <v>58</v>
      </c>
      <c r="E11" s="135" t="s">
        <v>59</v>
      </c>
      <c r="F11" s="137" t="s">
        <v>60</v>
      </c>
      <c r="G11" s="135">
        <f>33216/48</f>
        <v>692</v>
      </c>
      <c r="H11" s="138">
        <f t="shared" si="0"/>
        <v>7.4736000000000002</v>
      </c>
      <c r="I11" s="137" t="s">
        <v>77</v>
      </c>
      <c r="J11" s="143">
        <v>1011427</v>
      </c>
    </row>
    <row r="12" spans="1:10" ht="15" x14ac:dyDescent="0.25">
      <c r="A12" s="135"/>
      <c r="B12" s="131"/>
      <c r="C12" s="124"/>
      <c r="D12" s="124"/>
      <c r="E12" s="124"/>
      <c r="F12" s="124"/>
      <c r="G12" s="125"/>
      <c r="H12" s="129"/>
      <c r="I12" s="124"/>
      <c r="J12" s="125"/>
    </row>
    <row r="13" spans="1:10" ht="15" x14ac:dyDescent="0.25">
      <c r="A13" s="130"/>
      <c r="B13" s="132"/>
      <c r="C13" s="127"/>
      <c r="D13" s="127"/>
      <c r="E13" s="127"/>
      <c r="F13" s="127"/>
      <c r="G13" s="128">
        <f>SUM(G3:G12)</f>
        <v>7913</v>
      </c>
      <c r="H13" s="136">
        <f>SUM(H3:H12)</f>
        <v>85.460400000000021</v>
      </c>
      <c r="I13" s="127"/>
      <c r="J13" s="128">
        <f>SUM(J3:J12)</f>
        <v>12156126</v>
      </c>
    </row>
  </sheetData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40" sqref="B40"/>
    </sheetView>
  </sheetViews>
  <sheetFormatPr defaultRowHeight="12.75" x14ac:dyDescent="0.2"/>
  <cols>
    <col min="1" max="1" width="9" bestFit="1" customWidth="1"/>
    <col min="2" max="2" width="7.7109375" customWidth="1"/>
    <col min="3" max="3" width="10.140625" customWidth="1"/>
    <col min="4" max="4" width="10.7109375" bestFit="1" customWidth="1"/>
    <col min="5" max="5" width="8.85546875" customWidth="1"/>
    <col min="6" max="7" width="10.5703125" customWidth="1"/>
    <col min="8" max="8" width="11" customWidth="1"/>
    <col min="9" max="9" width="12.7109375" customWidth="1"/>
    <col min="10" max="10" width="9.140625" bestFit="1" customWidth="1"/>
    <col min="11" max="11" width="25" customWidth="1"/>
    <col min="12" max="12" width="2.140625" customWidth="1"/>
    <col min="13" max="13" width="13" bestFit="1" customWidth="1"/>
    <col min="14" max="14" width="11.42578125" bestFit="1" customWidth="1"/>
    <col min="15" max="15" width="21.7109375" customWidth="1"/>
    <col min="16" max="16" width="1.7109375" customWidth="1"/>
    <col min="17" max="17" width="13.7109375" hidden="1" customWidth="1"/>
    <col min="18" max="18" width="13.140625" hidden="1" customWidth="1"/>
    <col min="19" max="19" width="11.42578125" hidden="1" customWidth="1"/>
    <col min="20" max="20" width="0" hidden="1" customWidth="1"/>
    <col min="21" max="21" width="11.42578125" hidden="1" customWidth="1"/>
    <col min="22" max="22" width="2.5703125" hidden="1" customWidth="1"/>
    <col min="23" max="23" width="15.85546875" hidden="1" customWidth="1"/>
    <col min="24" max="25" width="9.140625" hidden="1" customWidth="1"/>
  </cols>
  <sheetData>
    <row r="1" spans="1:25" ht="13.5" thickBot="1" x14ac:dyDescent="0.25">
      <c r="A1" s="139" t="s">
        <v>71</v>
      </c>
      <c r="B1" s="140" t="s">
        <v>69</v>
      </c>
      <c r="C1" s="141"/>
      <c r="D1" s="141"/>
      <c r="E1" s="141"/>
      <c r="F1" s="142"/>
    </row>
    <row r="2" spans="1:25" ht="16.5" thickBot="1" x14ac:dyDescent="0.3">
      <c r="A2" s="222" t="s">
        <v>72</v>
      </c>
      <c r="B2" s="223"/>
      <c r="C2" s="223"/>
      <c r="D2" s="223"/>
      <c r="E2" s="223"/>
      <c r="F2" s="224"/>
      <c r="G2" s="225" t="s">
        <v>78</v>
      </c>
      <c r="H2" s="226"/>
      <c r="I2" s="226"/>
      <c r="J2" s="226"/>
      <c r="K2" s="227"/>
      <c r="L2" s="31"/>
      <c r="M2" s="221" t="s">
        <v>17</v>
      </c>
      <c r="N2" s="221"/>
      <c r="Q2" s="219" t="s">
        <v>29</v>
      </c>
      <c r="R2" s="219"/>
      <c r="S2" s="219"/>
      <c r="T2" s="219"/>
      <c r="U2" s="220"/>
      <c r="W2" s="37" t="s">
        <v>30</v>
      </c>
    </row>
    <row r="3" spans="1:25" ht="30" thickBot="1" x14ac:dyDescent="0.3">
      <c r="A3" s="18" t="s">
        <v>1</v>
      </c>
      <c r="B3" s="120" t="s">
        <v>2</v>
      </c>
      <c r="C3" s="120" t="s">
        <v>3</v>
      </c>
      <c r="D3" s="15" t="s">
        <v>4</v>
      </c>
      <c r="E3" s="145" t="s">
        <v>3</v>
      </c>
      <c r="F3" s="144" t="s">
        <v>54</v>
      </c>
      <c r="G3" s="120" t="s">
        <v>6</v>
      </c>
      <c r="H3" s="120" t="s">
        <v>3</v>
      </c>
      <c r="I3" s="15" t="s">
        <v>4</v>
      </c>
      <c r="J3" s="15" t="s">
        <v>7</v>
      </c>
      <c r="K3" s="146" t="s">
        <v>54</v>
      </c>
      <c r="L3" s="32"/>
      <c r="M3" s="71" t="s">
        <v>9</v>
      </c>
      <c r="N3" s="10" t="s">
        <v>10</v>
      </c>
      <c r="O3" s="10" t="s">
        <v>11</v>
      </c>
      <c r="Q3" s="19" t="s">
        <v>6</v>
      </c>
      <c r="R3" s="19" t="s">
        <v>3</v>
      </c>
      <c r="S3" s="15" t="s">
        <v>4</v>
      </c>
      <c r="T3" s="15" t="s">
        <v>7</v>
      </c>
      <c r="U3" s="21" t="s">
        <v>5</v>
      </c>
      <c r="W3" s="36" t="s">
        <v>9</v>
      </c>
      <c r="X3" s="10" t="s">
        <v>10</v>
      </c>
      <c r="Y3" s="10" t="s">
        <v>11</v>
      </c>
    </row>
    <row r="4" spans="1:25" ht="15" x14ac:dyDescent="0.2">
      <c r="A4" s="11">
        <v>42156</v>
      </c>
      <c r="B4" s="1"/>
      <c r="C4" s="87">
        <f>B4</f>
        <v>0</v>
      </c>
      <c r="D4" s="97"/>
      <c r="E4" s="97">
        <f>D4</f>
        <v>0</v>
      </c>
      <c r="F4" s="62"/>
      <c r="G4" s="1"/>
      <c r="H4" s="2">
        <f>G4</f>
        <v>0</v>
      </c>
      <c r="I4" s="97">
        <f t="shared" ref="I4:I34" si="0">J4*10.8/1000</f>
        <v>0</v>
      </c>
      <c r="J4" s="121"/>
      <c r="K4" s="62"/>
      <c r="L4" s="33"/>
      <c r="M4" s="72"/>
      <c r="N4" s="63">
        <f>+M4*10.8/1000</f>
        <v>0</v>
      </c>
      <c r="O4" s="74"/>
      <c r="Q4" s="1"/>
      <c r="R4" s="2">
        <f>Q4</f>
        <v>0</v>
      </c>
      <c r="S4" s="97">
        <f>T4*9.6/1000</f>
        <v>0</v>
      </c>
      <c r="T4" s="5"/>
      <c r="U4" s="62"/>
      <c r="W4" s="30"/>
      <c r="X4" s="63">
        <f>+W4*9.6/1000</f>
        <v>0</v>
      </c>
      <c r="Y4" s="38"/>
    </row>
    <row r="5" spans="1:25" ht="15" x14ac:dyDescent="0.25">
      <c r="A5" s="11">
        <f t="shared" ref="A5:A34" si="1">A4+1</f>
        <v>42157</v>
      </c>
      <c r="B5" s="1"/>
      <c r="C5" s="2">
        <f t="shared" ref="C5:C34" si="2">B5+C4</f>
        <v>0</v>
      </c>
      <c r="D5" s="97"/>
      <c r="E5" s="97">
        <f t="shared" ref="E5:E34" si="3">D5+E4</f>
        <v>0</v>
      </c>
      <c r="F5" s="62"/>
      <c r="G5" s="1"/>
      <c r="H5" s="2">
        <f t="shared" ref="H5:H34" si="4">H4+G5</f>
        <v>0</v>
      </c>
      <c r="I5" s="97">
        <f t="shared" si="0"/>
        <v>0</v>
      </c>
      <c r="J5" s="5"/>
      <c r="K5" s="62"/>
      <c r="L5" s="34"/>
      <c r="M5" s="75"/>
      <c r="N5" s="63">
        <f t="shared" ref="N5:N34" si="5">+M5*10.8/1000</f>
        <v>0</v>
      </c>
      <c r="O5" s="76"/>
      <c r="Q5" s="1"/>
      <c r="R5" s="2">
        <f t="shared" ref="R5:R34" si="6">R4+Q5</f>
        <v>0</v>
      </c>
      <c r="S5" s="97">
        <f t="shared" ref="S5:S34" si="7">T5*9.6/1000</f>
        <v>0</v>
      </c>
      <c r="T5" s="5"/>
      <c r="U5" s="62"/>
      <c r="W5" s="44"/>
      <c r="X5" s="63">
        <f t="shared" ref="X5:X34" si="8">+W5*9.6/1000</f>
        <v>0</v>
      </c>
      <c r="Y5" s="38"/>
    </row>
    <row r="6" spans="1:25" ht="15" x14ac:dyDescent="0.25">
      <c r="A6" s="11">
        <f t="shared" si="1"/>
        <v>42158</v>
      </c>
      <c r="B6" s="1"/>
      <c r="C6" s="2">
        <f t="shared" si="2"/>
        <v>0</v>
      </c>
      <c r="D6" s="97"/>
      <c r="E6" s="97">
        <f t="shared" si="3"/>
        <v>0</v>
      </c>
      <c r="F6" s="62"/>
      <c r="G6" s="1"/>
      <c r="H6" s="2">
        <f t="shared" si="4"/>
        <v>0</v>
      </c>
      <c r="I6" s="97">
        <f t="shared" si="0"/>
        <v>0</v>
      </c>
      <c r="J6" s="5"/>
      <c r="K6" s="62"/>
      <c r="L6" s="34"/>
      <c r="M6" s="75"/>
      <c r="N6" s="63">
        <f t="shared" si="5"/>
        <v>0</v>
      </c>
      <c r="O6" s="76"/>
      <c r="Q6" s="1"/>
      <c r="R6" s="2">
        <f t="shared" si="6"/>
        <v>0</v>
      </c>
      <c r="S6" s="97">
        <f t="shared" si="7"/>
        <v>0</v>
      </c>
      <c r="T6" s="5"/>
      <c r="U6" s="62"/>
      <c r="W6" s="44"/>
      <c r="X6" s="63">
        <f t="shared" si="8"/>
        <v>0</v>
      </c>
      <c r="Y6" s="38"/>
    </row>
    <row r="7" spans="1:25" ht="15" x14ac:dyDescent="0.25">
      <c r="A7" s="11">
        <f t="shared" si="1"/>
        <v>42159</v>
      </c>
      <c r="B7" s="1"/>
      <c r="C7" s="2">
        <f t="shared" si="2"/>
        <v>0</v>
      </c>
      <c r="D7" s="97"/>
      <c r="E7" s="97">
        <f t="shared" si="3"/>
        <v>0</v>
      </c>
      <c r="F7" s="62"/>
      <c r="G7" s="1"/>
      <c r="H7" s="2">
        <f t="shared" si="4"/>
        <v>0</v>
      </c>
      <c r="I7" s="97">
        <f t="shared" si="0"/>
        <v>0</v>
      </c>
      <c r="J7" s="5"/>
      <c r="K7" s="62"/>
      <c r="L7" s="34"/>
      <c r="M7" s="75"/>
      <c r="N7" s="63">
        <f t="shared" si="5"/>
        <v>0</v>
      </c>
      <c r="O7" s="76">
        <v>42109</v>
      </c>
      <c r="Q7" s="1"/>
      <c r="R7" s="2">
        <f t="shared" si="6"/>
        <v>0</v>
      </c>
      <c r="S7" s="97">
        <f t="shared" si="7"/>
        <v>0</v>
      </c>
      <c r="T7" s="5"/>
      <c r="U7" s="62"/>
      <c r="W7" s="44"/>
      <c r="X7" s="63">
        <f t="shared" si="8"/>
        <v>0</v>
      </c>
      <c r="Y7" s="38"/>
    </row>
    <row r="8" spans="1:25" ht="15" x14ac:dyDescent="0.25">
      <c r="A8" s="11">
        <f t="shared" si="1"/>
        <v>42160</v>
      </c>
      <c r="B8" s="1">
        <v>2</v>
      </c>
      <c r="C8" s="2">
        <f t="shared" si="2"/>
        <v>2</v>
      </c>
      <c r="D8" s="97">
        <f>145*12/1000</f>
        <v>1.74</v>
      </c>
      <c r="E8" s="97">
        <f t="shared" si="3"/>
        <v>1.74</v>
      </c>
      <c r="F8" s="62"/>
      <c r="G8" s="1"/>
      <c r="H8" s="2">
        <f t="shared" si="4"/>
        <v>0</v>
      </c>
      <c r="I8" s="97">
        <f t="shared" si="0"/>
        <v>0</v>
      </c>
      <c r="J8" s="5"/>
      <c r="K8" s="62"/>
      <c r="L8" s="34"/>
      <c r="M8" s="75"/>
      <c r="N8" s="63">
        <f t="shared" si="5"/>
        <v>0</v>
      </c>
      <c r="O8" s="76">
        <v>42139</v>
      </c>
      <c r="Q8" s="1"/>
      <c r="R8" s="2">
        <f t="shared" si="6"/>
        <v>0</v>
      </c>
      <c r="S8" s="97">
        <f t="shared" si="7"/>
        <v>0</v>
      </c>
      <c r="T8" s="5"/>
      <c r="U8" s="62"/>
      <c r="W8" s="44"/>
      <c r="X8" s="63">
        <f t="shared" si="8"/>
        <v>0</v>
      </c>
      <c r="Y8" s="38"/>
    </row>
    <row r="9" spans="1:25" ht="15" x14ac:dyDescent="0.25">
      <c r="A9" s="11">
        <f t="shared" si="1"/>
        <v>42161</v>
      </c>
      <c r="B9" s="1">
        <v>18</v>
      </c>
      <c r="C9" s="2">
        <f t="shared" si="2"/>
        <v>20</v>
      </c>
      <c r="D9" s="97">
        <f>(683+1130)*12/1000</f>
        <v>21.756</v>
      </c>
      <c r="E9" s="97">
        <f t="shared" si="3"/>
        <v>23.495999999999999</v>
      </c>
      <c r="F9" s="62"/>
      <c r="G9" s="1"/>
      <c r="H9" s="2">
        <f t="shared" si="4"/>
        <v>0</v>
      </c>
      <c r="I9" s="97">
        <f t="shared" si="0"/>
        <v>0</v>
      </c>
      <c r="J9" s="65"/>
      <c r="K9" s="62"/>
      <c r="L9" s="33"/>
      <c r="M9" s="79"/>
      <c r="N9" s="63">
        <f t="shared" si="5"/>
        <v>0</v>
      </c>
      <c r="O9" s="80"/>
      <c r="Q9" s="1"/>
      <c r="R9" s="2">
        <f t="shared" si="6"/>
        <v>0</v>
      </c>
      <c r="S9" s="97">
        <f t="shared" si="7"/>
        <v>0</v>
      </c>
      <c r="T9" s="65"/>
      <c r="U9" s="96"/>
      <c r="W9" s="66"/>
      <c r="X9" s="63">
        <f t="shared" si="8"/>
        <v>0</v>
      </c>
      <c r="Y9" s="14"/>
    </row>
    <row r="10" spans="1:25" ht="15" x14ac:dyDescent="0.25">
      <c r="A10" s="11">
        <f t="shared" si="1"/>
        <v>42162</v>
      </c>
      <c r="B10" s="1">
        <v>18</v>
      </c>
      <c r="C10" s="2">
        <f t="shared" si="2"/>
        <v>38</v>
      </c>
      <c r="D10" s="97">
        <f>(155+250+700+960)*12/1000</f>
        <v>24.78</v>
      </c>
      <c r="E10" s="97">
        <f t="shared" si="3"/>
        <v>48.275999999999996</v>
      </c>
      <c r="F10" s="62"/>
      <c r="G10" s="1"/>
      <c r="H10" s="2">
        <f t="shared" si="4"/>
        <v>0</v>
      </c>
      <c r="I10" s="97">
        <f t="shared" si="0"/>
        <v>0</v>
      </c>
      <c r="J10" s="5"/>
      <c r="K10" s="62"/>
      <c r="L10" s="33"/>
      <c r="M10" s="77"/>
      <c r="N10" s="63">
        <f t="shared" si="5"/>
        <v>0</v>
      </c>
      <c r="O10" s="81"/>
      <c r="Q10" s="1"/>
      <c r="R10" s="2">
        <f t="shared" si="6"/>
        <v>0</v>
      </c>
      <c r="S10" s="97">
        <f t="shared" si="7"/>
        <v>0</v>
      </c>
      <c r="T10" s="5"/>
      <c r="U10" s="62"/>
      <c r="W10" s="13"/>
      <c r="X10" s="63">
        <f t="shared" si="8"/>
        <v>0</v>
      </c>
      <c r="Y10" s="29"/>
    </row>
    <row r="11" spans="1:25" ht="15" x14ac:dyDescent="0.25">
      <c r="A11" s="11">
        <f t="shared" si="1"/>
        <v>42163</v>
      </c>
      <c r="B11" s="1"/>
      <c r="C11" s="2">
        <f t="shared" si="2"/>
        <v>38</v>
      </c>
      <c r="D11" s="97">
        <f>123*12/1000</f>
        <v>1.476</v>
      </c>
      <c r="E11" s="97">
        <f t="shared" si="3"/>
        <v>49.751999999999995</v>
      </c>
      <c r="F11" s="4"/>
      <c r="G11" s="1"/>
      <c r="H11" s="2">
        <f t="shared" si="4"/>
        <v>0</v>
      </c>
      <c r="I11" s="97">
        <f t="shared" si="0"/>
        <v>8.0136000000000003</v>
      </c>
      <c r="J11" s="5">
        <f>396+346</f>
        <v>742</v>
      </c>
      <c r="K11" s="62"/>
      <c r="L11" s="33"/>
      <c r="M11" s="77"/>
      <c r="N11" s="63">
        <f t="shared" si="5"/>
        <v>0</v>
      </c>
      <c r="O11" s="76"/>
      <c r="Q11" s="1"/>
      <c r="R11" s="2">
        <f t="shared" si="6"/>
        <v>0</v>
      </c>
      <c r="S11" s="97">
        <f t="shared" si="7"/>
        <v>0</v>
      </c>
      <c r="T11" s="5"/>
      <c r="U11" s="62"/>
      <c r="W11" s="13"/>
      <c r="X11" s="63">
        <f t="shared" si="8"/>
        <v>0</v>
      </c>
      <c r="Y11" s="38"/>
    </row>
    <row r="12" spans="1:25" ht="15" x14ac:dyDescent="0.25">
      <c r="A12" s="11">
        <f t="shared" si="1"/>
        <v>42164</v>
      </c>
      <c r="B12" s="1"/>
      <c r="C12" s="2">
        <f t="shared" si="2"/>
        <v>38</v>
      </c>
      <c r="D12" s="97"/>
      <c r="E12" s="97">
        <f t="shared" si="3"/>
        <v>49.751999999999995</v>
      </c>
      <c r="F12" s="4"/>
      <c r="G12" s="1"/>
      <c r="H12" s="2">
        <f t="shared" si="4"/>
        <v>0</v>
      </c>
      <c r="I12" s="97">
        <f t="shared" si="0"/>
        <v>10.638</v>
      </c>
      <c r="J12" s="5">
        <f>706+279</f>
        <v>985</v>
      </c>
      <c r="K12" s="62"/>
      <c r="L12" s="33"/>
      <c r="M12" s="147">
        <f>396+346</f>
        <v>742</v>
      </c>
      <c r="N12" s="63">
        <f t="shared" si="5"/>
        <v>8.0136000000000003</v>
      </c>
      <c r="O12" s="76"/>
      <c r="Q12" s="1"/>
      <c r="R12" s="2">
        <f t="shared" si="6"/>
        <v>0</v>
      </c>
      <c r="S12" s="97">
        <f t="shared" si="7"/>
        <v>0</v>
      </c>
      <c r="T12" s="5"/>
      <c r="U12" s="62"/>
      <c r="W12" s="13"/>
      <c r="X12" s="63">
        <f t="shared" si="8"/>
        <v>0</v>
      </c>
      <c r="Y12" s="38"/>
    </row>
    <row r="13" spans="1:25" ht="15" x14ac:dyDescent="0.2">
      <c r="A13" s="11">
        <f t="shared" si="1"/>
        <v>42165</v>
      </c>
      <c r="B13" s="1"/>
      <c r="C13" s="2">
        <f t="shared" si="2"/>
        <v>38</v>
      </c>
      <c r="D13" s="97"/>
      <c r="E13" s="97">
        <f t="shared" si="3"/>
        <v>49.751999999999995</v>
      </c>
      <c r="F13" s="4"/>
      <c r="G13" s="1"/>
      <c r="H13" s="2">
        <f t="shared" si="4"/>
        <v>0</v>
      </c>
      <c r="I13" s="97">
        <f t="shared" si="0"/>
        <v>9.4824000000000019</v>
      </c>
      <c r="J13" s="5">
        <f>876+2</f>
        <v>878</v>
      </c>
      <c r="K13" s="62"/>
      <c r="L13" s="33"/>
      <c r="M13" s="82"/>
      <c r="N13" s="63">
        <f t="shared" si="5"/>
        <v>0</v>
      </c>
      <c r="O13" s="81"/>
      <c r="Q13" s="1"/>
      <c r="R13" s="2">
        <f t="shared" si="6"/>
        <v>0</v>
      </c>
      <c r="S13" s="97">
        <f t="shared" si="7"/>
        <v>0</v>
      </c>
      <c r="T13" s="5"/>
      <c r="U13" s="62"/>
      <c r="W13" s="30"/>
      <c r="X13" s="63">
        <f t="shared" si="8"/>
        <v>0</v>
      </c>
      <c r="Y13" s="29"/>
    </row>
    <row r="14" spans="1:25" ht="15" x14ac:dyDescent="0.25">
      <c r="A14" s="11">
        <f t="shared" si="1"/>
        <v>42166</v>
      </c>
      <c r="B14" s="1"/>
      <c r="C14" s="2">
        <f t="shared" si="2"/>
        <v>38</v>
      </c>
      <c r="D14" s="97"/>
      <c r="E14" s="97">
        <f t="shared" si="3"/>
        <v>49.751999999999995</v>
      </c>
      <c r="F14" s="4"/>
      <c r="G14" s="1"/>
      <c r="H14" s="2">
        <f t="shared" si="4"/>
        <v>0</v>
      </c>
      <c r="I14" s="97">
        <f t="shared" si="0"/>
        <v>13.586400000000001</v>
      </c>
      <c r="J14" s="5">
        <f>741+517</f>
        <v>1258</v>
      </c>
      <c r="K14" s="62"/>
      <c r="L14" s="33"/>
      <c r="M14" s="77">
        <f>706+1155</f>
        <v>1861</v>
      </c>
      <c r="N14" s="63">
        <f t="shared" si="5"/>
        <v>20.098800000000004</v>
      </c>
      <c r="O14" s="81"/>
      <c r="Q14" s="1"/>
      <c r="R14" s="2">
        <f t="shared" si="6"/>
        <v>0</v>
      </c>
      <c r="S14" s="97">
        <f t="shared" si="7"/>
        <v>0</v>
      </c>
      <c r="T14" s="5"/>
      <c r="U14" s="62"/>
      <c r="W14" s="13"/>
      <c r="X14" s="63">
        <f t="shared" si="8"/>
        <v>0</v>
      </c>
      <c r="Y14" s="29"/>
    </row>
    <row r="15" spans="1:25" ht="15" x14ac:dyDescent="0.25">
      <c r="A15" s="11">
        <f t="shared" si="1"/>
        <v>42167</v>
      </c>
      <c r="B15" s="1"/>
      <c r="C15" s="2">
        <f t="shared" si="2"/>
        <v>38</v>
      </c>
      <c r="D15" s="97"/>
      <c r="E15" s="97">
        <f t="shared" si="3"/>
        <v>49.751999999999995</v>
      </c>
      <c r="F15" s="39"/>
      <c r="G15" s="1"/>
      <c r="H15" s="2">
        <f t="shared" si="4"/>
        <v>0</v>
      </c>
      <c r="I15" s="97">
        <f t="shared" si="0"/>
        <v>7.5384000000000002</v>
      </c>
      <c r="J15" s="5">
        <f>571+127</f>
        <v>698</v>
      </c>
      <c r="K15" s="62"/>
      <c r="L15" s="33"/>
      <c r="M15" s="77">
        <f>743+1088+127</f>
        <v>1958</v>
      </c>
      <c r="N15" s="63">
        <f t="shared" si="5"/>
        <v>21.1464</v>
      </c>
      <c r="O15" s="81"/>
      <c r="Q15" s="1"/>
      <c r="R15" s="2">
        <f t="shared" si="6"/>
        <v>0</v>
      </c>
      <c r="S15" s="97">
        <f t="shared" si="7"/>
        <v>0</v>
      </c>
      <c r="T15" s="5"/>
      <c r="U15" s="62"/>
      <c r="W15" s="13"/>
      <c r="X15" s="63">
        <f t="shared" si="8"/>
        <v>0</v>
      </c>
      <c r="Y15" s="29"/>
    </row>
    <row r="16" spans="1:25" ht="15" x14ac:dyDescent="0.25">
      <c r="A16" s="11">
        <f t="shared" si="1"/>
        <v>42168</v>
      </c>
      <c r="B16" s="1"/>
      <c r="C16" s="2">
        <f t="shared" si="2"/>
        <v>38</v>
      </c>
      <c r="D16" s="97"/>
      <c r="E16" s="97">
        <f t="shared" si="3"/>
        <v>49.751999999999995</v>
      </c>
      <c r="F16" s="96"/>
      <c r="G16" s="1"/>
      <c r="H16" s="2">
        <f t="shared" si="4"/>
        <v>0</v>
      </c>
      <c r="I16" s="97">
        <f t="shared" si="0"/>
        <v>0</v>
      </c>
      <c r="J16" s="5"/>
      <c r="K16" s="62"/>
      <c r="L16" s="33"/>
      <c r="M16" s="77"/>
      <c r="N16" s="63">
        <f t="shared" si="5"/>
        <v>0</v>
      </c>
      <c r="O16" s="76"/>
      <c r="Q16" s="1"/>
      <c r="R16" s="2">
        <f t="shared" si="6"/>
        <v>0</v>
      </c>
      <c r="S16" s="97">
        <f t="shared" si="7"/>
        <v>0</v>
      </c>
      <c r="T16" s="5"/>
      <c r="U16" s="62"/>
      <c r="W16" s="13"/>
      <c r="X16" s="63">
        <f t="shared" si="8"/>
        <v>0</v>
      </c>
      <c r="Y16" s="38"/>
    </row>
    <row r="17" spans="1:255" ht="15" x14ac:dyDescent="0.25">
      <c r="A17" s="11">
        <f t="shared" si="1"/>
        <v>42169</v>
      </c>
      <c r="B17" s="1"/>
      <c r="C17" s="2">
        <f t="shared" si="2"/>
        <v>38</v>
      </c>
      <c r="D17" s="97"/>
      <c r="E17" s="97">
        <f t="shared" si="3"/>
        <v>49.751999999999995</v>
      </c>
      <c r="F17" s="96"/>
      <c r="G17" s="1"/>
      <c r="H17" s="2">
        <f t="shared" si="4"/>
        <v>0</v>
      </c>
      <c r="I17" s="97">
        <f t="shared" si="0"/>
        <v>0</v>
      </c>
      <c r="J17" s="5"/>
      <c r="K17" s="62"/>
      <c r="L17" s="33"/>
      <c r="M17" s="77"/>
      <c r="N17" s="63">
        <f t="shared" si="5"/>
        <v>0</v>
      </c>
      <c r="O17" s="81"/>
      <c r="Q17" s="1"/>
      <c r="R17" s="2">
        <f t="shared" si="6"/>
        <v>0</v>
      </c>
      <c r="S17" s="97">
        <f t="shared" si="7"/>
        <v>0</v>
      </c>
      <c r="T17" s="5"/>
      <c r="U17" s="62"/>
      <c r="W17" s="13"/>
      <c r="X17" s="63">
        <f t="shared" si="8"/>
        <v>0</v>
      </c>
      <c r="Y17" s="29"/>
    </row>
    <row r="18" spans="1:255" ht="15" x14ac:dyDescent="0.25">
      <c r="A18" s="11">
        <f t="shared" si="1"/>
        <v>42170</v>
      </c>
      <c r="B18" s="1"/>
      <c r="C18" s="2">
        <f t="shared" si="2"/>
        <v>38</v>
      </c>
      <c r="D18" s="97"/>
      <c r="E18" s="121">
        <f t="shared" si="3"/>
        <v>49.751999999999995</v>
      </c>
      <c r="F18" s="96"/>
      <c r="G18" s="1"/>
      <c r="H18" s="2">
        <f t="shared" si="4"/>
        <v>0</v>
      </c>
      <c r="I18" s="97">
        <f t="shared" si="0"/>
        <v>0</v>
      </c>
      <c r="J18" s="5"/>
      <c r="K18" s="62"/>
      <c r="L18" s="33"/>
      <c r="M18" s="77"/>
      <c r="N18" s="63">
        <f t="shared" si="5"/>
        <v>0</v>
      </c>
      <c r="O18" s="81"/>
      <c r="Q18" s="1"/>
      <c r="R18" s="2">
        <f t="shared" si="6"/>
        <v>0</v>
      </c>
      <c r="S18" s="97">
        <f t="shared" si="7"/>
        <v>0</v>
      </c>
      <c r="T18" s="5"/>
      <c r="U18" s="62"/>
      <c r="W18" s="13"/>
      <c r="X18" s="63">
        <f t="shared" si="8"/>
        <v>0</v>
      </c>
      <c r="Y18" s="29"/>
    </row>
    <row r="19" spans="1:255" ht="15" x14ac:dyDescent="0.25">
      <c r="A19" s="11">
        <f t="shared" si="1"/>
        <v>42171</v>
      </c>
      <c r="B19" s="1"/>
      <c r="C19" s="2">
        <f t="shared" si="2"/>
        <v>38</v>
      </c>
      <c r="D19" s="97"/>
      <c r="E19" s="97">
        <f t="shared" si="3"/>
        <v>49.751999999999995</v>
      </c>
      <c r="F19" s="96"/>
      <c r="G19" s="1"/>
      <c r="H19" s="2">
        <f t="shared" si="4"/>
        <v>0</v>
      </c>
      <c r="I19" s="97">
        <f t="shared" si="0"/>
        <v>0</v>
      </c>
      <c r="J19" s="5"/>
      <c r="K19" s="62"/>
      <c r="L19" s="33"/>
      <c r="M19" s="77"/>
      <c r="N19" s="63">
        <f t="shared" si="5"/>
        <v>0</v>
      </c>
      <c r="O19" s="122"/>
      <c r="Q19" s="1"/>
      <c r="R19" s="2">
        <f t="shared" si="6"/>
        <v>0</v>
      </c>
      <c r="S19" s="97">
        <f t="shared" si="7"/>
        <v>0</v>
      </c>
      <c r="T19" s="5"/>
      <c r="U19" s="62"/>
      <c r="W19" s="13"/>
      <c r="X19" s="63">
        <f t="shared" si="8"/>
        <v>0</v>
      </c>
      <c r="Y19" s="29"/>
    </row>
    <row r="20" spans="1:255" ht="15" x14ac:dyDescent="0.25">
      <c r="A20" s="11">
        <f t="shared" si="1"/>
        <v>42172</v>
      </c>
      <c r="B20" s="1"/>
      <c r="C20" s="2">
        <f>B20+C19</f>
        <v>38</v>
      </c>
      <c r="D20" s="97"/>
      <c r="E20" s="97">
        <f t="shared" si="3"/>
        <v>49.751999999999995</v>
      </c>
      <c r="F20" s="96"/>
      <c r="G20" s="1"/>
      <c r="H20" s="2">
        <f t="shared" si="4"/>
        <v>0</v>
      </c>
      <c r="I20" s="97">
        <f t="shared" si="0"/>
        <v>0</v>
      </c>
      <c r="J20" s="5"/>
      <c r="K20" s="62"/>
      <c r="L20" s="33"/>
      <c r="M20" s="77"/>
      <c r="N20" s="63">
        <f t="shared" si="5"/>
        <v>0</v>
      </c>
      <c r="O20" s="81"/>
      <c r="Q20" s="1"/>
      <c r="R20" s="2">
        <f t="shared" si="6"/>
        <v>0</v>
      </c>
      <c r="S20" s="97">
        <f t="shared" si="7"/>
        <v>0</v>
      </c>
      <c r="T20" s="5"/>
      <c r="U20" s="62"/>
      <c r="W20" s="13"/>
      <c r="X20" s="63">
        <f t="shared" si="8"/>
        <v>0</v>
      </c>
      <c r="Y20" s="29"/>
    </row>
    <row r="21" spans="1:255" ht="15" x14ac:dyDescent="0.25">
      <c r="A21" s="11">
        <f t="shared" si="1"/>
        <v>42173</v>
      </c>
      <c r="B21" s="1">
        <v>18</v>
      </c>
      <c r="C21" s="2">
        <f t="shared" si="2"/>
        <v>56</v>
      </c>
      <c r="D21" s="97"/>
      <c r="E21" s="97">
        <f t="shared" si="3"/>
        <v>49.751999999999995</v>
      </c>
      <c r="F21" s="67"/>
      <c r="G21" s="1"/>
      <c r="H21" s="2">
        <f t="shared" si="4"/>
        <v>0</v>
      </c>
      <c r="I21" s="97">
        <f t="shared" si="0"/>
        <v>0</v>
      </c>
      <c r="J21" s="5"/>
      <c r="K21" s="62"/>
      <c r="L21" s="33"/>
      <c r="M21" s="77"/>
      <c r="N21" s="63">
        <f t="shared" si="5"/>
        <v>0</v>
      </c>
      <c r="O21" s="81"/>
      <c r="Q21" s="1"/>
      <c r="R21" s="2">
        <f t="shared" si="6"/>
        <v>0</v>
      </c>
      <c r="S21" s="97">
        <f t="shared" si="7"/>
        <v>0</v>
      </c>
      <c r="T21" s="5"/>
      <c r="U21" s="62"/>
      <c r="W21" s="13"/>
      <c r="X21" s="63">
        <f t="shared" si="8"/>
        <v>0</v>
      </c>
      <c r="Y21" s="29"/>
    </row>
    <row r="22" spans="1:255" ht="15" x14ac:dyDescent="0.25">
      <c r="A22" s="11">
        <f t="shared" si="1"/>
        <v>42174</v>
      </c>
      <c r="B22" s="1">
        <v>18</v>
      </c>
      <c r="C22" s="2">
        <f t="shared" si="2"/>
        <v>74</v>
      </c>
      <c r="D22" s="97"/>
      <c r="E22" s="97">
        <f t="shared" si="3"/>
        <v>49.751999999999995</v>
      </c>
      <c r="F22" s="96"/>
      <c r="G22" s="1"/>
      <c r="H22" s="2">
        <f t="shared" si="4"/>
        <v>0</v>
      </c>
      <c r="I22" s="97">
        <f t="shared" si="0"/>
        <v>0</v>
      </c>
      <c r="J22" s="5"/>
      <c r="K22" s="62"/>
      <c r="L22" s="33"/>
      <c r="M22" s="77"/>
      <c r="N22" s="63">
        <f t="shared" si="5"/>
        <v>0</v>
      </c>
      <c r="O22" s="81"/>
      <c r="Q22" s="1"/>
      <c r="R22" s="2">
        <f t="shared" si="6"/>
        <v>0</v>
      </c>
      <c r="S22" s="97">
        <f t="shared" si="7"/>
        <v>0</v>
      </c>
      <c r="T22" s="5"/>
      <c r="U22" s="62"/>
      <c r="W22" s="13"/>
      <c r="X22" s="63">
        <f t="shared" si="8"/>
        <v>0</v>
      </c>
      <c r="Y22" s="29"/>
    </row>
    <row r="23" spans="1:255" ht="15" x14ac:dyDescent="0.25">
      <c r="A23" s="11">
        <f t="shared" si="1"/>
        <v>42175</v>
      </c>
      <c r="B23" s="1">
        <v>18</v>
      </c>
      <c r="C23" s="2">
        <f t="shared" si="2"/>
        <v>92</v>
      </c>
      <c r="D23" s="97">
        <f>1852*0.012</f>
        <v>22.224</v>
      </c>
      <c r="E23" s="97">
        <f t="shared" si="3"/>
        <v>71.975999999999999</v>
      </c>
      <c r="F23" s="67"/>
      <c r="G23" s="1"/>
      <c r="H23" s="2">
        <f t="shared" si="4"/>
        <v>0</v>
      </c>
      <c r="I23" s="97">
        <f t="shared" si="0"/>
        <v>0</v>
      </c>
      <c r="J23" s="5"/>
      <c r="K23" s="62"/>
      <c r="L23" s="33"/>
      <c r="M23" s="77"/>
      <c r="N23" s="63">
        <f t="shared" si="5"/>
        <v>0</v>
      </c>
      <c r="O23" s="80"/>
      <c r="Q23" s="1"/>
      <c r="R23" s="2">
        <f t="shared" si="6"/>
        <v>0</v>
      </c>
      <c r="S23" s="97">
        <f t="shared" si="7"/>
        <v>0</v>
      </c>
      <c r="T23" s="5"/>
      <c r="U23" s="62"/>
      <c r="W23" s="13"/>
      <c r="X23" s="63">
        <f t="shared" si="8"/>
        <v>0</v>
      </c>
      <c r="Y23" s="14"/>
    </row>
    <row r="24" spans="1:255" ht="15" x14ac:dyDescent="0.25">
      <c r="A24" s="11">
        <f t="shared" si="1"/>
        <v>42176</v>
      </c>
      <c r="B24" s="1"/>
      <c r="C24" s="2">
        <f t="shared" si="2"/>
        <v>92</v>
      </c>
      <c r="D24" s="3">
        <f>+(959+801)*0.012</f>
        <v>21.12</v>
      </c>
      <c r="E24" s="97">
        <f t="shared" si="3"/>
        <v>93.096000000000004</v>
      </c>
      <c r="F24" s="62"/>
      <c r="G24" s="1"/>
      <c r="H24" s="2">
        <f t="shared" si="4"/>
        <v>0</v>
      </c>
      <c r="I24" s="97">
        <f t="shared" si="0"/>
        <v>0</v>
      </c>
      <c r="J24" s="5"/>
      <c r="K24" s="62"/>
      <c r="L24" s="33"/>
      <c r="M24" s="77"/>
      <c r="N24" s="63">
        <f t="shared" si="5"/>
        <v>0</v>
      </c>
      <c r="O24" s="81"/>
      <c r="Q24" s="1"/>
      <c r="R24" s="2">
        <f t="shared" si="6"/>
        <v>0</v>
      </c>
      <c r="S24" s="97">
        <f t="shared" si="7"/>
        <v>0</v>
      </c>
      <c r="T24" s="5"/>
      <c r="U24" s="62"/>
      <c r="W24" s="13"/>
      <c r="X24" s="63">
        <f t="shared" si="8"/>
        <v>0</v>
      </c>
      <c r="Y24" s="29"/>
      <c r="IU24">
        <f>845+1120+1290+1460</f>
        <v>4715</v>
      </c>
    </row>
    <row r="25" spans="1:255" ht="15" x14ac:dyDescent="0.25">
      <c r="A25" s="11">
        <f t="shared" si="1"/>
        <v>42177</v>
      </c>
      <c r="B25" s="1"/>
      <c r="C25" s="2">
        <f t="shared" si="2"/>
        <v>92</v>
      </c>
      <c r="D25" s="97"/>
      <c r="E25" s="97">
        <f t="shared" si="3"/>
        <v>93.096000000000004</v>
      </c>
      <c r="F25" s="62"/>
      <c r="G25" s="1"/>
      <c r="H25" s="2">
        <f t="shared" si="4"/>
        <v>0</v>
      </c>
      <c r="I25" s="97">
        <f t="shared" si="0"/>
        <v>11.599200000000002</v>
      </c>
      <c r="J25" s="5">
        <v>1074</v>
      </c>
      <c r="K25" s="62"/>
      <c r="L25" s="33"/>
      <c r="M25" s="77"/>
      <c r="N25" s="63">
        <f t="shared" si="5"/>
        <v>0</v>
      </c>
      <c r="O25" s="81"/>
      <c r="Q25" s="1"/>
      <c r="R25" s="2">
        <f t="shared" si="6"/>
        <v>0</v>
      </c>
      <c r="S25" s="97">
        <f t="shared" si="7"/>
        <v>0</v>
      </c>
      <c r="T25" s="5"/>
      <c r="U25" s="62"/>
      <c r="W25" s="13"/>
      <c r="X25" s="63">
        <f t="shared" si="8"/>
        <v>0</v>
      </c>
      <c r="Y25" s="29"/>
    </row>
    <row r="26" spans="1:255" ht="15" x14ac:dyDescent="0.25">
      <c r="A26" s="11">
        <f t="shared" si="1"/>
        <v>42178</v>
      </c>
      <c r="B26" s="1"/>
      <c r="C26" s="2">
        <f t="shared" si="2"/>
        <v>92</v>
      </c>
      <c r="D26" s="97"/>
      <c r="E26" s="97">
        <f t="shared" si="3"/>
        <v>93.096000000000004</v>
      </c>
      <c r="F26" s="62"/>
      <c r="G26" s="1"/>
      <c r="H26" s="2">
        <f t="shared" si="4"/>
        <v>0</v>
      </c>
      <c r="I26" s="97">
        <f t="shared" si="0"/>
        <v>14.310000000000002</v>
      </c>
      <c r="J26" s="5">
        <f>1025+300</f>
        <v>1325</v>
      </c>
      <c r="K26" s="62"/>
      <c r="L26" s="33"/>
      <c r="M26" s="77"/>
      <c r="N26" s="63">
        <f t="shared" si="5"/>
        <v>0</v>
      </c>
      <c r="O26" s="81"/>
      <c r="Q26" s="1"/>
      <c r="R26" s="2">
        <f t="shared" si="6"/>
        <v>0</v>
      </c>
      <c r="S26" s="97">
        <f t="shared" si="7"/>
        <v>0</v>
      </c>
      <c r="T26" s="5"/>
      <c r="U26" s="62"/>
      <c r="W26" s="13"/>
      <c r="X26" s="63">
        <f t="shared" si="8"/>
        <v>0</v>
      </c>
      <c r="Y26" s="38"/>
    </row>
    <row r="27" spans="1:255" ht="15" x14ac:dyDescent="0.25">
      <c r="A27" s="11">
        <f t="shared" si="1"/>
        <v>42179</v>
      </c>
      <c r="B27" s="1"/>
      <c r="C27" s="2">
        <f t="shared" si="2"/>
        <v>92</v>
      </c>
      <c r="D27" s="97"/>
      <c r="E27" s="97">
        <f t="shared" si="3"/>
        <v>93.096000000000004</v>
      </c>
      <c r="F27" s="62"/>
      <c r="G27" s="1"/>
      <c r="H27" s="2">
        <f t="shared" si="4"/>
        <v>0</v>
      </c>
      <c r="I27" s="97">
        <f t="shared" si="0"/>
        <v>11.037600000000001</v>
      </c>
      <c r="J27" s="5">
        <f>772+250</f>
        <v>1022</v>
      </c>
      <c r="K27" s="62"/>
      <c r="L27" s="33"/>
      <c r="M27" s="77">
        <f>1074+1025</f>
        <v>2099</v>
      </c>
      <c r="N27" s="63">
        <f t="shared" si="5"/>
        <v>22.6692</v>
      </c>
      <c r="O27" s="81"/>
      <c r="Q27" s="1"/>
      <c r="R27" s="2">
        <f t="shared" si="6"/>
        <v>0</v>
      </c>
      <c r="S27" s="97">
        <f t="shared" si="7"/>
        <v>0</v>
      </c>
      <c r="T27" s="5"/>
      <c r="U27" s="62"/>
      <c r="W27" s="13"/>
      <c r="X27" s="63">
        <f t="shared" si="8"/>
        <v>0</v>
      </c>
      <c r="Y27" s="29"/>
    </row>
    <row r="28" spans="1:255" ht="15" x14ac:dyDescent="0.25">
      <c r="A28" s="11">
        <f t="shared" si="1"/>
        <v>42180</v>
      </c>
      <c r="B28" s="1"/>
      <c r="C28" s="2">
        <f t="shared" si="2"/>
        <v>92</v>
      </c>
      <c r="D28" s="97"/>
      <c r="E28" s="97">
        <f t="shared" si="3"/>
        <v>93.096000000000004</v>
      </c>
      <c r="F28" s="62"/>
      <c r="G28" s="1"/>
      <c r="H28" s="2">
        <f t="shared" si="4"/>
        <v>0</v>
      </c>
      <c r="I28" s="97">
        <f t="shared" si="0"/>
        <v>6.8795999999999999</v>
      </c>
      <c r="J28" s="5">
        <f>637</f>
        <v>637</v>
      </c>
      <c r="K28" s="62"/>
      <c r="L28" s="33"/>
      <c r="M28" s="77"/>
      <c r="N28" s="63">
        <f t="shared" si="5"/>
        <v>0</v>
      </c>
      <c r="O28" s="81"/>
      <c r="Q28" s="1"/>
      <c r="R28" s="2">
        <f t="shared" si="6"/>
        <v>0</v>
      </c>
      <c r="S28" s="97">
        <f t="shared" si="7"/>
        <v>0</v>
      </c>
      <c r="T28" s="5"/>
      <c r="U28" s="62"/>
      <c r="W28" s="13"/>
      <c r="X28" s="63">
        <f t="shared" si="8"/>
        <v>0</v>
      </c>
      <c r="Y28" s="29"/>
    </row>
    <row r="29" spans="1:255" ht="15" x14ac:dyDescent="0.25">
      <c r="A29" s="11">
        <f t="shared" si="1"/>
        <v>42181</v>
      </c>
      <c r="B29" s="1"/>
      <c r="C29" s="2">
        <f t="shared" si="2"/>
        <v>92</v>
      </c>
      <c r="D29" s="97"/>
      <c r="E29" s="97">
        <f t="shared" si="3"/>
        <v>93.096000000000004</v>
      </c>
      <c r="F29" s="62"/>
      <c r="G29" s="1"/>
      <c r="H29" s="2">
        <f t="shared" si="4"/>
        <v>0</v>
      </c>
      <c r="I29" s="97">
        <f t="shared" si="0"/>
        <v>0</v>
      </c>
      <c r="J29" s="5"/>
      <c r="K29" s="62"/>
      <c r="L29" s="33"/>
      <c r="M29" s="77"/>
      <c r="N29" s="63">
        <f t="shared" si="5"/>
        <v>0</v>
      </c>
      <c r="O29" s="81"/>
      <c r="Q29" s="1"/>
      <c r="R29" s="2">
        <f t="shared" si="6"/>
        <v>0</v>
      </c>
      <c r="S29" s="97">
        <f t="shared" si="7"/>
        <v>0</v>
      </c>
      <c r="T29" s="5"/>
      <c r="U29" s="62"/>
      <c r="W29" s="13"/>
      <c r="X29" s="63">
        <f t="shared" si="8"/>
        <v>0</v>
      </c>
      <c r="Y29" s="29"/>
    </row>
    <row r="30" spans="1:255" ht="15" x14ac:dyDescent="0.25">
      <c r="A30" s="11">
        <f t="shared" si="1"/>
        <v>42182</v>
      </c>
      <c r="B30" s="1"/>
      <c r="C30" s="2">
        <f t="shared" si="2"/>
        <v>92</v>
      </c>
      <c r="D30" s="97"/>
      <c r="E30" s="97">
        <f t="shared" si="3"/>
        <v>93.096000000000004</v>
      </c>
      <c r="F30" s="62"/>
      <c r="G30" s="1"/>
      <c r="H30" s="2">
        <f t="shared" si="4"/>
        <v>0</v>
      </c>
      <c r="I30" s="97">
        <f t="shared" si="0"/>
        <v>0</v>
      </c>
      <c r="J30" s="5"/>
      <c r="K30" s="62"/>
      <c r="L30" s="33"/>
      <c r="M30" s="77">
        <f>1072+886</f>
        <v>1958</v>
      </c>
      <c r="N30" s="63">
        <f t="shared" si="5"/>
        <v>21.1464</v>
      </c>
      <c r="O30" s="81"/>
      <c r="Q30" s="1"/>
      <c r="R30" s="2">
        <f t="shared" si="6"/>
        <v>0</v>
      </c>
      <c r="S30" s="97">
        <f t="shared" si="7"/>
        <v>0</v>
      </c>
      <c r="T30" s="5"/>
      <c r="U30" s="62"/>
      <c r="W30" s="13"/>
      <c r="X30" s="63">
        <f t="shared" si="8"/>
        <v>0</v>
      </c>
      <c r="Y30" s="29"/>
    </row>
    <row r="31" spans="1:255" ht="15" x14ac:dyDescent="0.25">
      <c r="A31" s="11">
        <f t="shared" si="1"/>
        <v>42183</v>
      </c>
      <c r="B31" s="1"/>
      <c r="C31" s="2">
        <f t="shared" si="2"/>
        <v>92</v>
      </c>
      <c r="D31" s="97"/>
      <c r="E31" s="97">
        <f t="shared" si="3"/>
        <v>93.096000000000004</v>
      </c>
      <c r="F31" s="62"/>
      <c r="G31" s="1"/>
      <c r="H31" s="2">
        <f t="shared" si="4"/>
        <v>0</v>
      </c>
      <c r="I31" s="97">
        <f t="shared" si="0"/>
        <v>0</v>
      </c>
      <c r="J31" s="5"/>
      <c r="K31" s="62"/>
      <c r="L31" s="33"/>
      <c r="M31" s="77"/>
      <c r="N31" s="63">
        <f t="shared" si="5"/>
        <v>0</v>
      </c>
      <c r="O31" s="96"/>
      <c r="Q31" s="1"/>
      <c r="R31" s="2">
        <f t="shared" si="6"/>
        <v>0</v>
      </c>
      <c r="S31" s="97">
        <f t="shared" si="7"/>
        <v>0</v>
      </c>
      <c r="T31" s="5"/>
      <c r="U31" s="62"/>
      <c r="W31" s="13"/>
      <c r="X31" s="63">
        <f t="shared" si="8"/>
        <v>0</v>
      </c>
      <c r="Y31" s="14"/>
    </row>
    <row r="32" spans="1:255" ht="15" x14ac:dyDescent="0.25">
      <c r="A32" s="11">
        <f t="shared" si="1"/>
        <v>42184</v>
      </c>
      <c r="B32" s="1"/>
      <c r="C32" s="2">
        <f t="shared" si="2"/>
        <v>92</v>
      </c>
      <c r="D32" s="116"/>
      <c r="E32" s="97">
        <f t="shared" si="3"/>
        <v>93.096000000000004</v>
      </c>
      <c r="F32" s="62"/>
      <c r="G32" s="1"/>
      <c r="H32" s="2">
        <f t="shared" si="4"/>
        <v>0</v>
      </c>
      <c r="I32" s="97">
        <f t="shared" si="0"/>
        <v>0</v>
      </c>
      <c r="J32" s="5"/>
      <c r="K32" s="62"/>
      <c r="L32" s="33"/>
      <c r="M32" s="77"/>
      <c r="N32" s="63">
        <f t="shared" si="5"/>
        <v>0</v>
      </c>
      <c r="O32" s="81"/>
      <c r="Q32" s="1"/>
      <c r="R32" s="2">
        <f t="shared" si="6"/>
        <v>0</v>
      </c>
      <c r="S32" s="97">
        <f t="shared" si="7"/>
        <v>0</v>
      </c>
      <c r="T32" s="5"/>
      <c r="U32" s="62"/>
      <c r="W32" s="13"/>
      <c r="X32" s="63">
        <f t="shared" si="8"/>
        <v>0</v>
      </c>
      <c r="Y32" s="29"/>
    </row>
    <row r="33" spans="1:25" ht="15.75" thickBot="1" x14ac:dyDescent="0.3">
      <c r="A33" s="11">
        <f t="shared" si="1"/>
        <v>42185</v>
      </c>
      <c r="B33" s="1"/>
      <c r="C33" s="2">
        <f t="shared" si="2"/>
        <v>92</v>
      </c>
      <c r="D33" s="97"/>
      <c r="E33" s="97">
        <f t="shared" si="3"/>
        <v>93.096000000000004</v>
      </c>
      <c r="F33" s="62"/>
      <c r="G33" s="1"/>
      <c r="H33" s="2">
        <f t="shared" si="4"/>
        <v>0</v>
      </c>
      <c r="I33" s="97">
        <f t="shared" si="0"/>
        <v>0</v>
      </c>
      <c r="J33" s="5"/>
      <c r="K33" s="62"/>
      <c r="L33" s="42"/>
      <c r="M33" s="77"/>
      <c r="N33" s="63">
        <f t="shared" si="5"/>
        <v>0</v>
      </c>
      <c r="O33" s="81"/>
      <c r="Q33" s="1"/>
      <c r="R33" s="2">
        <f t="shared" si="6"/>
        <v>0</v>
      </c>
      <c r="S33" s="97">
        <f t="shared" si="7"/>
        <v>0</v>
      </c>
      <c r="T33" s="5"/>
      <c r="U33" s="62"/>
      <c r="W33" s="13"/>
      <c r="X33" s="63">
        <f t="shared" si="8"/>
        <v>0</v>
      </c>
      <c r="Y33" s="29"/>
    </row>
    <row r="34" spans="1:25" ht="15.75" hidden="1" thickBot="1" x14ac:dyDescent="0.3">
      <c r="A34" s="11">
        <f t="shared" si="1"/>
        <v>42186</v>
      </c>
      <c r="B34" s="1"/>
      <c r="C34" s="2">
        <f t="shared" si="2"/>
        <v>92</v>
      </c>
      <c r="D34" s="97"/>
      <c r="E34" s="97">
        <f t="shared" si="3"/>
        <v>93.096000000000004</v>
      </c>
      <c r="F34" s="69"/>
      <c r="G34" s="55"/>
      <c r="H34" s="2">
        <f t="shared" si="4"/>
        <v>0</v>
      </c>
      <c r="I34" s="3">
        <f t="shared" si="0"/>
        <v>0</v>
      </c>
      <c r="J34" s="56"/>
      <c r="K34" s="69"/>
      <c r="L34" s="42"/>
      <c r="M34" s="100"/>
      <c r="N34" s="63">
        <f t="shared" si="5"/>
        <v>0</v>
      </c>
      <c r="O34" s="96"/>
      <c r="Q34" s="1"/>
      <c r="R34" s="2">
        <f t="shared" si="6"/>
        <v>0</v>
      </c>
      <c r="S34" s="97">
        <f t="shared" si="7"/>
        <v>0</v>
      </c>
      <c r="T34" s="56"/>
      <c r="U34" s="69"/>
      <c r="W34" s="13"/>
      <c r="X34" s="63">
        <f t="shared" si="8"/>
        <v>0</v>
      </c>
      <c r="Y34" s="29"/>
    </row>
    <row r="35" spans="1:25" ht="18.75" thickBot="1" x14ac:dyDescent="0.3">
      <c r="A35" s="17" t="s">
        <v>8</v>
      </c>
      <c r="B35" s="40">
        <f>SUM(B4:B34)</f>
        <v>92</v>
      </c>
      <c r="C35" s="40">
        <f>+B35</f>
        <v>92</v>
      </c>
      <c r="D35" s="88">
        <f>SUM(D4:D34)</f>
        <v>93.096000000000004</v>
      </c>
      <c r="E35" s="88">
        <f>+D35</f>
        <v>93.096000000000004</v>
      </c>
      <c r="F35" s="25"/>
      <c r="G35" s="26">
        <f>SUM(G4:G33)</f>
        <v>0</v>
      </c>
      <c r="H35" s="40">
        <f>+G35</f>
        <v>0</v>
      </c>
      <c r="I35" s="118">
        <f>SUM(I4:I34)</f>
        <v>93.0852</v>
      </c>
      <c r="J35" s="27">
        <f>SUM(J4:J34)</f>
        <v>8619</v>
      </c>
      <c r="K35" s="28"/>
      <c r="L35" s="35"/>
      <c r="M35" s="23">
        <f>SUM(M4:M34)</f>
        <v>8618</v>
      </c>
      <c r="N35" s="118">
        <f>SUM(N4:N34)</f>
        <v>93.074400000000011</v>
      </c>
      <c r="O35" s="85"/>
      <c r="Q35" s="95">
        <f>SUM(Q4:Q34)</f>
        <v>0</v>
      </c>
      <c r="R35" s="94">
        <f>+Q35</f>
        <v>0</v>
      </c>
      <c r="S35" s="101">
        <f>SUM(S4:S34)</f>
        <v>0</v>
      </c>
      <c r="T35" s="27">
        <f>SUM(T4:T34)</f>
        <v>0</v>
      </c>
      <c r="U35" s="28"/>
      <c r="W35" s="29">
        <f>SUM(W4:W34)</f>
        <v>0</v>
      </c>
      <c r="X35" s="63">
        <f>SUM(X4:X34)</f>
        <v>0</v>
      </c>
      <c r="Y35" s="16"/>
    </row>
    <row r="36" spans="1:25" x14ac:dyDescent="0.2">
      <c r="D36" s="64"/>
      <c r="E36" s="119"/>
      <c r="I36" s="123"/>
      <c r="N36" s="99"/>
      <c r="S36" s="98"/>
      <c r="X36" s="99"/>
    </row>
    <row r="37" spans="1:25" x14ac:dyDescent="0.2">
      <c r="C37" s="99"/>
      <c r="D37" s="91"/>
      <c r="I37" s="99"/>
      <c r="N37" s="99"/>
      <c r="S37" s="64"/>
      <c r="T37" s="64"/>
    </row>
    <row r="38" spans="1:25" x14ac:dyDescent="0.2">
      <c r="R38" s="64"/>
      <c r="T38" s="64"/>
    </row>
    <row r="42" spans="1:25" x14ac:dyDescent="0.2">
      <c r="D42" s="37"/>
    </row>
  </sheetData>
  <mergeCells count="4">
    <mergeCell ref="A2:F2"/>
    <mergeCell ref="G2:K2"/>
    <mergeCell ref="M2:N2"/>
    <mergeCell ref="Q2:U2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M42"/>
  <sheetViews>
    <sheetView tabSelected="1" workbookViewId="0">
      <pane xSplit="1" ySplit="3" topLeftCell="J10" activePane="bottomRight" state="frozen"/>
      <selection pane="topRight" activeCell="B1" sqref="B1"/>
      <selection pane="bottomLeft" activeCell="A4" sqref="A4"/>
      <selection pane="bottomRight" activeCell="P14" sqref="P14"/>
    </sheetView>
  </sheetViews>
  <sheetFormatPr defaultRowHeight="12.75" x14ac:dyDescent="0.2"/>
  <cols>
    <col min="1" max="1" width="9" bestFit="1" customWidth="1"/>
    <col min="2" max="2" width="13.28515625" customWidth="1"/>
    <col min="3" max="3" width="13.140625" bestFit="1" customWidth="1"/>
    <col min="4" max="4" width="10.7109375" bestFit="1" customWidth="1"/>
    <col min="5" max="5" width="11.5703125" customWidth="1"/>
    <col min="6" max="6" width="8.42578125" hidden="1" customWidth="1"/>
    <col min="7" max="7" width="12.5703125" customWidth="1"/>
    <col min="8" max="8" width="11.28515625" customWidth="1"/>
    <col min="9" max="9" width="10.5703125" customWidth="1"/>
    <col min="10" max="10" width="9.140625" customWidth="1"/>
    <col min="11" max="11" width="17.42578125" customWidth="1"/>
    <col min="12" max="12" width="9.140625" customWidth="1"/>
    <col min="13" max="13" width="14" customWidth="1"/>
    <col min="14" max="14" width="17" customWidth="1"/>
    <col min="15" max="15" width="24.42578125" customWidth="1"/>
    <col min="16" max="16" width="18.7109375" customWidth="1"/>
    <col min="17" max="17" width="14.5703125" customWidth="1"/>
    <col min="20" max="20" width="4" bestFit="1" customWidth="1"/>
  </cols>
  <sheetData>
    <row r="1" spans="1:16" x14ac:dyDescent="0.2">
      <c r="A1" s="175" t="s">
        <v>71</v>
      </c>
      <c r="B1" s="176" t="s">
        <v>81</v>
      </c>
      <c r="C1" s="177"/>
      <c r="D1" s="177"/>
      <c r="E1" s="177"/>
      <c r="F1" s="178"/>
      <c r="G1" s="176" t="s">
        <v>81</v>
      </c>
      <c r="H1" s="162"/>
      <c r="I1" s="162"/>
      <c r="J1" s="162"/>
      <c r="K1" s="162"/>
    </row>
    <row r="2" spans="1:16" ht="15.75" x14ac:dyDescent="0.25">
      <c r="A2" s="228" t="s">
        <v>92</v>
      </c>
      <c r="B2" s="228"/>
      <c r="C2" s="228"/>
      <c r="D2" s="228"/>
      <c r="E2" s="228"/>
      <c r="F2" s="228"/>
      <c r="G2" s="229" t="s">
        <v>78</v>
      </c>
      <c r="H2" s="229"/>
      <c r="I2" s="229"/>
      <c r="J2" s="229"/>
      <c r="K2" s="229"/>
      <c r="L2" s="173"/>
      <c r="M2" s="229" t="s">
        <v>83</v>
      </c>
      <c r="N2" s="229"/>
      <c r="O2" s="229"/>
    </row>
    <row r="3" spans="1:16" ht="31.5" customHeight="1" x14ac:dyDescent="0.25">
      <c r="A3" s="206" t="s">
        <v>1</v>
      </c>
      <c r="B3" s="205" t="s">
        <v>2</v>
      </c>
      <c r="C3" s="202" t="s">
        <v>3</v>
      </c>
      <c r="D3" s="203" t="s">
        <v>4</v>
      </c>
      <c r="E3" s="194" t="s">
        <v>3</v>
      </c>
      <c r="F3" s="194" t="s">
        <v>54</v>
      </c>
      <c r="G3" s="202" t="s">
        <v>6</v>
      </c>
      <c r="H3" s="202" t="s">
        <v>3</v>
      </c>
      <c r="I3" s="203" t="s">
        <v>4</v>
      </c>
      <c r="J3" s="203" t="s">
        <v>7</v>
      </c>
      <c r="K3" s="204" t="s">
        <v>54</v>
      </c>
      <c r="L3" s="174"/>
      <c r="M3" s="171" t="s">
        <v>9</v>
      </c>
      <c r="N3" s="172" t="s">
        <v>10</v>
      </c>
      <c r="O3" s="172" t="s">
        <v>11</v>
      </c>
    </row>
    <row r="4" spans="1:16" ht="15" x14ac:dyDescent="0.2">
      <c r="A4" s="207">
        <v>42795</v>
      </c>
      <c r="B4" s="1"/>
      <c r="C4" s="87">
        <f>B4</f>
        <v>0</v>
      </c>
      <c r="D4" s="97">
        <f>1700*12/1000</f>
        <v>20.399999999999999</v>
      </c>
      <c r="E4" s="97">
        <f>D4</f>
        <v>20.399999999999999</v>
      </c>
      <c r="F4" s="183"/>
      <c r="G4" s="1"/>
      <c r="H4" s="2">
        <f>G4</f>
        <v>0</v>
      </c>
      <c r="I4" s="97">
        <f t="shared" ref="I4:I34" si="0">J4*10.8/1000</f>
        <v>0</v>
      </c>
      <c r="J4" s="5"/>
      <c r="K4" s="186"/>
      <c r="L4" s="174"/>
      <c r="M4" s="30"/>
      <c r="N4" s="63">
        <f>+M4*10.8/1000</f>
        <v>0</v>
      </c>
      <c r="O4" s="179"/>
    </row>
    <row r="5" spans="1:16" ht="15" x14ac:dyDescent="0.25">
      <c r="A5" s="207">
        <f t="shared" ref="A5:A34" si="1">A4+1</f>
        <v>42796</v>
      </c>
      <c r="B5" s="1"/>
      <c r="C5" s="2">
        <f t="shared" ref="C5:C34" si="2">B5+C4</f>
        <v>0</v>
      </c>
      <c r="D5" s="97">
        <f>(1170+605+20)*12/1000</f>
        <v>21.54</v>
      </c>
      <c r="E5" s="97">
        <f t="shared" ref="E5:E34" si="3">D5+E4</f>
        <v>41.94</v>
      </c>
      <c r="F5" s="183"/>
      <c r="G5" s="1"/>
      <c r="H5" s="2">
        <f t="shared" ref="H5:H34" si="4">H4+G5</f>
        <v>0</v>
      </c>
      <c r="I5" s="97">
        <f t="shared" si="0"/>
        <v>0</v>
      </c>
      <c r="J5" s="5"/>
      <c r="K5" s="186"/>
      <c r="L5" s="174"/>
      <c r="M5" s="180"/>
      <c r="N5" s="63">
        <f t="shared" ref="N5:N34" si="5">+M5*10.8/1000</f>
        <v>0</v>
      </c>
      <c r="O5" s="38"/>
    </row>
    <row r="6" spans="1:16" ht="15" x14ac:dyDescent="0.25">
      <c r="A6" s="207">
        <f t="shared" si="1"/>
        <v>42797</v>
      </c>
      <c r="B6" s="1"/>
      <c r="C6" s="2">
        <f t="shared" si="2"/>
        <v>0</v>
      </c>
      <c r="D6" s="97"/>
      <c r="E6" s="97">
        <f t="shared" si="3"/>
        <v>41.94</v>
      </c>
      <c r="F6" s="183"/>
      <c r="G6" s="1"/>
      <c r="H6" s="2">
        <f t="shared" si="4"/>
        <v>0</v>
      </c>
      <c r="I6" s="97">
        <f t="shared" si="0"/>
        <v>0</v>
      </c>
      <c r="J6" s="5"/>
      <c r="K6" s="186"/>
      <c r="L6" s="174"/>
      <c r="M6" s="180"/>
      <c r="N6" s="63">
        <f t="shared" si="5"/>
        <v>0</v>
      </c>
      <c r="O6" s="38"/>
    </row>
    <row r="7" spans="1:16" ht="15" x14ac:dyDescent="0.25">
      <c r="A7" s="207">
        <f t="shared" si="1"/>
        <v>42798</v>
      </c>
      <c r="B7" s="1"/>
      <c r="C7" s="2">
        <f t="shared" si="2"/>
        <v>0</v>
      </c>
      <c r="D7" s="97"/>
      <c r="E7" s="97">
        <f t="shared" si="3"/>
        <v>41.94</v>
      </c>
      <c r="F7" s="183"/>
      <c r="G7" s="1"/>
      <c r="H7" s="2">
        <f t="shared" si="4"/>
        <v>0</v>
      </c>
      <c r="I7" s="97">
        <f t="shared" si="0"/>
        <v>0</v>
      </c>
      <c r="J7" s="5"/>
      <c r="K7" s="186"/>
      <c r="L7" s="174"/>
      <c r="M7" s="180"/>
      <c r="N7" s="63">
        <f t="shared" si="5"/>
        <v>0</v>
      </c>
      <c r="O7" s="38"/>
    </row>
    <row r="8" spans="1:16" ht="15" x14ac:dyDescent="0.25">
      <c r="A8" s="207">
        <f t="shared" si="1"/>
        <v>42799</v>
      </c>
      <c r="B8" s="1"/>
      <c r="C8" s="2">
        <f t="shared" si="2"/>
        <v>0</v>
      </c>
      <c r="D8" s="97"/>
      <c r="E8" s="97">
        <f t="shared" si="3"/>
        <v>41.94</v>
      </c>
      <c r="F8" s="183"/>
      <c r="G8" s="1"/>
      <c r="H8" s="2">
        <f t="shared" si="4"/>
        <v>0</v>
      </c>
      <c r="I8" s="97">
        <f t="shared" si="0"/>
        <v>0</v>
      </c>
      <c r="J8" s="5"/>
      <c r="K8" s="186"/>
      <c r="L8" s="174"/>
      <c r="M8" s="180"/>
      <c r="N8" s="63">
        <f t="shared" si="5"/>
        <v>0</v>
      </c>
      <c r="O8" s="38"/>
    </row>
    <row r="9" spans="1:16" ht="15" x14ac:dyDescent="0.25">
      <c r="A9" s="207">
        <f t="shared" si="1"/>
        <v>42800</v>
      </c>
      <c r="B9" s="1"/>
      <c r="C9" s="2">
        <f t="shared" si="2"/>
        <v>0</v>
      </c>
      <c r="D9" s="97"/>
      <c r="E9" s="97">
        <f>D9+E8</f>
        <v>41.94</v>
      </c>
      <c r="F9" s="183"/>
      <c r="G9" s="1"/>
      <c r="H9" s="2">
        <f t="shared" si="4"/>
        <v>0</v>
      </c>
      <c r="I9" s="97">
        <f t="shared" si="0"/>
        <v>0</v>
      </c>
      <c r="J9" s="187"/>
      <c r="K9" s="186"/>
      <c r="L9" s="174"/>
      <c r="M9" s="66"/>
      <c r="N9" s="63">
        <f t="shared" si="5"/>
        <v>0</v>
      </c>
      <c r="O9" s="14"/>
    </row>
    <row r="10" spans="1:16" ht="15" x14ac:dyDescent="0.25">
      <c r="A10" s="207">
        <f t="shared" si="1"/>
        <v>42801</v>
      </c>
      <c r="B10" s="1"/>
      <c r="C10" s="2">
        <f t="shared" si="2"/>
        <v>0</v>
      </c>
      <c r="D10" s="97"/>
      <c r="E10" s="97">
        <f t="shared" ref="E10:E14" si="6">D10+E9</f>
        <v>41.94</v>
      </c>
      <c r="F10" s="183"/>
      <c r="G10" s="1"/>
      <c r="H10" s="2">
        <f t="shared" si="4"/>
        <v>0</v>
      </c>
      <c r="I10" s="97">
        <f t="shared" si="0"/>
        <v>12.311999999999999</v>
      </c>
      <c r="J10" s="187">
        <f>1140</f>
        <v>1140</v>
      </c>
      <c r="K10" s="186" t="s">
        <v>93</v>
      </c>
      <c r="L10" s="174"/>
      <c r="M10" s="13"/>
      <c r="N10" s="63">
        <f t="shared" si="5"/>
        <v>0</v>
      </c>
      <c r="O10" s="195"/>
    </row>
    <row r="11" spans="1:16" ht="15" x14ac:dyDescent="0.25">
      <c r="A11" s="207">
        <f t="shared" si="1"/>
        <v>42802</v>
      </c>
      <c r="B11" s="1"/>
      <c r="C11" s="2">
        <f t="shared" si="2"/>
        <v>0</v>
      </c>
      <c r="D11" s="97"/>
      <c r="E11" s="97">
        <f t="shared" si="6"/>
        <v>41.94</v>
      </c>
      <c r="F11" s="183"/>
      <c r="G11" s="1"/>
      <c r="H11" s="2">
        <f t="shared" si="4"/>
        <v>0</v>
      </c>
      <c r="I11" s="97">
        <f t="shared" si="0"/>
        <v>6.7392000000000003</v>
      </c>
      <c r="J11" s="5">
        <f>624</f>
        <v>624</v>
      </c>
      <c r="K11" s="186" t="s">
        <v>93</v>
      </c>
      <c r="L11" s="174"/>
      <c r="M11" s="13"/>
      <c r="N11" s="63">
        <f t="shared" si="5"/>
        <v>0</v>
      </c>
      <c r="O11" s="196"/>
    </row>
    <row r="12" spans="1:16" ht="15" x14ac:dyDescent="0.25">
      <c r="A12" s="207">
        <f t="shared" si="1"/>
        <v>42803</v>
      </c>
      <c r="B12" s="1"/>
      <c r="C12" s="2">
        <f t="shared" si="2"/>
        <v>0</v>
      </c>
      <c r="D12" s="97"/>
      <c r="E12" s="97">
        <f t="shared" si="6"/>
        <v>41.94</v>
      </c>
      <c r="F12" s="183"/>
      <c r="G12" s="1"/>
      <c r="H12" s="2">
        <f t="shared" si="4"/>
        <v>0</v>
      </c>
      <c r="I12" s="97">
        <f t="shared" si="0"/>
        <v>0</v>
      </c>
      <c r="J12" s="5"/>
      <c r="K12" s="186"/>
      <c r="L12" s="174"/>
      <c r="M12" s="13"/>
      <c r="N12" s="63">
        <f t="shared" si="5"/>
        <v>0</v>
      </c>
      <c r="O12" s="38"/>
    </row>
    <row r="13" spans="1:16" ht="15" x14ac:dyDescent="0.25">
      <c r="A13" s="207">
        <f t="shared" si="1"/>
        <v>42804</v>
      </c>
      <c r="B13" s="1"/>
      <c r="C13" s="2">
        <f t="shared" si="2"/>
        <v>0</v>
      </c>
      <c r="D13" s="97"/>
      <c r="E13" s="97">
        <f t="shared" si="6"/>
        <v>41.94</v>
      </c>
      <c r="F13" s="183"/>
      <c r="G13" s="1"/>
      <c r="H13" s="2">
        <f t="shared" si="4"/>
        <v>0</v>
      </c>
      <c r="I13" s="97">
        <f t="shared" si="0"/>
        <v>0</v>
      </c>
      <c r="J13" s="5"/>
      <c r="K13" s="186"/>
      <c r="L13" s="174"/>
      <c r="M13" s="13">
        <v>1764</v>
      </c>
      <c r="N13" s="63">
        <f t="shared" si="5"/>
        <v>19.051200000000001</v>
      </c>
      <c r="O13" s="38" t="s">
        <v>93</v>
      </c>
    </row>
    <row r="14" spans="1:16" ht="15" x14ac:dyDescent="0.25">
      <c r="A14" s="207">
        <f t="shared" si="1"/>
        <v>42805</v>
      </c>
      <c r="B14" s="1"/>
      <c r="C14" s="2">
        <f t="shared" si="2"/>
        <v>0</v>
      </c>
      <c r="D14" s="97"/>
      <c r="E14" s="97">
        <f t="shared" si="6"/>
        <v>41.94</v>
      </c>
      <c r="F14" s="184"/>
      <c r="G14" s="1"/>
      <c r="H14" s="2">
        <f t="shared" si="4"/>
        <v>0</v>
      </c>
      <c r="I14" s="97">
        <f t="shared" si="0"/>
        <v>0</v>
      </c>
      <c r="J14" s="5"/>
      <c r="K14" s="186"/>
      <c r="L14" s="174"/>
      <c r="M14" s="13"/>
      <c r="N14" s="63">
        <f t="shared" si="5"/>
        <v>0</v>
      </c>
      <c r="O14" s="216"/>
      <c r="P14" t="s">
        <v>109</v>
      </c>
    </row>
    <row r="15" spans="1:16" ht="15" x14ac:dyDescent="0.25">
      <c r="A15" s="207">
        <f t="shared" si="1"/>
        <v>42806</v>
      </c>
      <c r="B15" s="1"/>
      <c r="C15" s="2">
        <f t="shared" si="2"/>
        <v>0</v>
      </c>
      <c r="D15" s="97"/>
      <c r="E15" s="97">
        <f t="shared" si="3"/>
        <v>41.94</v>
      </c>
      <c r="F15" s="183"/>
      <c r="G15" s="1"/>
      <c r="H15" s="2">
        <f t="shared" si="4"/>
        <v>0</v>
      </c>
      <c r="I15" s="97">
        <f t="shared" si="0"/>
        <v>0</v>
      </c>
      <c r="J15" s="5"/>
      <c r="K15" s="186"/>
      <c r="L15" s="174"/>
      <c r="M15" s="13"/>
      <c r="N15" s="63">
        <f t="shared" si="5"/>
        <v>0</v>
      </c>
      <c r="O15" s="189"/>
    </row>
    <row r="16" spans="1:16" ht="15" x14ac:dyDescent="0.25">
      <c r="A16" s="207">
        <f t="shared" si="1"/>
        <v>42807</v>
      </c>
      <c r="B16" s="1"/>
      <c r="C16" s="2">
        <f t="shared" si="2"/>
        <v>0</v>
      </c>
      <c r="D16" s="97"/>
      <c r="E16" s="97">
        <f t="shared" si="3"/>
        <v>41.94</v>
      </c>
      <c r="F16" s="182"/>
      <c r="G16" s="1"/>
      <c r="H16" s="2">
        <f t="shared" si="4"/>
        <v>0</v>
      </c>
      <c r="I16" s="97">
        <f t="shared" si="0"/>
        <v>0</v>
      </c>
      <c r="J16" s="5"/>
      <c r="K16" s="186"/>
      <c r="L16" s="174"/>
      <c r="M16" s="13"/>
      <c r="N16" s="63">
        <f t="shared" si="5"/>
        <v>0</v>
      </c>
      <c r="O16" s="38"/>
    </row>
    <row r="17" spans="1:247" ht="22.5" x14ac:dyDescent="0.25">
      <c r="A17" s="207">
        <f t="shared" si="1"/>
        <v>42808</v>
      </c>
      <c r="B17" s="1"/>
      <c r="C17" s="2">
        <f t="shared" si="2"/>
        <v>0</v>
      </c>
      <c r="D17" s="97"/>
      <c r="E17" s="97">
        <f t="shared" si="3"/>
        <v>41.94</v>
      </c>
      <c r="F17" s="182"/>
      <c r="G17" s="1"/>
      <c r="H17" s="2">
        <f t="shared" si="4"/>
        <v>0</v>
      </c>
      <c r="I17" s="97">
        <f t="shared" si="0"/>
        <v>2.9268000000000001</v>
      </c>
      <c r="J17" s="5">
        <f>91+180</f>
        <v>271</v>
      </c>
      <c r="K17" s="186" t="s">
        <v>94</v>
      </c>
      <c r="L17" s="174"/>
      <c r="M17" s="13">
        <v>91</v>
      </c>
      <c r="N17" s="63">
        <f t="shared" si="5"/>
        <v>0.98280000000000012</v>
      </c>
      <c r="O17" s="38" t="s">
        <v>93</v>
      </c>
    </row>
    <row r="18" spans="1:247" ht="15" x14ac:dyDescent="0.25">
      <c r="A18" s="207">
        <f t="shared" si="1"/>
        <v>42809</v>
      </c>
      <c r="B18" s="1"/>
      <c r="C18" s="2">
        <f t="shared" si="2"/>
        <v>0</v>
      </c>
      <c r="D18" s="97"/>
      <c r="E18" s="121">
        <f t="shared" si="3"/>
        <v>41.94</v>
      </c>
      <c r="F18" s="182"/>
      <c r="G18" s="1"/>
      <c r="H18" s="2">
        <f t="shared" si="4"/>
        <v>0</v>
      </c>
      <c r="I18" s="97">
        <f t="shared" si="0"/>
        <v>5.6592000000000011</v>
      </c>
      <c r="J18" s="5">
        <v>524</v>
      </c>
      <c r="K18" s="186" t="s">
        <v>95</v>
      </c>
      <c r="L18" s="174"/>
      <c r="M18" s="13"/>
      <c r="N18" s="63">
        <f t="shared" si="5"/>
        <v>0</v>
      </c>
      <c r="O18" s="29"/>
      <c r="P18" t="s">
        <v>108</v>
      </c>
    </row>
    <row r="19" spans="1:247" ht="15" x14ac:dyDescent="0.25">
      <c r="A19" s="207">
        <f t="shared" si="1"/>
        <v>42810</v>
      </c>
      <c r="B19" s="1"/>
      <c r="C19" s="2">
        <f t="shared" si="2"/>
        <v>0</v>
      </c>
      <c r="D19" s="97"/>
      <c r="E19" s="97">
        <f t="shared" si="3"/>
        <v>41.94</v>
      </c>
      <c r="F19" s="182"/>
      <c r="G19" s="1"/>
      <c r="H19" s="2">
        <f t="shared" si="4"/>
        <v>0</v>
      </c>
      <c r="I19" s="97">
        <f t="shared" si="0"/>
        <v>3.4128000000000003</v>
      </c>
      <c r="J19" s="5">
        <v>316</v>
      </c>
      <c r="K19" s="186" t="s">
        <v>96</v>
      </c>
      <c r="L19" s="174"/>
      <c r="M19" s="13"/>
      <c r="N19" s="63">
        <f t="shared" si="5"/>
        <v>0</v>
      </c>
      <c r="O19" s="181"/>
    </row>
    <row r="20" spans="1:247" ht="15" x14ac:dyDescent="0.2">
      <c r="A20" s="207">
        <f t="shared" si="1"/>
        <v>42811</v>
      </c>
      <c r="B20" s="1"/>
      <c r="C20" s="2">
        <f>B20+C19</f>
        <v>0</v>
      </c>
      <c r="D20" s="97"/>
      <c r="E20" s="97">
        <f t="shared" si="3"/>
        <v>41.94</v>
      </c>
      <c r="F20" s="182"/>
      <c r="G20" s="1"/>
      <c r="H20" s="2">
        <f t="shared" si="4"/>
        <v>0</v>
      </c>
      <c r="I20" s="97">
        <f t="shared" si="0"/>
        <v>4.3739999999999997</v>
      </c>
      <c r="J20" s="191">
        <v>405</v>
      </c>
      <c r="K20" s="186" t="s">
        <v>97</v>
      </c>
      <c r="L20" s="174"/>
      <c r="M20" s="30">
        <v>1100</v>
      </c>
      <c r="N20" s="190">
        <f t="shared" si="5"/>
        <v>11.88</v>
      </c>
      <c r="O20" s="38" t="s">
        <v>98</v>
      </c>
    </row>
    <row r="21" spans="1:247" ht="15" x14ac:dyDescent="0.2">
      <c r="A21" s="207">
        <f t="shared" si="1"/>
        <v>42812</v>
      </c>
      <c r="B21" s="1"/>
      <c r="C21" s="2">
        <f t="shared" si="2"/>
        <v>0</v>
      </c>
      <c r="D21" s="97"/>
      <c r="E21" s="97">
        <f t="shared" si="3"/>
        <v>41.94</v>
      </c>
      <c r="F21" s="182"/>
      <c r="G21" s="1"/>
      <c r="H21" s="2">
        <f t="shared" si="4"/>
        <v>0</v>
      </c>
      <c r="I21" s="97">
        <f t="shared" si="0"/>
        <v>4.4496000000000002</v>
      </c>
      <c r="J21" s="5">
        <v>412</v>
      </c>
      <c r="K21" s="186" t="s">
        <v>99</v>
      </c>
      <c r="L21" s="174"/>
      <c r="M21" s="30"/>
      <c r="N21" s="63">
        <f t="shared" si="5"/>
        <v>0</v>
      </c>
      <c r="O21" s="216"/>
      <c r="P21" t="s">
        <v>109</v>
      </c>
    </row>
    <row r="22" spans="1:247" ht="15" x14ac:dyDescent="0.25">
      <c r="A22" s="207">
        <f t="shared" si="1"/>
        <v>42813</v>
      </c>
      <c r="B22" s="1"/>
      <c r="C22" s="2">
        <f t="shared" si="2"/>
        <v>0</v>
      </c>
      <c r="D22" s="97"/>
      <c r="E22" s="97">
        <f t="shared" si="3"/>
        <v>41.94</v>
      </c>
      <c r="F22" s="185"/>
      <c r="G22" s="1"/>
      <c r="H22" s="2">
        <f t="shared" si="4"/>
        <v>0</v>
      </c>
      <c r="I22" s="97">
        <f t="shared" si="0"/>
        <v>2.0736000000000003</v>
      </c>
      <c r="J22" s="5">
        <v>192</v>
      </c>
      <c r="K22" s="186" t="s">
        <v>100</v>
      </c>
      <c r="L22" s="174"/>
      <c r="M22" s="13"/>
      <c r="N22" s="63">
        <f t="shared" si="5"/>
        <v>0</v>
      </c>
      <c r="O22" s="29"/>
    </row>
    <row r="23" spans="1:247" ht="15" x14ac:dyDescent="0.25">
      <c r="A23" s="207">
        <f t="shared" si="1"/>
        <v>42814</v>
      </c>
      <c r="B23" s="1"/>
      <c r="C23" s="2">
        <f t="shared" si="2"/>
        <v>0</v>
      </c>
      <c r="D23" s="97"/>
      <c r="E23" s="97">
        <f t="shared" si="3"/>
        <v>41.94</v>
      </c>
      <c r="F23" s="185"/>
      <c r="G23" s="1"/>
      <c r="H23" s="2">
        <f t="shared" si="4"/>
        <v>0</v>
      </c>
      <c r="I23" s="97">
        <f t="shared" si="0"/>
        <v>0</v>
      </c>
      <c r="J23" s="5"/>
      <c r="K23" s="186"/>
      <c r="L23" s="174"/>
      <c r="M23" s="13">
        <v>929</v>
      </c>
      <c r="N23" s="63">
        <f t="shared" si="5"/>
        <v>10.033200000000001</v>
      </c>
      <c r="O23" s="14" t="s">
        <v>98</v>
      </c>
    </row>
    <row r="24" spans="1:247" ht="15" x14ac:dyDescent="0.25">
      <c r="A24" s="207">
        <f t="shared" si="1"/>
        <v>42815</v>
      </c>
      <c r="B24" s="1"/>
      <c r="C24" s="2">
        <f>B24+C23</f>
        <v>0</v>
      </c>
      <c r="D24" s="97"/>
      <c r="E24" s="97">
        <f t="shared" si="3"/>
        <v>41.94</v>
      </c>
      <c r="F24" s="179"/>
      <c r="G24" s="1"/>
      <c r="H24" s="2">
        <f t="shared" si="4"/>
        <v>0</v>
      </c>
      <c r="I24" s="97">
        <f t="shared" si="0"/>
        <v>0</v>
      </c>
      <c r="J24" s="5"/>
      <c r="K24" s="186"/>
      <c r="L24" s="174"/>
      <c r="M24" s="13"/>
      <c r="N24" s="63">
        <f t="shared" si="5"/>
        <v>0</v>
      </c>
      <c r="O24" s="189"/>
      <c r="P24" t="s">
        <v>109</v>
      </c>
      <c r="IM24">
        <f>845+1120+1290+1460</f>
        <v>4715</v>
      </c>
    </row>
    <row r="25" spans="1:247" ht="15" x14ac:dyDescent="0.25">
      <c r="A25" s="207">
        <f t="shared" si="1"/>
        <v>42816</v>
      </c>
      <c r="B25" s="1"/>
      <c r="C25" s="2">
        <f t="shared" si="2"/>
        <v>0</v>
      </c>
      <c r="D25" s="97">
        <f>599*12/1000</f>
        <v>7.1879999999999997</v>
      </c>
      <c r="E25" s="97">
        <f t="shared" si="3"/>
        <v>49.128</v>
      </c>
      <c r="F25" s="179"/>
      <c r="G25" s="1"/>
      <c r="H25" s="2">
        <f t="shared" si="4"/>
        <v>0</v>
      </c>
      <c r="I25" s="97">
        <f t="shared" si="0"/>
        <v>0</v>
      </c>
      <c r="J25" s="5"/>
      <c r="K25" s="186"/>
      <c r="L25" s="174"/>
      <c r="M25" s="13"/>
      <c r="N25" s="63">
        <f t="shared" si="5"/>
        <v>0</v>
      </c>
      <c r="O25" s="29"/>
    </row>
    <row r="26" spans="1:247" ht="15" x14ac:dyDescent="0.25">
      <c r="A26" s="207">
        <f t="shared" si="1"/>
        <v>42817</v>
      </c>
      <c r="B26" s="1"/>
      <c r="C26" s="2">
        <f t="shared" si="2"/>
        <v>0</v>
      </c>
      <c r="D26" s="97">
        <f>(616+765)*12/1000</f>
        <v>16.571999999999999</v>
      </c>
      <c r="E26" s="97">
        <f t="shared" si="3"/>
        <v>65.7</v>
      </c>
      <c r="F26" s="179"/>
      <c r="G26" s="1"/>
      <c r="H26" s="2">
        <f t="shared" si="4"/>
        <v>0</v>
      </c>
      <c r="I26" s="97">
        <f t="shared" si="0"/>
        <v>10.368</v>
      </c>
      <c r="J26" s="5">
        <v>960</v>
      </c>
      <c r="K26" s="186" t="s">
        <v>101</v>
      </c>
      <c r="L26" s="174"/>
      <c r="M26" s="13"/>
      <c r="N26" s="63">
        <f t="shared" si="5"/>
        <v>0</v>
      </c>
      <c r="O26" s="29"/>
    </row>
    <row r="27" spans="1:247" ht="22.5" x14ac:dyDescent="0.25">
      <c r="A27" s="207">
        <f t="shared" si="1"/>
        <v>42818</v>
      </c>
      <c r="B27" s="1"/>
      <c r="C27" s="2">
        <f t="shared" si="2"/>
        <v>0</v>
      </c>
      <c r="D27" s="97">
        <f>(1115)*10.8/1000</f>
        <v>12.042</v>
      </c>
      <c r="E27" s="97">
        <f t="shared" si="3"/>
        <v>77.742000000000004</v>
      </c>
      <c r="F27" s="179"/>
      <c r="G27" s="1"/>
      <c r="H27" s="2">
        <f t="shared" si="4"/>
        <v>0</v>
      </c>
      <c r="I27" s="97">
        <f t="shared" si="0"/>
        <v>12.042</v>
      </c>
      <c r="J27" s="217">
        <f>335+780</f>
        <v>1115</v>
      </c>
      <c r="K27" s="186" t="s">
        <v>103</v>
      </c>
      <c r="L27" s="174"/>
      <c r="M27" s="13">
        <v>1295</v>
      </c>
      <c r="N27" s="63">
        <f t="shared" si="5"/>
        <v>13.986000000000002</v>
      </c>
      <c r="O27" s="29" t="s">
        <v>102</v>
      </c>
    </row>
    <row r="28" spans="1:247" ht="15" x14ac:dyDescent="0.25">
      <c r="A28" s="207">
        <f t="shared" si="1"/>
        <v>42819</v>
      </c>
      <c r="B28" s="1"/>
      <c r="C28" s="2">
        <f t="shared" si="2"/>
        <v>0</v>
      </c>
      <c r="D28" s="97">
        <f>405*12/1000</f>
        <v>4.8600000000000003</v>
      </c>
      <c r="E28" s="97">
        <f t="shared" si="3"/>
        <v>82.602000000000004</v>
      </c>
      <c r="F28" s="179"/>
      <c r="G28" s="1"/>
      <c r="H28" s="2">
        <f t="shared" si="4"/>
        <v>0</v>
      </c>
      <c r="I28" s="97">
        <f t="shared" si="0"/>
        <v>11.016</v>
      </c>
      <c r="J28" s="5">
        <f>1020</f>
        <v>1020</v>
      </c>
      <c r="K28" s="186" t="s">
        <v>104</v>
      </c>
      <c r="L28" s="174"/>
      <c r="M28" s="13"/>
      <c r="N28" s="63">
        <f t="shared" si="5"/>
        <v>0</v>
      </c>
      <c r="O28" s="186"/>
      <c r="P28" t="s">
        <v>109</v>
      </c>
    </row>
    <row r="29" spans="1:247" ht="15" x14ac:dyDescent="0.25">
      <c r="A29" s="207">
        <f t="shared" si="1"/>
        <v>42820</v>
      </c>
      <c r="B29" s="1"/>
      <c r="C29" s="2">
        <f t="shared" si="2"/>
        <v>0</v>
      </c>
      <c r="D29" s="97"/>
      <c r="E29" s="97">
        <f t="shared" si="3"/>
        <v>82.602000000000004</v>
      </c>
      <c r="F29" s="179"/>
      <c r="G29" s="1"/>
      <c r="H29" s="2">
        <f t="shared" si="4"/>
        <v>0</v>
      </c>
      <c r="I29" s="97">
        <f t="shared" si="0"/>
        <v>5.5944000000000003</v>
      </c>
      <c r="J29" s="5">
        <v>518</v>
      </c>
      <c r="K29" s="186" t="s">
        <v>107</v>
      </c>
      <c r="L29" s="174"/>
      <c r="M29" s="13"/>
      <c r="N29" s="63">
        <f t="shared" si="5"/>
        <v>0</v>
      </c>
      <c r="O29" s="186"/>
    </row>
    <row r="30" spans="1:247" ht="15" x14ac:dyDescent="0.25">
      <c r="A30" s="207">
        <f t="shared" si="1"/>
        <v>42821</v>
      </c>
      <c r="B30" s="1"/>
      <c r="C30" s="2">
        <f t="shared" si="2"/>
        <v>0</v>
      </c>
      <c r="D30" s="97"/>
      <c r="E30" s="97">
        <f t="shared" si="3"/>
        <v>82.602000000000004</v>
      </c>
      <c r="F30" s="179"/>
      <c r="G30" s="1"/>
      <c r="H30" s="2">
        <f t="shared" si="4"/>
        <v>0</v>
      </c>
      <c r="I30" s="97">
        <f t="shared" si="0"/>
        <v>1.6308000000000002</v>
      </c>
      <c r="J30" s="5">
        <v>151</v>
      </c>
      <c r="K30" s="186" t="s">
        <v>105</v>
      </c>
      <c r="L30" s="174"/>
      <c r="M30" s="13"/>
      <c r="N30" s="63">
        <f t="shared" si="5"/>
        <v>0</v>
      </c>
      <c r="O30" s="194"/>
    </row>
    <row r="31" spans="1:247" ht="15" x14ac:dyDescent="0.25">
      <c r="A31" s="207">
        <f t="shared" si="1"/>
        <v>42822</v>
      </c>
      <c r="B31" s="1"/>
      <c r="C31" s="2">
        <f t="shared" si="2"/>
        <v>0</v>
      </c>
      <c r="D31" s="97"/>
      <c r="E31" s="97">
        <f t="shared" si="3"/>
        <v>82.602000000000004</v>
      </c>
      <c r="F31" s="179"/>
      <c r="G31" s="1"/>
      <c r="H31" s="2">
        <f t="shared" si="4"/>
        <v>0</v>
      </c>
      <c r="I31" s="97">
        <f t="shared" si="0"/>
        <v>0</v>
      </c>
      <c r="J31" s="5"/>
      <c r="K31" s="186"/>
      <c r="L31" s="174"/>
      <c r="M31" s="13">
        <f>2469</f>
        <v>2469</v>
      </c>
      <c r="N31" s="63">
        <f t="shared" si="5"/>
        <v>26.665200000000002</v>
      </c>
      <c r="O31" s="29" t="s">
        <v>106</v>
      </c>
    </row>
    <row r="32" spans="1:247" ht="15" x14ac:dyDescent="0.25">
      <c r="A32" s="207">
        <f t="shared" si="1"/>
        <v>42823</v>
      </c>
      <c r="B32" s="1"/>
      <c r="C32" s="2">
        <f t="shared" si="2"/>
        <v>0</v>
      </c>
      <c r="D32" s="97"/>
      <c r="E32" s="97">
        <f t="shared" si="3"/>
        <v>82.602000000000004</v>
      </c>
      <c r="F32" s="179"/>
      <c r="G32" s="1"/>
      <c r="H32" s="2">
        <f t="shared" si="4"/>
        <v>0</v>
      </c>
      <c r="I32" s="97">
        <f t="shared" si="0"/>
        <v>0</v>
      </c>
      <c r="J32" s="5"/>
      <c r="K32" s="186"/>
      <c r="L32" s="174"/>
      <c r="M32" s="13"/>
      <c r="N32" s="63">
        <f t="shared" si="5"/>
        <v>0</v>
      </c>
      <c r="O32" s="179"/>
      <c r="P32" t="s">
        <v>109</v>
      </c>
    </row>
    <row r="33" spans="1:15" ht="15" x14ac:dyDescent="0.25">
      <c r="A33" s="207">
        <f t="shared" si="1"/>
        <v>42824</v>
      </c>
      <c r="B33" s="1"/>
      <c r="C33" s="2">
        <f t="shared" si="2"/>
        <v>0</v>
      </c>
      <c r="D33" s="97"/>
      <c r="E33" s="97">
        <f t="shared" si="3"/>
        <v>82.602000000000004</v>
      </c>
      <c r="F33" s="179"/>
      <c r="G33" s="1"/>
      <c r="H33" s="2">
        <f t="shared" si="4"/>
        <v>0</v>
      </c>
      <c r="I33" s="97">
        <f t="shared" si="0"/>
        <v>0</v>
      </c>
      <c r="J33" s="5"/>
      <c r="K33" s="186"/>
      <c r="L33" s="174"/>
      <c r="M33" s="13"/>
      <c r="N33" s="63">
        <f t="shared" si="5"/>
        <v>0</v>
      </c>
      <c r="O33" s="193"/>
    </row>
    <row r="34" spans="1:15" ht="15" x14ac:dyDescent="0.25">
      <c r="A34" s="207">
        <f t="shared" si="1"/>
        <v>42825</v>
      </c>
      <c r="B34" s="1"/>
      <c r="C34" s="2">
        <f t="shared" si="2"/>
        <v>0</v>
      </c>
      <c r="D34" s="97"/>
      <c r="E34" s="97">
        <f t="shared" si="3"/>
        <v>82.602000000000004</v>
      </c>
      <c r="F34" s="179"/>
      <c r="G34" s="1"/>
      <c r="H34" s="2">
        <f t="shared" si="4"/>
        <v>0</v>
      </c>
      <c r="I34" s="97">
        <f t="shared" si="0"/>
        <v>0</v>
      </c>
      <c r="J34" s="5"/>
      <c r="K34" s="186"/>
      <c r="L34" s="174"/>
      <c r="M34" s="13"/>
      <c r="N34" s="63">
        <f t="shared" si="5"/>
        <v>0</v>
      </c>
      <c r="O34" s="182"/>
    </row>
    <row r="35" spans="1:15" x14ac:dyDescent="0.2">
      <c r="A35" s="209" t="s">
        <v>8</v>
      </c>
      <c r="B35" s="210">
        <f>SUM(B4:B34)</f>
        <v>0</v>
      </c>
      <c r="C35" s="210">
        <f>+B35</f>
        <v>0</v>
      </c>
      <c r="D35" s="211">
        <f>SUM(D4:D34)</f>
        <v>82.602000000000004</v>
      </c>
      <c r="E35" s="211">
        <f>+D35</f>
        <v>82.602000000000004</v>
      </c>
      <c r="F35" s="212"/>
      <c r="G35" s="210">
        <f>SUM(G4:G33)</f>
        <v>0</v>
      </c>
      <c r="H35" s="210">
        <f>+G35</f>
        <v>0</v>
      </c>
      <c r="I35" s="211">
        <f>SUM(I4:I34)</f>
        <v>82.598399999999998</v>
      </c>
      <c r="J35" s="213">
        <f>SUM(J4:J34)</f>
        <v>7648</v>
      </c>
      <c r="K35" s="208"/>
      <c r="L35" s="214"/>
      <c r="M35" s="215">
        <f>SUM(M4:M34)</f>
        <v>7648</v>
      </c>
      <c r="N35" s="211">
        <f>SUM(N4:N34)</f>
        <v>82.598400000000012</v>
      </c>
      <c r="O35" s="215"/>
    </row>
    <row r="36" spans="1:15" x14ac:dyDescent="0.2">
      <c r="D36" s="64"/>
      <c r="E36" s="119"/>
      <c r="I36" s="123"/>
      <c r="J36" s="188"/>
      <c r="N36" s="99"/>
    </row>
    <row r="37" spans="1:15" x14ac:dyDescent="0.2">
      <c r="C37" s="99"/>
      <c r="D37" s="99"/>
      <c r="E37" s="119"/>
      <c r="F37" s="99"/>
      <c r="I37" s="123"/>
      <c r="M37" s="64"/>
      <c r="N37" s="99"/>
    </row>
    <row r="38" spans="1:15" x14ac:dyDescent="0.2">
      <c r="C38" s="99"/>
      <c r="D38" s="91"/>
      <c r="F38" s="99"/>
      <c r="H38" s="99"/>
      <c r="I38" s="99"/>
      <c r="J38" s="188"/>
      <c r="M38" s="64"/>
    </row>
    <row r="39" spans="1:15" x14ac:dyDescent="0.2">
      <c r="J39" s="188"/>
    </row>
    <row r="42" spans="1:15" x14ac:dyDescent="0.2">
      <c r="D42" s="37"/>
    </row>
  </sheetData>
  <mergeCells count="3">
    <mergeCell ref="A2:F2"/>
    <mergeCell ref="G2:K2"/>
    <mergeCell ref="M2:O2"/>
  </mergeCells>
  <pageMargins left="0.7" right="0.7" top="0.75" bottom="0.75" header="0.3" footer="0.3"/>
  <pageSetup orientation="portrait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C6A73"/>
  </sheetPr>
  <dimension ref="A1:IC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3" sqref="H13"/>
    </sheetView>
  </sheetViews>
  <sheetFormatPr defaultRowHeight="12.75" x14ac:dyDescent="0.2"/>
  <cols>
    <col min="1" max="1" width="9" customWidth="1"/>
    <col min="2" max="2" width="8.28515625" hidden="1" customWidth="1"/>
    <col min="3" max="3" width="14" hidden="1" customWidth="1"/>
    <col min="4" max="4" width="10.7109375" hidden="1" customWidth="1"/>
    <col min="5" max="5" width="13.7109375" hidden="1" customWidth="1"/>
    <col min="6" max="6" width="18.140625" hidden="1" customWidth="1"/>
    <col min="7" max="7" width="9.85546875" customWidth="1"/>
    <col min="8" max="8" width="13" customWidth="1"/>
    <col min="9" max="9" width="11.7109375" customWidth="1"/>
    <col min="10" max="10" width="12" customWidth="1"/>
    <col min="11" max="11" width="19.5703125" customWidth="1"/>
    <col min="12" max="12" width="2.140625" customWidth="1"/>
    <col min="13" max="13" width="13" bestFit="1" customWidth="1"/>
    <col min="14" max="14" width="11.42578125" bestFit="1" customWidth="1"/>
    <col min="15" max="15" width="15.5703125" customWidth="1"/>
    <col min="16" max="16" width="19.7109375" customWidth="1"/>
  </cols>
  <sheetData>
    <row r="1" spans="1:15" ht="13.5" thickBot="1" x14ac:dyDescent="0.25">
      <c r="A1" s="139" t="s">
        <v>71</v>
      </c>
      <c r="B1" s="140" t="s">
        <v>69</v>
      </c>
      <c r="C1" s="141"/>
      <c r="D1" s="141"/>
      <c r="E1" s="141"/>
      <c r="F1" s="142"/>
      <c r="G1" s="140" t="s">
        <v>69</v>
      </c>
      <c r="H1" s="141"/>
      <c r="I1" s="141"/>
      <c r="J1" s="142"/>
    </row>
    <row r="2" spans="1:15" ht="16.5" thickBot="1" x14ac:dyDescent="0.3">
      <c r="A2" s="222" t="s">
        <v>72</v>
      </c>
      <c r="B2" s="223"/>
      <c r="C2" s="223"/>
      <c r="D2" s="223"/>
      <c r="E2" s="223"/>
      <c r="F2" s="224"/>
      <c r="G2" s="230" t="s">
        <v>79</v>
      </c>
      <c r="H2" s="231"/>
      <c r="I2" s="231"/>
      <c r="J2" s="231"/>
      <c r="K2" s="232"/>
      <c r="L2" s="31"/>
      <c r="M2" s="236" t="s">
        <v>80</v>
      </c>
      <c r="N2" s="237"/>
      <c r="O2" s="238"/>
    </row>
    <row r="3" spans="1:15" ht="29.25" x14ac:dyDescent="0.25">
      <c r="A3" s="18" t="s">
        <v>1</v>
      </c>
      <c r="B3" s="120" t="s">
        <v>2</v>
      </c>
      <c r="C3" s="120" t="s">
        <v>3</v>
      </c>
      <c r="D3" s="15" t="s">
        <v>4</v>
      </c>
      <c r="E3" s="145" t="s">
        <v>3</v>
      </c>
      <c r="F3" s="144" t="s">
        <v>54</v>
      </c>
      <c r="G3" s="120" t="s">
        <v>6</v>
      </c>
      <c r="H3" s="120" t="s">
        <v>3</v>
      </c>
      <c r="I3" s="15" t="s">
        <v>4</v>
      </c>
      <c r="J3" s="15" t="s">
        <v>7</v>
      </c>
      <c r="K3" s="146" t="s">
        <v>54</v>
      </c>
      <c r="L3" s="233"/>
      <c r="M3" s="153" t="s">
        <v>9</v>
      </c>
      <c r="N3" s="10" t="s">
        <v>10</v>
      </c>
      <c r="O3" s="154" t="s">
        <v>11</v>
      </c>
    </row>
    <row r="4" spans="1:15" ht="15" x14ac:dyDescent="0.2">
      <c r="A4" s="11">
        <v>42522</v>
      </c>
      <c r="B4" s="1"/>
      <c r="C4" s="87">
        <f>B4</f>
        <v>0</v>
      </c>
      <c r="D4" s="97"/>
      <c r="E4" s="97">
        <f>D4</f>
        <v>0</v>
      </c>
      <c r="F4" s="62"/>
      <c r="G4" s="1"/>
      <c r="H4" s="2">
        <f>G4</f>
        <v>0</v>
      </c>
      <c r="I4" s="152">
        <f t="shared" ref="I4:I34" si="0">J4*10.8/1000</f>
        <v>0</v>
      </c>
      <c r="J4" s="5"/>
      <c r="K4" s="192" t="s">
        <v>85</v>
      </c>
      <c r="L4" s="234"/>
      <c r="M4" s="82"/>
      <c r="N4" s="63">
        <f>+M4*10.8/1000</f>
        <v>0</v>
      </c>
      <c r="O4" s="62"/>
    </row>
    <row r="5" spans="1:15" ht="15" x14ac:dyDescent="0.25">
      <c r="A5" s="11">
        <f t="shared" ref="A5:A34" si="1">A4+1</f>
        <v>42523</v>
      </c>
      <c r="B5" s="1"/>
      <c r="C5" s="2">
        <f t="shared" ref="C5:C34" si="2">B5+C4</f>
        <v>0</v>
      </c>
      <c r="D5" s="97"/>
      <c r="E5" s="97">
        <f t="shared" ref="E5:E34" si="3">D5+E4</f>
        <v>0</v>
      </c>
      <c r="F5" s="62"/>
      <c r="G5" s="1"/>
      <c r="H5" s="2">
        <f t="shared" ref="H5:H34" si="4">H4+G5</f>
        <v>0</v>
      </c>
      <c r="I5" s="152">
        <f t="shared" si="0"/>
        <v>0</v>
      </c>
      <c r="J5" s="5"/>
      <c r="K5" s="192" t="s">
        <v>85</v>
      </c>
      <c r="L5" s="234"/>
      <c r="M5" s="75"/>
      <c r="N5" s="63">
        <f t="shared" ref="N5:N29" si="5">+M5*10.8/1000</f>
        <v>0</v>
      </c>
      <c r="O5" s="76"/>
    </row>
    <row r="6" spans="1:15" ht="15" x14ac:dyDescent="0.25">
      <c r="A6" s="11">
        <f t="shared" si="1"/>
        <v>42524</v>
      </c>
      <c r="B6" s="1"/>
      <c r="C6" s="2">
        <f t="shared" si="2"/>
        <v>0</v>
      </c>
      <c r="D6" s="97"/>
      <c r="E6" s="97">
        <f t="shared" si="3"/>
        <v>0</v>
      </c>
      <c r="F6" s="62"/>
      <c r="G6" s="1"/>
      <c r="H6" s="2">
        <f t="shared" si="4"/>
        <v>0</v>
      </c>
      <c r="I6" s="152">
        <f t="shared" si="0"/>
        <v>0</v>
      </c>
      <c r="J6" s="5"/>
      <c r="K6" s="192" t="s">
        <v>85</v>
      </c>
      <c r="L6" s="234"/>
      <c r="M6" s="163"/>
      <c r="N6" s="164">
        <f t="shared" si="5"/>
        <v>0</v>
      </c>
      <c r="O6" s="165"/>
    </row>
    <row r="7" spans="1:15" ht="15" x14ac:dyDescent="0.25">
      <c r="A7" s="11">
        <f t="shared" si="1"/>
        <v>42525</v>
      </c>
      <c r="B7" s="1"/>
      <c r="C7" s="2">
        <f t="shared" si="2"/>
        <v>0</v>
      </c>
      <c r="D7" s="97"/>
      <c r="E7" s="97">
        <f t="shared" si="3"/>
        <v>0</v>
      </c>
      <c r="F7" s="62"/>
      <c r="G7" s="1"/>
      <c r="H7" s="2">
        <f t="shared" si="4"/>
        <v>0</v>
      </c>
      <c r="I7" s="152">
        <f t="shared" si="0"/>
        <v>0</v>
      </c>
      <c r="J7" s="5"/>
      <c r="K7" s="192" t="s">
        <v>85</v>
      </c>
      <c r="L7" s="234"/>
      <c r="M7" s="75"/>
      <c r="N7" s="63">
        <f t="shared" si="5"/>
        <v>0</v>
      </c>
      <c r="O7" s="76"/>
    </row>
    <row r="8" spans="1:15" ht="15" x14ac:dyDescent="0.25">
      <c r="A8" s="11">
        <f t="shared" si="1"/>
        <v>42526</v>
      </c>
      <c r="B8" s="1"/>
      <c r="C8" s="2">
        <f t="shared" si="2"/>
        <v>0</v>
      </c>
      <c r="D8" s="97"/>
      <c r="E8" s="97">
        <f t="shared" si="3"/>
        <v>0</v>
      </c>
      <c r="F8" s="62"/>
      <c r="G8" s="1"/>
      <c r="H8" s="2">
        <f t="shared" si="4"/>
        <v>0</v>
      </c>
      <c r="I8" s="152">
        <f t="shared" si="0"/>
        <v>0</v>
      </c>
      <c r="J8" s="5"/>
      <c r="K8" s="192" t="s">
        <v>85</v>
      </c>
      <c r="L8" s="234"/>
      <c r="M8" s="75"/>
      <c r="N8" s="63">
        <f t="shared" si="5"/>
        <v>0</v>
      </c>
      <c r="O8" s="76"/>
    </row>
    <row r="9" spans="1:15" ht="15" x14ac:dyDescent="0.25">
      <c r="A9" s="11">
        <f t="shared" si="1"/>
        <v>42527</v>
      </c>
      <c r="B9" s="1"/>
      <c r="C9" s="2">
        <f t="shared" si="2"/>
        <v>0</v>
      </c>
      <c r="D9" s="97"/>
      <c r="E9" s="97">
        <f t="shared" si="3"/>
        <v>0</v>
      </c>
      <c r="F9" s="62"/>
      <c r="G9" s="1"/>
      <c r="H9" s="2">
        <f t="shared" si="4"/>
        <v>0</v>
      </c>
      <c r="I9" s="152">
        <f t="shared" si="0"/>
        <v>0</v>
      </c>
      <c r="J9" s="5"/>
      <c r="K9" s="192" t="s">
        <v>85</v>
      </c>
      <c r="L9" s="234"/>
      <c r="M9" s="79"/>
      <c r="N9" s="63">
        <f t="shared" si="5"/>
        <v>0</v>
      </c>
      <c r="O9" s="80"/>
    </row>
    <row r="10" spans="1:15" ht="15" x14ac:dyDescent="0.25">
      <c r="A10" s="11">
        <f t="shared" si="1"/>
        <v>42528</v>
      </c>
      <c r="B10" s="1"/>
      <c r="C10" s="2">
        <f t="shared" si="2"/>
        <v>0</v>
      </c>
      <c r="D10" s="97"/>
      <c r="E10" s="97">
        <f t="shared" si="3"/>
        <v>0</v>
      </c>
      <c r="F10" s="62"/>
      <c r="G10" s="1"/>
      <c r="H10" s="2">
        <f t="shared" si="4"/>
        <v>0</v>
      </c>
      <c r="I10" s="152">
        <f t="shared" si="0"/>
        <v>0</v>
      </c>
      <c r="J10" s="5"/>
      <c r="K10" s="148"/>
      <c r="L10" s="234"/>
      <c r="M10" s="77"/>
      <c r="N10" s="63">
        <f t="shared" si="5"/>
        <v>0</v>
      </c>
      <c r="O10" s="81"/>
    </row>
    <row r="11" spans="1:15" ht="15" x14ac:dyDescent="0.25">
      <c r="A11" s="11">
        <f t="shared" si="1"/>
        <v>42529</v>
      </c>
      <c r="B11" s="1"/>
      <c r="C11" s="2">
        <f t="shared" si="2"/>
        <v>0</v>
      </c>
      <c r="D11" s="97"/>
      <c r="E11" s="97">
        <f t="shared" si="3"/>
        <v>0</v>
      </c>
      <c r="F11" s="4"/>
      <c r="G11" s="1"/>
      <c r="H11" s="2">
        <f t="shared" si="4"/>
        <v>0</v>
      </c>
      <c r="I11" s="152">
        <f t="shared" si="0"/>
        <v>0</v>
      </c>
      <c r="J11" s="5"/>
      <c r="K11" s="148"/>
      <c r="L11" s="234"/>
      <c r="M11" s="77"/>
      <c r="N11" s="63">
        <f t="shared" si="5"/>
        <v>0</v>
      </c>
      <c r="O11" s="62"/>
    </row>
    <row r="12" spans="1:15" ht="15" x14ac:dyDescent="0.25">
      <c r="A12" s="11">
        <f t="shared" si="1"/>
        <v>42530</v>
      </c>
      <c r="B12" s="1"/>
      <c r="C12" s="2">
        <f t="shared" si="2"/>
        <v>0</v>
      </c>
      <c r="D12" s="97"/>
      <c r="E12" s="97">
        <f t="shared" si="3"/>
        <v>0</v>
      </c>
      <c r="F12" s="4"/>
      <c r="G12" s="1"/>
      <c r="H12" s="2">
        <f t="shared" si="4"/>
        <v>0</v>
      </c>
      <c r="I12" s="97">
        <f t="shared" si="0"/>
        <v>0</v>
      </c>
      <c r="J12" s="5"/>
      <c r="K12" s="148"/>
      <c r="L12" s="234"/>
      <c r="M12" s="77"/>
      <c r="N12" s="63">
        <f t="shared" si="5"/>
        <v>0</v>
      </c>
      <c r="O12" s="62"/>
    </row>
    <row r="13" spans="1:15" ht="15" x14ac:dyDescent="0.2">
      <c r="A13" s="11">
        <f t="shared" si="1"/>
        <v>42531</v>
      </c>
      <c r="B13" s="1"/>
      <c r="C13" s="2">
        <f t="shared" si="2"/>
        <v>0</v>
      </c>
      <c r="D13" s="97"/>
      <c r="E13" s="97">
        <f t="shared" si="3"/>
        <v>0</v>
      </c>
      <c r="F13" s="4"/>
      <c r="G13" s="1"/>
      <c r="H13" s="2">
        <f t="shared" si="4"/>
        <v>0</v>
      </c>
      <c r="I13" s="97">
        <f t="shared" si="0"/>
        <v>0</v>
      </c>
      <c r="J13" s="5"/>
      <c r="K13" s="148"/>
      <c r="L13" s="234"/>
      <c r="M13" s="82"/>
      <c r="N13" s="63">
        <f t="shared" si="5"/>
        <v>0</v>
      </c>
      <c r="O13" s="81"/>
    </row>
    <row r="14" spans="1:15" ht="15" x14ac:dyDescent="0.25">
      <c r="A14" s="11">
        <f t="shared" si="1"/>
        <v>42532</v>
      </c>
      <c r="B14" s="1"/>
      <c r="C14" s="2">
        <f t="shared" si="2"/>
        <v>0</v>
      </c>
      <c r="D14" s="97"/>
      <c r="E14" s="97">
        <f t="shared" si="3"/>
        <v>0</v>
      </c>
      <c r="F14" s="4"/>
      <c r="G14" s="1"/>
      <c r="H14" s="2">
        <f t="shared" si="4"/>
        <v>0</v>
      </c>
      <c r="I14" s="97">
        <f t="shared" si="0"/>
        <v>0</v>
      </c>
      <c r="J14" s="5"/>
      <c r="K14" s="148"/>
      <c r="L14" s="234"/>
      <c r="M14" s="77"/>
      <c r="N14" s="63">
        <f t="shared" si="5"/>
        <v>0</v>
      </c>
      <c r="O14" s="62"/>
    </row>
    <row r="15" spans="1:15" ht="15" x14ac:dyDescent="0.25">
      <c r="A15" s="11">
        <f t="shared" si="1"/>
        <v>42533</v>
      </c>
      <c r="B15" s="1"/>
      <c r="C15" s="2">
        <f t="shared" si="2"/>
        <v>0</v>
      </c>
      <c r="D15" s="97"/>
      <c r="E15" s="97">
        <f t="shared" si="3"/>
        <v>0</v>
      </c>
      <c r="F15" s="39"/>
      <c r="G15" s="1"/>
      <c r="H15" s="2">
        <f t="shared" si="4"/>
        <v>0</v>
      </c>
      <c r="I15" s="97">
        <f t="shared" si="0"/>
        <v>0</v>
      </c>
      <c r="J15" s="5"/>
      <c r="K15" s="148"/>
      <c r="L15" s="234"/>
      <c r="M15" s="77"/>
      <c r="N15" s="63">
        <f t="shared" si="5"/>
        <v>0</v>
      </c>
      <c r="O15" s="81"/>
    </row>
    <row r="16" spans="1:15" ht="15" x14ac:dyDescent="0.25">
      <c r="A16" s="11">
        <f t="shared" si="1"/>
        <v>42534</v>
      </c>
      <c r="B16" s="1"/>
      <c r="C16" s="2">
        <f t="shared" si="2"/>
        <v>0</v>
      </c>
      <c r="D16" s="97"/>
      <c r="E16" s="97">
        <f t="shared" si="3"/>
        <v>0</v>
      </c>
      <c r="F16" s="96"/>
      <c r="G16" s="1"/>
      <c r="H16" s="2">
        <f t="shared" si="4"/>
        <v>0</v>
      </c>
      <c r="I16" s="97">
        <f t="shared" si="0"/>
        <v>0</v>
      </c>
      <c r="J16" s="5"/>
      <c r="K16" s="148"/>
      <c r="L16" s="234"/>
      <c r="M16" s="77"/>
      <c r="N16" s="63">
        <f t="shared" si="5"/>
        <v>0</v>
      </c>
      <c r="O16" s="76"/>
    </row>
    <row r="17" spans="1:237" ht="15" x14ac:dyDescent="0.25">
      <c r="A17" s="11">
        <f t="shared" si="1"/>
        <v>42535</v>
      </c>
      <c r="B17" s="1"/>
      <c r="C17" s="2">
        <f t="shared" si="2"/>
        <v>0</v>
      </c>
      <c r="D17" s="97"/>
      <c r="E17" s="97">
        <f t="shared" si="3"/>
        <v>0</v>
      </c>
      <c r="F17" s="96"/>
      <c r="G17" s="1"/>
      <c r="H17" s="2">
        <f t="shared" si="4"/>
        <v>0</v>
      </c>
      <c r="I17" s="97">
        <f t="shared" si="0"/>
        <v>0</v>
      </c>
      <c r="J17" s="5"/>
      <c r="K17" s="148"/>
      <c r="L17" s="234"/>
      <c r="M17" s="77"/>
      <c r="N17" s="63">
        <f>+M17*10.8/1000</f>
        <v>0</v>
      </c>
      <c r="O17" s="62"/>
    </row>
    <row r="18" spans="1:237" ht="15" x14ac:dyDescent="0.25">
      <c r="A18" s="11">
        <f t="shared" si="1"/>
        <v>42536</v>
      </c>
      <c r="B18" s="1"/>
      <c r="C18" s="2">
        <f t="shared" si="2"/>
        <v>0</v>
      </c>
      <c r="D18" s="97"/>
      <c r="E18" s="121">
        <f t="shared" si="3"/>
        <v>0</v>
      </c>
      <c r="F18" s="151"/>
      <c r="G18" s="1"/>
      <c r="H18" s="2">
        <f t="shared" si="4"/>
        <v>0</v>
      </c>
      <c r="I18" s="97">
        <f t="shared" si="0"/>
        <v>0</v>
      </c>
      <c r="J18" s="5"/>
      <c r="K18" s="148"/>
      <c r="L18" s="234"/>
      <c r="M18" s="77"/>
      <c r="N18" s="63">
        <f t="shared" si="5"/>
        <v>0</v>
      </c>
      <c r="O18" s="81"/>
    </row>
    <row r="19" spans="1:237" ht="15" x14ac:dyDescent="0.25">
      <c r="A19" s="11">
        <f t="shared" si="1"/>
        <v>42537</v>
      </c>
      <c r="B19" s="1"/>
      <c r="C19" s="2">
        <f t="shared" si="2"/>
        <v>0</v>
      </c>
      <c r="D19" s="97"/>
      <c r="E19" s="97">
        <f t="shared" si="3"/>
        <v>0</v>
      </c>
      <c r="F19" s="151"/>
      <c r="G19" s="1"/>
      <c r="H19" s="2">
        <f t="shared" si="4"/>
        <v>0</v>
      </c>
      <c r="I19" s="97">
        <f t="shared" si="0"/>
        <v>0</v>
      </c>
      <c r="J19" s="5"/>
      <c r="K19" s="148"/>
      <c r="L19" s="234"/>
      <c r="M19" s="77"/>
      <c r="N19" s="63">
        <f t="shared" si="5"/>
        <v>0</v>
      </c>
      <c r="O19" s="122"/>
    </row>
    <row r="20" spans="1:237" ht="15" x14ac:dyDescent="0.25">
      <c r="A20" s="11">
        <f t="shared" si="1"/>
        <v>42538</v>
      </c>
      <c r="B20" s="1"/>
      <c r="C20" s="2">
        <f>B20+C19</f>
        <v>0</v>
      </c>
      <c r="D20" s="97"/>
      <c r="E20" s="97">
        <f t="shared" si="3"/>
        <v>0</v>
      </c>
      <c r="F20" s="151"/>
      <c r="G20" s="1"/>
      <c r="H20" s="2">
        <f t="shared" si="4"/>
        <v>0</v>
      </c>
      <c r="I20" s="97">
        <f t="shared" si="0"/>
        <v>0</v>
      </c>
      <c r="J20" s="5"/>
      <c r="K20" s="148"/>
      <c r="L20" s="234"/>
      <c r="M20" s="77"/>
      <c r="N20" s="63">
        <f t="shared" si="5"/>
        <v>0</v>
      </c>
      <c r="O20" s="81"/>
    </row>
    <row r="21" spans="1:237" ht="15" x14ac:dyDescent="0.25">
      <c r="A21" s="11">
        <f t="shared" si="1"/>
        <v>42539</v>
      </c>
      <c r="B21" s="1"/>
      <c r="C21" s="2">
        <f t="shared" si="2"/>
        <v>0</v>
      </c>
      <c r="D21" s="97"/>
      <c r="E21" s="97">
        <f t="shared" si="3"/>
        <v>0</v>
      </c>
      <c r="F21" s="151"/>
      <c r="G21" s="1"/>
      <c r="H21" s="2">
        <f t="shared" si="4"/>
        <v>0</v>
      </c>
      <c r="I21" s="97">
        <f t="shared" si="0"/>
        <v>0</v>
      </c>
      <c r="J21" s="5"/>
      <c r="K21" s="148"/>
      <c r="L21" s="234"/>
      <c r="M21" s="77"/>
      <c r="N21" s="63">
        <f t="shared" si="5"/>
        <v>0</v>
      </c>
      <c r="O21" s="81"/>
    </row>
    <row r="22" spans="1:237" ht="15" x14ac:dyDescent="0.25">
      <c r="A22" s="11">
        <f t="shared" si="1"/>
        <v>42540</v>
      </c>
      <c r="B22" s="1"/>
      <c r="C22" s="2">
        <f t="shared" si="2"/>
        <v>0</v>
      </c>
      <c r="D22" s="97"/>
      <c r="E22" s="97">
        <f t="shared" si="3"/>
        <v>0</v>
      </c>
      <c r="F22" s="151"/>
      <c r="G22" s="1"/>
      <c r="H22" s="2">
        <f t="shared" si="4"/>
        <v>0</v>
      </c>
      <c r="I22" s="97">
        <f t="shared" si="0"/>
        <v>0</v>
      </c>
      <c r="J22" s="5"/>
      <c r="K22" s="148"/>
      <c r="L22" s="234"/>
      <c r="M22" s="77"/>
      <c r="N22" s="63">
        <f t="shared" si="5"/>
        <v>0</v>
      </c>
      <c r="O22" s="81"/>
    </row>
    <row r="23" spans="1:237" ht="15" x14ac:dyDescent="0.25">
      <c r="A23" s="11">
        <f t="shared" si="1"/>
        <v>42541</v>
      </c>
      <c r="B23" s="1"/>
      <c r="C23" s="2">
        <f t="shared" si="2"/>
        <v>0</v>
      </c>
      <c r="D23" s="97"/>
      <c r="E23" s="97">
        <f t="shared" si="3"/>
        <v>0</v>
      </c>
      <c r="F23" s="151"/>
      <c r="G23" s="1"/>
      <c r="H23" s="2">
        <f t="shared" si="4"/>
        <v>0</v>
      </c>
      <c r="I23" s="97">
        <f t="shared" si="0"/>
        <v>0</v>
      </c>
      <c r="J23" s="5"/>
      <c r="K23" s="148"/>
      <c r="L23" s="234"/>
      <c r="M23" s="77"/>
      <c r="N23" s="63">
        <f t="shared" si="5"/>
        <v>0</v>
      </c>
      <c r="O23" s="80"/>
    </row>
    <row r="24" spans="1:237" ht="15" x14ac:dyDescent="0.25">
      <c r="A24" s="11">
        <f t="shared" si="1"/>
        <v>42542</v>
      </c>
      <c r="B24" s="1"/>
      <c r="C24" s="2">
        <f t="shared" si="2"/>
        <v>0</v>
      </c>
      <c r="D24" s="97"/>
      <c r="E24" s="97">
        <f t="shared" si="3"/>
        <v>0</v>
      </c>
      <c r="F24" s="151"/>
      <c r="G24" s="1"/>
      <c r="H24" s="2">
        <f t="shared" si="4"/>
        <v>0</v>
      </c>
      <c r="I24" s="152">
        <f t="shared" si="0"/>
        <v>0</v>
      </c>
      <c r="J24" s="5"/>
      <c r="K24" s="148"/>
      <c r="L24" s="234"/>
      <c r="M24" s="77"/>
      <c r="N24" s="63">
        <f t="shared" si="5"/>
        <v>0</v>
      </c>
      <c r="O24" s="81"/>
      <c r="IC24">
        <f>845+1120+1290+1460</f>
        <v>4715</v>
      </c>
    </row>
    <row r="25" spans="1:237" ht="15" x14ac:dyDescent="0.25">
      <c r="A25" s="11">
        <f t="shared" si="1"/>
        <v>42543</v>
      </c>
      <c r="B25" s="1"/>
      <c r="C25" s="2">
        <f t="shared" si="2"/>
        <v>0</v>
      </c>
      <c r="D25" s="97"/>
      <c r="E25" s="97">
        <f t="shared" si="3"/>
        <v>0</v>
      </c>
      <c r="F25" s="151"/>
      <c r="G25" s="1"/>
      <c r="H25" s="2">
        <f t="shared" si="4"/>
        <v>0</v>
      </c>
      <c r="I25" s="152">
        <f t="shared" si="0"/>
        <v>0</v>
      </c>
      <c r="J25" s="5"/>
      <c r="K25" s="148"/>
      <c r="L25" s="234"/>
      <c r="M25" s="77"/>
      <c r="N25" s="63">
        <f t="shared" si="5"/>
        <v>0</v>
      </c>
      <c r="O25" s="81"/>
    </row>
    <row r="26" spans="1:237" ht="15" x14ac:dyDescent="0.25">
      <c r="A26" s="11">
        <f t="shared" si="1"/>
        <v>42544</v>
      </c>
      <c r="B26" s="1"/>
      <c r="C26" s="2">
        <f t="shared" si="2"/>
        <v>0</v>
      </c>
      <c r="D26" s="97"/>
      <c r="E26" s="97">
        <f t="shared" si="3"/>
        <v>0</v>
      </c>
      <c r="F26" s="62"/>
      <c r="G26" s="1"/>
      <c r="H26" s="2">
        <f t="shared" si="4"/>
        <v>0</v>
      </c>
      <c r="I26" s="152">
        <f t="shared" si="0"/>
        <v>0</v>
      </c>
      <c r="J26" s="5"/>
      <c r="K26" s="148"/>
      <c r="L26" s="234"/>
      <c r="M26" s="77"/>
      <c r="N26" s="63">
        <f t="shared" si="5"/>
        <v>0</v>
      </c>
      <c r="O26" s="81"/>
    </row>
    <row r="27" spans="1:237" ht="15" x14ac:dyDescent="0.2">
      <c r="A27" s="11">
        <f t="shared" si="1"/>
        <v>42545</v>
      </c>
      <c r="B27" s="1"/>
      <c r="C27" s="2">
        <f t="shared" si="2"/>
        <v>0</v>
      </c>
      <c r="D27" s="97"/>
      <c r="E27" s="97">
        <f t="shared" si="3"/>
        <v>0</v>
      </c>
      <c r="F27" s="62"/>
      <c r="G27" s="1"/>
      <c r="H27" s="2">
        <f t="shared" si="4"/>
        <v>0</v>
      </c>
      <c r="I27" s="97">
        <f t="shared" si="0"/>
        <v>0</v>
      </c>
      <c r="J27" s="5"/>
      <c r="K27" s="148"/>
      <c r="L27" s="234"/>
      <c r="M27" s="82"/>
      <c r="N27" s="63">
        <f t="shared" si="5"/>
        <v>0</v>
      </c>
      <c r="O27" s="62"/>
    </row>
    <row r="28" spans="1:237" ht="15" x14ac:dyDescent="0.25">
      <c r="A28" s="11">
        <f t="shared" si="1"/>
        <v>42546</v>
      </c>
      <c r="B28" s="1"/>
      <c r="C28" s="2">
        <f t="shared" si="2"/>
        <v>0</v>
      </c>
      <c r="D28" s="97"/>
      <c r="E28" s="97">
        <f t="shared" si="3"/>
        <v>0</v>
      </c>
      <c r="F28" s="62"/>
      <c r="G28" s="1"/>
      <c r="H28" s="2">
        <f t="shared" si="4"/>
        <v>0</v>
      </c>
      <c r="I28" s="97">
        <f t="shared" si="0"/>
        <v>0</v>
      </c>
      <c r="J28" s="5"/>
      <c r="K28" s="148"/>
      <c r="L28" s="234"/>
      <c r="M28" s="77"/>
      <c r="N28" s="63">
        <f t="shared" si="5"/>
        <v>0</v>
      </c>
      <c r="O28" s="81"/>
    </row>
    <row r="29" spans="1:237" ht="15" x14ac:dyDescent="0.25">
      <c r="A29" s="11">
        <f t="shared" si="1"/>
        <v>42547</v>
      </c>
      <c r="B29" s="1"/>
      <c r="C29" s="2">
        <f t="shared" si="2"/>
        <v>0</v>
      </c>
      <c r="D29" s="97"/>
      <c r="E29" s="97">
        <f t="shared" si="3"/>
        <v>0</v>
      </c>
      <c r="F29" s="62"/>
      <c r="G29" s="1"/>
      <c r="H29" s="2">
        <f t="shared" si="4"/>
        <v>0</v>
      </c>
      <c r="I29" s="97">
        <f t="shared" si="0"/>
        <v>0</v>
      </c>
      <c r="J29" s="5"/>
      <c r="K29" s="148"/>
      <c r="L29" s="234"/>
      <c r="M29" s="77"/>
      <c r="N29" s="63">
        <f t="shared" si="5"/>
        <v>0</v>
      </c>
      <c r="O29" s="159"/>
    </row>
    <row r="30" spans="1:237" ht="15" x14ac:dyDescent="0.25">
      <c r="A30" s="11">
        <f t="shared" si="1"/>
        <v>42548</v>
      </c>
      <c r="B30" s="1"/>
      <c r="C30" s="2">
        <f t="shared" si="2"/>
        <v>0</v>
      </c>
      <c r="D30" s="97"/>
      <c r="E30" s="97">
        <f t="shared" si="3"/>
        <v>0</v>
      </c>
      <c r="F30" s="62"/>
      <c r="G30" s="1"/>
      <c r="H30" s="2">
        <f t="shared" si="4"/>
        <v>0</v>
      </c>
      <c r="I30" s="97">
        <f t="shared" si="0"/>
        <v>0</v>
      </c>
      <c r="J30" s="5"/>
      <c r="K30" s="148"/>
      <c r="L30" s="234"/>
      <c r="M30" s="77"/>
      <c r="N30" s="63">
        <f>+M30*10.8/1000</f>
        <v>0</v>
      </c>
      <c r="O30" s="155"/>
    </row>
    <row r="31" spans="1:237" ht="15" x14ac:dyDescent="0.25">
      <c r="A31" s="11">
        <f t="shared" si="1"/>
        <v>42549</v>
      </c>
      <c r="B31" s="1"/>
      <c r="C31" s="2">
        <f t="shared" si="2"/>
        <v>0</v>
      </c>
      <c r="D31" s="97"/>
      <c r="E31" s="97">
        <f t="shared" si="3"/>
        <v>0</v>
      </c>
      <c r="F31" s="62"/>
      <c r="G31" s="1"/>
      <c r="H31" s="2">
        <f t="shared" si="4"/>
        <v>0</v>
      </c>
      <c r="I31" s="97">
        <f t="shared" si="0"/>
        <v>0</v>
      </c>
      <c r="J31" s="5"/>
      <c r="K31" s="148"/>
      <c r="L31" s="234"/>
      <c r="M31" s="77"/>
      <c r="N31" s="63">
        <f t="shared" ref="N31:N34" si="6">+M31*10.8/1000</f>
        <v>0</v>
      </c>
      <c r="O31" s="155"/>
    </row>
    <row r="32" spans="1:237" ht="15" x14ac:dyDescent="0.25">
      <c r="A32" s="11">
        <f t="shared" si="1"/>
        <v>42550</v>
      </c>
      <c r="B32" s="1"/>
      <c r="C32" s="2">
        <f t="shared" si="2"/>
        <v>0</v>
      </c>
      <c r="D32" s="116"/>
      <c r="E32" s="97">
        <f t="shared" si="3"/>
        <v>0</v>
      </c>
      <c r="F32" s="62"/>
      <c r="G32" s="1"/>
      <c r="H32" s="2">
        <f t="shared" si="4"/>
        <v>0</v>
      </c>
      <c r="I32" s="97">
        <f t="shared" si="0"/>
        <v>0</v>
      </c>
      <c r="J32" s="5"/>
      <c r="K32" s="148"/>
      <c r="L32" s="234"/>
      <c r="M32" s="77"/>
      <c r="N32" s="63">
        <f t="shared" si="6"/>
        <v>0</v>
      </c>
      <c r="O32" s="155"/>
    </row>
    <row r="33" spans="1:15" ht="15.75" thickBot="1" x14ac:dyDescent="0.3">
      <c r="A33" s="11">
        <f t="shared" si="1"/>
        <v>42551</v>
      </c>
      <c r="B33" s="1"/>
      <c r="C33" s="2">
        <f t="shared" si="2"/>
        <v>0</v>
      </c>
      <c r="D33" s="97"/>
      <c r="E33" s="97">
        <f t="shared" si="3"/>
        <v>0</v>
      </c>
      <c r="F33" s="62"/>
      <c r="G33" s="1"/>
      <c r="H33" s="2">
        <f t="shared" si="4"/>
        <v>0</v>
      </c>
      <c r="I33" s="97">
        <f t="shared" si="0"/>
        <v>0</v>
      </c>
      <c r="J33" s="5"/>
      <c r="K33" s="148"/>
      <c r="L33" s="234"/>
      <c r="M33" s="77"/>
      <c r="N33" s="63">
        <f t="shared" si="6"/>
        <v>0</v>
      </c>
      <c r="O33" s="67"/>
    </row>
    <row r="34" spans="1:15" ht="15.75" hidden="1" thickBot="1" x14ac:dyDescent="0.3">
      <c r="A34" s="166">
        <f t="shared" si="1"/>
        <v>42552</v>
      </c>
      <c r="B34" s="167"/>
      <c r="C34" s="93">
        <f t="shared" si="2"/>
        <v>0</v>
      </c>
      <c r="D34" s="116"/>
      <c r="E34" s="116">
        <f t="shared" si="3"/>
        <v>0</v>
      </c>
      <c r="F34" s="69"/>
      <c r="G34" s="55"/>
      <c r="H34" s="93">
        <f t="shared" si="4"/>
        <v>0</v>
      </c>
      <c r="I34" s="7">
        <f t="shared" si="0"/>
        <v>0</v>
      </c>
      <c r="J34" s="56"/>
      <c r="K34" s="149"/>
      <c r="L34" s="234"/>
      <c r="M34" s="160"/>
      <c r="N34" s="84">
        <f t="shared" si="6"/>
        <v>0</v>
      </c>
      <c r="O34" s="161"/>
    </row>
    <row r="35" spans="1:15" ht="18.75" thickBot="1" x14ac:dyDescent="0.3">
      <c r="A35" s="17" t="s">
        <v>8</v>
      </c>
      <c r="B35" s="168">
        <f>SUM(B4:B34)</f>
        <v>0</v>
      </c>
      <c r="C35" s="168">
        <f>+B35</f>
        <v>0</v>
      </c>
      <c r="D35" s="169">
        <f>SUM(D4:D34)</f>
        <v>0</v>
      </c>
      <c r="E35" s="169">
        <f>+D35</f>
        <v>0</v>
      </c>
      <c r="F35" s="170"/>
      <c r="G35" s="26">
        <f>SUM(G4:G33)</f>
        <v>0</v>
      </c>
      <c r="H35" s="168">
        <f>+G35</f>
        <v>0</v>
      </c>
      <c r="I35" s="118">
        <f>SUM(I4:I34)</f>
        <v>0</v>
      </c>
      <c r="J35" s="27">
        <f>SUM(J4:J34)</f>
        <v>0</v>
      </c>
      <c r="K35" s="28"/>
      <c r="L35" s="235"/>
      <c r="M35" s="156">
        <f>SUM(M4:M34)</f>
        <v>0</v>
      </c>
      <c r="N35" s="157">
        <f>SUM(N4:N34)</f>
        <v>0</v>
      </c>
      <c r="O35" s="158"/>
    </row>
    <row r="36" spans="1:15" x14ac:dyDescent="0.2">
      <c r="D36" s="64"/>
      <c r="E36" s="119"/>
      <c r="I36" s="123"/>
      <c r="N36" s="99"/>
    </row>
    <row r="37" spans="1:15" x14ac:dyDescent="0.2">
      <c r="C37" s="99"/>
      <c r="D37" s="91"/>
      <c r="I37" s="99"/>
      <c r="N37" s="99"/>
    </row>
    <row r="38" spans="1:15" x14ac:dyDescent="0.2">
      <c r="I38" s="99"/>
    </row>
    <row r="39" spans="1:15" x14ac:dyDescent="0.2">
      <c r="I39" s="99"/>
    </row>
    <row r="42" spans="1:15" x14ac:dyDescent="0.2">
      <c r="D42" s="37"/>
    </row>
  </sheetData>
  <mergeCells count="4">
    <mergeCell ref="A2:F2"/>
    <mergeCell ref="G2:K2"/>
    <mergeCell ref="L3:L35"/>
    <mergeCell ref="M2:O2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2.75" x14ac:dyDescent="0.2"/>
  <cols>
    <col min="1" max="1" width="10.140625" style="65" bestFit="1" customWidth="1"/>
    <col min="2" max="2" width="16.28515625" style="65" bestFit="1" customWidth="1"/>
    <col min="3" max="3" width="32.85546875" bestFit="1" customWidth="1"/>
    <col min="4" max="4" width="18.5703125" bestFit="1" customWidth="1"/>
    <col min="5" max="5" width="14.85546875" customWidth="1"/>
    <col min="6" max="6" width="33.5703125" bestFit="1" customWidth="1"/>
    <col min="7" max="7" width="10.5703125" bestFit="1" customWidth="1"/>
    <col min="8" max="8" width="9.7109375" bestFit="1" customWidth="1"/>
    <col min="9" max="9" width="19.28515625" bestFit="1" customWidth="1"/>
    <col min="10" max="10" width="11.5703125" bestFit="1" customWidth="1"/>
  </cols>
  <sheetData>
    <row r="1" spans="1:11" x14ac:dyDescent="0.2">
      <c r="A1" s="133" t="s">
        <v>82</v>
      </c>
      <c r="B1" s="133"/>
    </row>
    <row r="2" spans="1:11" ht="15" x14ac:dyDescent="0.25">
      <c r="A2" s="130" t="s">
        <v>1</v>
      </c>
      <c r="B2" s="130" t="s">
        <v>45</v>
      </c>
      <c r="C2" s="126" t="s">
        <v>46</v>
      </c>
      <c r="D2" s="126" t="s">
        <v>47</v>
      </c>
      <c r="E2" s="126" t="s">
        <v>48</v>
      </c>
      <c r="F2" s="126" t="s">
        <v>55</v>
      </c>
      <c r="G2" s="126" t="s">
        <v>51</v>
      </c>
      <c r="H2" s="126" t="s">
        <v>52</v>
      </c>
      <c r="I2" s="126" t="s">
        <v>49</v>
      </c>
      <c r="J2" s="126" t="s">
        <v>50</v>
      </c>
    </row>
    <row r="3" spans="1:11" ht="15" x14ac:dyDescent="0.25">
      <c r="A3" s="135"/>
      <c r="B3" s="135"/>
      <c r="C3" s="137"/>
      <c r="D3" s="135"/>
      <c r="E3" s="135"/>
      <c r="F3" s="137"/>
      <c r="G3" s="135"/>
      <c r="H3" s="138">
        <f t="shared" ref="H3:H8" si="0">+G3*10.8/1000</f>
        <v>0</v>
      </c>
      <c r="I3" s="137"/>
      <c r="J3" s="143"/>
    </row>
    <row r="4" spans="1:11" ht="15" x14ac:dyDescent="0.25">
      <c r="A4" s="135"/>
      <c r="B4" s="135"/>
      <c r="C4" s="137"/>
      <c r="D4" s="135"/>
      <c r="E4" s="135"/>
      <c r="F4" s="137"/>
      <c r="G4" s="135"/>
      <c r="H4" s="138">
        <f t="shared" si="0"/>
        <v>0</v>
      </c>
      <c r="I4" s="137"/>
      <c r="J4" s="143"/>
    </row>
    <row r="5" spans="1:11" ht="15" x14ac:dyDescent="0.25">
      <c r="A5" s="135"/>
      <c r="B5" s="135"/>
      <c r="C5" s="137"/>
      <c r="D5" s="135"/>
      <c r="E5" s="135"/>
      <c r="F5" s="137"/>
      <c r="G5" s="135"/>
      <c r="H5" s="138">
        <f t="shared" si="0"/>
        <v>0</v>
      </c>
      <c r="I5" s="137"/>
      <c r="J5" s="143"/>
    </row>
    <row r="6" spans="1:11" ht="15" x14ac:dyDescent="0.25">
      <c r="A6" s="135"/>
      <c r="B6" s="135"/>
      <c r="C6" s="137"/>
      <c r="D6" s="135"/>
      <c r="E6" s="135"/>
      <c r="F6" s="137"/>
      <c r="G6" s="135"/>
      <c r="H6" s="138">
        <f t="shared" si="0"/>
        <v>0</v>
      </c>
      <c r="I6" s="137"/>
      <c r="J6" s="143"/>
    </row>
    <row r="7" spans="1:11" ht="15" x14ac:dyDescent="0.25">
      <c r="A7" s="135"/>
      <c r="B7" s="135"/>
      <c r="C7" s="137"/>
      <c r="D7" s="135"/>
      <c r="E7" s="135"/>
      <c r="F7" s="137"/>
      <c r="G7" s="135"/>
      <c r="H7" s="138">
        <f t="shared" si="0"/>
        <v>0</v>
      </c>
      <c r="I7" s="137"/>
      <c r="J7" s="143"/>
      <c r="K7" s="150"/>
    </row>
    <row r="8" spans="1:11" ht="15" x14ac:dyDescent="0.25">
      <c r="A8" s="135"/>
      <c r="B8" s="135"/>
      <c r="C8" s="137"/>
      <c r="D8" s="135"/>
      <c r="E8" s="135"/>
      <c r="F8" s="137"/>
      <c r="G8" s="135"/>
      <c r="H8" s="138">
        <f t="shared" si="0"/>
        <v>0</v>
      </c>
      <c r="I8" s="137"/>
      <c r="J8" s="143"/>
    </row>
    <row r="9" spans="1:11" ht="15" x14ac:dyDescent="0.25">
      <c r="A9" s="135"/>
      <c r="B9" s="131"/>
      <c r="C9" s="124"/>
      <c r="D9" s="124"/>
      <c r="E9" s="124"/>
      <c r="F9" s="124"/>
      <c r="G9" s="125"/>
      <c r="H9" s="129"/>
      <c r="I9" s="124"/>
      <c r="J9" s="125"/>
    </row>
    <row r="10" spans="1:11" ht="15" x14ac:dyDescent="0.25">
      <c r="A10" s="130"/>
      <c r="B10" s="132"/>
      <c r="C10" s="127"/>
      <c r="D10" s="127"/>
      <c r="E10" s="127"/>
      <c r="F10" s="127"/>
      <c r="G10" s="128">
        <f>SUM(G3:G9)</f>
        <v>0</v>
      </c>
      <c r="H10" s="136">
        <f>SUM(H3:H9)</f>
        <v>0</v>
      </c>
      <c r="I10" s="127"/>
      <c r="J10" s="128">
        <f>SUM(J3:J9)</f>
        <v>0</v>
      </c>
    </row>
    <row r="11" spans="1:11" x14ac:dyDescent="0.2">
      <c r="H11" s="99"/>
    </row>
    <row r="12" spans="1:11" x14ac:dyDescent="0.2">
      <c r="H12" s="99"/>
    </row>
  </sheetData>
  <conditionalFormatting sqref="F1:F1048576">
    <cfRule type="containsText" dxfId="0" priority="5" operator="containsText" text="3+1">
      <formula>NOT(ISERROR(SEARCH("3+1",F1)))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workbookViewId="0">
      <selection activeCell="K7" sqref="K7"/>
    </sheetView>
  </sheetViews>
  <sheetFormatPr defaultRowHeight="12.75" x14ac:dyDescent="0.2"/>
  <cols>
    <col min="1" max="1" width="12.85546875" bestFit="1" customWidth="1"/>
    <col min="2" max="2" width="5" bestFit="1" customWidth="1"/>
    <col min="3" max="3" width="6" bestFit="1" customWidth="1"/>
    <col min="4" max="4" width="4" bestFit="1" customWidth="1"/>
    <col min="5" max="5" width="5" bestFit="1" customWidth="1"/>
    <col min="6" max="6" width="6.5703125" bestFit="1" customWidth="1"/>
    <col min="7" max="7" width="12.85546875" bestFit="1" customWidth="1"/>
    <col min="9" max="9" width="8.5703125" bestFit="1" customWidth="1"/>
  </cols>
  <sheetData>
    <row r="2" spans="1:11" x14ac:dyDescent="0.2">
      <c r="A2" s="124" t="s">
        <v>87</v>
      </c>
      <c r="B2" s="124">
        <v>1604</v>
      </c>
      <c r="C2" s="197">
        <f>B2*48</f>
        <v>76992</v>
      </c>
      <c r="D2" s="124" t="s">
        <v>86</v>
      </c>
      <c r="E2" s="124">
        <f>+C2/48</f>
        <v>1604</v>
      </c>
      <c r="F2" s="129">
        <f>+E2*10.8/1000</f>
        <v>17.3232</v>
      </c>
      <c r="G2">
        <v>1604</v>
      </c>
      <c r="I2" s="162">
        <f>+E2*10.8</f>
        <v>17323.2</v>
      </c>
    </row>
    <row r="3" spans="1:11" x14ac:dyDescent="0.2">
      <c r="A3" s="124" t="s">
        <v>88</v>
      </c>
      <c r="B3" s="124">
        <v>1633</v>
      </c>
      <c r="C3" s="197">
        <f>B3*48</f>
        <v>78384</v>
      </c>
      <c r="D3" s="124" t="s">
        <v>86</v>
      </c>
      <c r="E3" s="124">
        <f t="shared" ref="E3:E6" si="0">+C3/48</f>
        <v>1633</v>
      </c>
      <c r="F3" s="129">
        <f t="shared" ref="F3:F6" si="1">+E3*10.8/1000</f>
        <v>17.636400000000002</v>
      </c>
      <c r="G3">
        <v>1633</v>
      </c>
      <c r="I3" s="162">
        <f>+E3*10.8</f>
        <v>17636.400000000001</v>
      </c>
    </row>
    <row r="4" spans="1:11" x14ac:dyDescent="0.2">
      <c r="A4" s="124" t="s">
        <v>89</v>
      </c>
      <c r="B4" s="124">
        <v>1603</v>
      </c>
      <c r="C4" s="197">
        <f>B4*48</f>
        <v>76944</v>
      </c>
      <c r="D4" s="124" t="s">
        <v>86</v>
      </c>
      <c r="E4" s="124">
        <f t="shared" si="0"/>
        <v>1603</v>
      </c>
      <c r="F4" s="129">
        <f t="shared" si="1"/>
        <v>17.3124</v>
      </c>
      <c r="G4">
        <v>1603</v>
      </c>
      <c r="I4" s="162">
        <f>+E4*10.8</f>
        <v>17312.400000000001</v>
      </c>
    </row>
    <row r="5" spans="1:11" x14ac:dyDescent="0.2">
      <c r="A5" s="198" t="s">
        <v>90</v>
      </c>
      <c r="B5" s="198">
        <v>1191</v>
      </c>
      <c r="C5" s="197">
        <f>B5*48</f>
        <v>57168</v>
      </c>
      <c r="D5" s="198" t="s">
        <v>86</v>
      </c>
      <c r="E5" s="198">
        <f t="shared" si="0"/>
        <v>1191</v>
      </c>
      <c r="F5" s="129">
        <f t="shared" si="1"/>
        <v>12.862800000000002</v>
      </c>
      <c r="G5">
        <v>1150</v>
      </c>
      <c r="I5" s="64">
        <f>+E5*10.8</f>
        <v>12862.800000000001</v>
      </c>
      <c r="J5">
        <f>+I5-12424</f>
        <v>438.80000000000109</v>
      </c>
      <c r="K5">
        <f>1191-1150</f>
        <v>41</v>
      </c>
    </row>
    <row r="6" spans="1:11" x14ac:dyDescent="0.2">
      <c r="A6" s="124" t="s">
        <v>91</v>
      </c>
      <c r="B6" s="124">
        <v>168</v>
      </c>
      <c r="C6" s="197">
        <f>B6*48</f>
        <v>8064</v>
      </c>
      <c r="D6" s="124" t="s">
        <v>86</v>
      </c>
      <c r="E6" s="124">
        <f t="shared" si="0"/>
        <v>168</v>
      </c>
      <c r="F6" s="129">
        <f t="shared" si="1"/>
        <v>1.8144</v>
      </c>
      <c r="I6" s="64">
        <f>+E6*10.8</f>
        <v>1814.4</v>
      </c>
      <c r="J6" s="64">
        <f>+I6</f>
        <v>1814.4</v>
      </c>
      <c r="K6">
        <v>168</v>
      </c>
    </row>
    <row r="7" spans="1:11" x14ac:dyDescent="0.2">
      <c r="A7" s="198"/>
      <c r="B7" s="199">
        <f>SUM(B2:B6)</f>
        <v>6199</v>
      </c>
      <c r="C7" s="198"/>
      <c r="D7" s="198"/>
      <c r="E7" s="199">
        <f>SUM(E2:E6)</f>
        <v>6199</v>
      </c>
      <c r="F7" s="201">
        <f>SUM(F2:F6)</f>
        <v>66.949200000000019</v>
      </c>
      <c r="J7">
        <f>SUM(J5:J6)</f>
        <v>2253.2000000000012</v>
      </c>
      <c r="K7">
        <f>SUM(K5:K6)</f>
        <v>209</v>
      </c>
    </row>
    <row r="10" spans="1:11" x14ac:dyDescent="0.2">
      <c r="F10" s="200"/>
    </row>
    <row r="11" spans="1:11" x14ac:dyDescent="0.2">
      <c r="F11" s="2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K13" sqref="K13:K15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4.25" thickBot="1" x14ac:dyDescent="0.3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41030</v>
      </c>
      <c r="B3" s="1">
        <v>7</v>
      </c>
      <c r="C3" s="2">
        <f>B3</f>
        <v>7</v>
      </c>
      <c r="D3" s="58">
        <f>865*8.1/1000</f>
        <v>7.0065</v>
      </c>
      <c r="E3" s="3">
        <f>D3</f>
        <v>7.0065</v>
      </c>
      <c r="F3" s="4"/>
      <c r="G3" s="1">
        <v>5</v>
      </c>
      <c r="H3" s="2">
        <f>G3</f>
        <v>5</v>
      </c>
      <c r="I3" s="3">
        <f>J3*7.2/1000</f>
        <v>2.16</v>
      </c>
      <c r="J3" s="5">
        <v>300</v>
      </c>
      <c r="K3" s="39"/>
      <c r="L3" s="33"/>
      <c r="M3" s="30"/>
      <c r="N3" s="29">
        <f t="shared" ref="N3:N32" si="0">+M3*7.2/1000</f>
        <v>0</v>
      </c>
      <c r="O3" s="38" t="s">
        <v>23</v>
      </c>
    </row>
    <row r="4" spans="1:15" ht="15" x14ac:dyDescent="0.25">
      <c r="A4" s="11">
        <f t="shared" ref="A4:A33" si="1">A3+1</f>
        <v>41031</v>
      </c>
      <c r="B4" s="1">
        <v>10</v>
      </c>
      <c r="C4" s="2">
        <f t="shared" ref="C4:C33" si="2">B4+C3</f>
        <v>17</v>
      </c>
      <c r="D4" s="59">
        <f>1335*8.1/1000</f>
        <v>10.813499999999999</v>
      </c>
      <c r="E4" s="3">
        <f t="shared" ref="E4:E33" si="3">D4+E3</f>
        <v>17.82</v>
      </c>
      <c r="F4" s="4"/>
      <c r="G4" s="1">
        <v>8</v>
      </c>
      <c r="H4" s="2">
        <f t="shared" ref="H4:H31" si="4">H3+G4</f>
        <v>13</v>
      </c>
      <c r="I4" s="3">
        <f t="shared" ref="I4:I33" si="5">J4*7.2/1000</f>
        <v>2.16</v>
      </c>
      <c r="J4" s="5">
        <v>300</v>
      </c>
      <c r="K4" s="39"/>
      <c r="L4" s="34"/>
      <c r="M4" s="44"/>
      <c r="N4" s="29">
        <f t="shared" si="0"/>
        <v>0</v>
      </c>
      <c r="O4" s="38" t="s">
        <v>23</v>
      </c>
    </row>
    <row r="5" spans="1:15" ht="15" x14ac:dyDescent="0.25">
      <c r="A5" s="11">
        <f t="shared" si="1"/>
        <v>41032</v>
      </c>
      <c r="B5" s="1">
        <v>10</v>
      </c>
      <c r="C5" s="2">
        <f t="shared" si="2"/>
        <v>27</v>
      </c>
      <c r="D5" s="59">
        <f>1295*8.1/1000</f>
        <v>10.4895</v>
      </c>
      <c r="E5" s="3">
        <f t="shared" si="3"/>
        <v>28.3095</v>
      </c>
      <c r="F5" s="4"/>
      <c r="G5" s="1">
        <v>8</v>
      </c>
      <c r="H5" s="2">
        <f t="shared" si="4"/>
        <v>21</v>
      </c>
      <c r="I5" s="3">
        <f t="shared" si="5"/>
        <v>5.8319999999999999</v>
      </c>
      <c r="J5" s="5">
        <f>300+510</f>
        <v>810</v>
      </c>
      <c r="K5" s="39"/>
      <c r="L5" s="33"/>
      <c r="M5" s="13">
        <v>2820</v>
      </c>
      <c r="N5" s="29">
        <f t="shared" si="0"/>
        <v>20.303999999999998</v>
      </c>
      <c r="O5" s="38" t="s">
        <v>23</v>
      </c>
    </row>
    <row r="6" spans="1:15" ht="15" x14ac:dyDescent="0.25">
      <c r="A6" s="11">
        <f t="shared" si="1"/>
        <v>41033</v>
      </c>
      <c r="B6" s="1">
        <v>10</v>
      </c>
      <c r="C6" s="2">
        <f t="shared" si="2"/>
        <v>37</v>
      </c>
      <c r="D6" s="59">
        <f>1000*8.1/1000</f>
        <v>8.1</v>
      </c>
      <c r="E6" s="3">
        <f t="shared" si="3"/>
        <v>36.409500000000001</v>
      </c>
      <c r="F6" s="4"/>
      <c r="G6" s="1">
        <v>8</v>
      </c>
      <c r="H6" s="2">
        <f t="shared" si="4"/>
        <v>29</v>
      </c>
      <c r="I6" s="3">
        <f t="shared" si="5"/>
        <v>6.12</v>
      </c>
      <c r="J6" s="5">
        <f>300+550</f>
        <v>850</v>
      </c>
      <c r="K6" s="39"/>
      <c r="L6" s="33"/>
      <c r="M6" s="13"/>
      <c r="N6" s="29">
        <f t="shared" si="0"/>
        <v>0</v>
      </c>
      <c r="O6" s="38" t="s">
        <v>23</v>
      </c>
    </row>
    <row r="7" spans="1:15" ht="15" x14ac:dyDescent="0.25">
      <c r="A7" s="11">
        <f t="shared" si="1"/>
        <v>41034</v>
      </c>
      <c r="B7" s="1">
        <v>10</v>
      </c>
      <c r="C7" s="2">
        <f t="shared" si="2"/>
        <v>47</v>
      </c>
      <c r="D7" s="59">
        <f>1150*8.1/1000</f>
        <v>9.3149999999999995</v>
      </c>
      <c r="E7" s="3">
        <f t="shared" si="3"/>
        <v>45.724499999999999</v>
      </c>
      <c r="F7" s="4"/>
      <c r="G7" s="1">
        <v>8</v>
      </c>
      <c r="H7" s="2">
        <f t="shared" si="4"/>
        <v>37</v>
      </c>
      <c r="I7" s="3">
        <f t="shared" si="5"/>
        <v>5.0759999999999996</v>
      </c>
      <c r="J7" s="5">
        <f>360+45+300</f>
        <v>705</v>
      </c>
      <c r="K7" s="39"/>
      <c r="L7" s="33"/>
      <c r="M7" s="13">
        <f>570+730</f>
        <v>1300</v>
      </c>
      <c r="N7" s="29">
        <f t="shared" si="0"/>
        <v>9.36</v>
      </c>
      <c r="O7" s="38" t="s">
        <v>23</v>
      </c>
    </row>
    <row r="8" spans="1:15" ht="15" x14ac:dyDescent="0.25">
      <c r="A8" s="11">
        <f t="shared" si="1"/>
        <v>41035</v>
      </c>
      <c r="B8" s="1">
        <v>10</v>
      </c>
      <c r="C8" s="2">
        <f t="shared" si="2"/>
        <v>57</v>
      </c>
      <c r="D8" s="59">
        <f>995*8.1/1000</f>
        <v>8.0594999999999999</v>
      </c>
      <c r="E8" s="3">
        <f t="shared" si="3"/>
        <v>53.783999999999999</v>
      </c>
      <c r="F8" s="4"/>
      <c r="G8" s="1">
        <v>8</v>
      </c>
      <c r="H8" s="2">
        <f t="shared" si="4"/>
        <v>45</v>
      </c>
      <c r="I8" s="3">
        <f t="shared" si="5"/>
        <v>2.484</v>
      </c>
      <c r="J8" s="5">
        <f>165+180</f>
        <v>345</v>
      </c>
      <c r="K8" s="39"/>
      <c r="L8" s="33"/>
      <c r="M8" s="30"/>
      <c r="N8" s="29">
        <f t="shared" si="0"/>
        <v>0</v>
      </c>
      <c r="O8" s="14"/>
    </row>
    <row r="9" spans="1:15" ht="15" x14ac:dyDescent="0.25">
      <c r="A9" s="11">
        <f t="shared" si="1"/>
        <v>41036</v>
      </c>
      <c r="B9" s="1">
        <v>10</v>
      </c>
      <c r="C9" s="2">
        <f t="shared" si="2"/>
        <v>67</v>
      </c>
      <c r="D9" s="59">
        <f>1120*8.1/1000</f>
        <v>9.0719999999999992</v>
      </c>
      <c r="E9" s="3">
        <f t="shared" si="3"/>
        <v>62.855999999999995</v>
      </c>
      <c r="F9" s="4"/>
      <c r="G9" s="1">
        <v>8</v>
      </c>
      <c r="H9" s="2">
        <f t="shared" si="4"/>
        <v>53</v>
      </c>
      <c r="I9" s="3">
        <f t="shared" si="5"/>
        <v>4.4279999999999999</v>
      </c>
      <c r="J9" s="5">
        <f>225+390</f>
        <v>615</v>
      </c>
      <c r="K9" s="39"/>
      <c r="L9" s="33"/>
      <c r="M9" s="12"/>
      <c r="N9" s="29">
        <f t="shared" si="0"/>
        <v>0</v>
      </c>
      <c r="O9" s="29"/>
    </row>
    <row r="10" spans="1:15" ht="15" x14ac:dyDescent="0.25">
      <c r="A10" s="11">
        <f t="shared" si="1"/>
        <v>41037</v>
      </c>
      <c r="B10" s="1">
        <v>10</v>
      </c>
      <c r="C10" s="2">
        <f t="shared" si="2"/>
        <v>77</v>
      </c>
      <c r="D10" s="59">
        <f>1169*8.85/1000</f>
        <v>10.345649999999999</v>
      </c>
      <c r="E10" s="3">
        <f t="shared" si="3"/>
        <v>73.201650000000001</v>
      </c>
      <c r="F10" s="4"/>
      <c r="G10" s="1">
        <v>8</v>
      </c>
      <c r="H10" s="2">
        <f t="shared" si="4"/>
        <v>61</v>
      </c>
      <c r="I10" s="3">
        <f t="shared" si="5"/>
        <v>5.1120000000000001</v>
      </c>
      <c r="J10" s="5">
        <v>710</v>
      </c>
      <c r="K10" s="39"/>
      <c r="L10" s="33"/>
      <c r="M10" s="13">
        <v>1230</v>
      </c>
      <c r="N10" s="29">
        <f t="shared" si="0"/>
        <v>8.8559999999999999</v>
      </c>
      <c r="O10" s="38" t="s">
        <v>23</v>
      </c>
    </row>
    <row r="11" spans="1:15" ht="15" x14ac:dyDescent="0.25">
      <c r="A11" s="11">
        <f t="shared" si="1"/>
        <v>41038</v>
      </c>
      <c r="B11" s="1">
        <v>10</v>
      </c>
      <c r="C11" s="2">
        <f t="shared" si="2"/>
        <v>87</v>
      </c>
      <c r="D11" s="3">
        <v>9.3390000000000004</v>
      </c>
      <c r="E11" s="3">
        <f t="shared" si="3"/>
        <v>82.540649999999999</v>
      </c>
      <c r="F11" s="4"/>
      <c r="G11" s="1">
        <v>8</v>
      </c>
      <c r="H11" s="2">
        <f t="shared" si="4"/>
        <v>69</v>
      </c>
      <c r="I11" s="3">
        <f t="shared" si="5"/>
        <v>4.1760000000000002</v>
      </c>
      <c r="J11" s="5">
        <v>580</v>
      </c>
      <c r="K11" s="39"/>
      <c r="L11" s="33"/>
      <c r="M11" s="13"/>
      <c r="N11" s="29">
        <f t="shared" si="0"/>
        <v>0</v>
      </c>
      <c r="O11" s="38" t="s">
        <v>23</v>
      </c>
    </row>
    <row r="12" spans="1:15" ht="15" x14ac:dyDescent="0.2">
      <c r="A12" s="11">
        <f t="shared" si="1"/>
        <v>41039</v>
      </c>
      <c r="B12" s="1">
        <v>11</v>
      </c>
      <c r="C12" s="2">
        <f t="shared" si="2"/>
        <v>98</v>
      </c>
      <c r="D12" s="3">
        <f>360*8.1/1000</f>
        <v>2.9159999999999999</v>
      </c>
      <c r="E12" s="3">
        <f t="shared" si="3"/>
        <v>85.456649999999996</v>
      </c>
      <c r="F12" s="4"/>
      <c r="G12" s="1">
        <v>10</v>
      </c>
      <c r="H12" s="2">
        <f t="shared" si="4"/>
        <v>79</v>
      </c>
      <c r="I12" s="3">
        <f t="shared" si="5"/>
        <v>8.1359999999999992</v>
      </c>
      <c r="J12" s="5">
        <v>1130</v>
      </c>
      <c r="K12" s="39"/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41040</v>
      </c>
      <c r="B13" s="1">
        <v>11</v>
      </c>
      <c r="C13" s="2">
        <f t="shared" si="2"/>
        <v>109</v>
      </c>
      <c r="D13" s="3"/>
      <c r="E13" s="3">
        <f t="shared" si="3"/>
        <v>85.456649999999996</v>
      </c>
      <c r="F13" s="4"/>
      <c r="G13" s="1">
        <v>10</v>
      </c>
      <c r="H13" s="2">
        <f t="shared" si="4"/>
        <v>89</v>
      </c>
      <c r="I13" s="3">
        <f t="shared" si="5"/>
        <v>5.9616000000000007</v>
      </c>
      <c r="J13" s="5">
        <f>452+376</f>
        <v>828</v>
      </c>
      <c r="K13" s="60" t="s">
        <v>24</v>
      </c>
      <c r="L13" s="33"/>
      <c r="M13" s="13">
        <v>1305</v>
      </c>
      <c r="N13" s="29">
        <f t="shared" si="0"/>
        <v>9.3960000000000008</v>
      </c>
      <c r="O13" s="29" t="s">
        <v>23</v>
      </c>
    </row>
    <row r="14" spans="1:15" ht="15" x14ac:dyDescent="0.25">
      <c r="A14" s="11">
        <f t="shared" si="1"/>
        <v>41041</v>
      </c>
      <c r="B14" s="1">
        <v>11</v>
      </c>
      <c r="C14" s="2">
        <f t="shared" si="2"/>
        <v>120</v>
      </c>
      <c r="D14" s="3"/>
      <c r="E14" s="3">
        <f t="shared" si="3"/>
        <v>85.456649999999996</v>
      </c>
      <c r="F14" s="39"/>
      <c r="G14" s="1">
        <v>10</v>
      </c>
      <c r="H14" s="2">
        <f t="shared" si="4"/>
        <v>99</v>
      </c>
      <c r="I14" s="3">
        <f t="shared" si="5"/>
        <v>6.3216000000000001</v>
      </c>
      <c r="J14" s="5">
        <v>878</v>
      </c>
      <c r="K14" s="60" t="s">
        <v>24</v>
      </c>
      <c r="L14" s="33"/>
      <c r="M14" s="13"/>
      <c r="N14" s="29">
        <f t="shared" si="0"/>
        <v>0</v>
      </c>
      <c r="O14" s="29"/>
    </row>
    <row r="15" spans="1:15" ht="15" x14ac:dyDescent="0.25">
      <c r="A15" s="11">
        <f t="shared" si="1"/>
        <v>41042</v>
      </c>
      <c r="B15" s="1">
        <v>11</v>
      </c>
      <c r="C15" s="2">
        <f t="shared" si="2"/>
        <v>131</v>
      </c>
      <c r="D15" s="3"/>
      <c r="E15" s="3">
        <f t="shared" si="3"/>
        <v>85.456649999999996</v>
      </c>
      <c r="F15" s="39"/>
      <c r="G15" s="1">
        <v>10</v>
      </c>
      <c r="H15" s="2">
        <f t="shared" si="4"/>
        <v>109</v>
      </c>
      <c r="I15" s="3">
        <f t="shared" si="5"/>
        <v>7.0704000000000002</v>
      </c>
      <c r="J15" s="5">
        <f>350+632</f>
        <v>982</v>
      </c>
      <c r="K15" s="60" t="s">
        <v>24</v>
      </c>
      <c r="L15" s="33"/>
      <c r="M15" s="13"/>
      <c r="N15" s="29">
        <f t="shared" si="0"/>
        <v>0</v>
      </c>
      <c r="O15" s="38"/>
    </row>
    <row r="16" spans="1:15" ht="15" x14ac:dyDescent="0.25">
      <c r="A16" s="11">
        <f t="shared" si="1"/>
        <v>41043</v>
      </c>
      <c r="B16" s="1">
        <v>11</v>
      </c>
      <c r="C16" s="2">
        <f t="shared" si="2"/>
        <v>142</v>
      </c>
      <c r="D16" s="3"/>
      <c r="E16" s="3">
        <f t="shared" si="3"/>
        <v>85.456649999999996</v>
      </c>
      <c r="F16" s="39"/>
      <c r="G16" s="1">
        <v>10</v>
      </c>
      <c r="H16" s="2">
        <f t="shared" si="4"/>
        <v>119</v>
      </c>
      <c r="I16" s="3">
        <f t="shared" si="5"/>
        <v>5.7456000000000005</v>
      </c>
      <c r="J16" s="5">
        <v>798</v>
      </c>
      <c r="K16" s="60" t="s">
        <v>24</v>
      </c>
      <c r="L16" s="33"/>
      <c r="M16" s="13">
        <f>1482+1192</f>
        <v>2674</v>
      </c>
      <c r="N16" s="29">
        <f t="shared" si="0"/>
        <v>19.252800000000001</v>
      </c>
      <c r="O16" s="29" t="s">
        <v>23</v>
      </c>
    </row>
    <row r="17" spans="1:15" ht="15" x14ac:dyDescent="0.25">
      <c r="A17" s="11">
        <f t="shared" si="1"/>
        <v>41044</v>
      </c>
      <c r="B17" s="50">
        <v>11</v>
      </c>
      <c r="C17" s="49">
        <f t="shared" si="2"/>
        <v>153</v>
      </c>
      <c r="D17" s="49"/>
      <c r="E17" s="49">
        <f t="shared" si="3"/>
        <v>85.456649999999996</v>
      </c>
      <c r="F17" s="51"/>
      <c r="G17" s="50">
        <v>10</v>
      </c>
      <c r="H17" s="49">
        <f t="shared" si="4"/>
        <v>129</v>
      </c>
      <c r="I17" s="49">
        <f t="shared" si="5"/>
        <v>6.048</v>
      </c>
      <c r="J17" s="52">
        <f>637+203</f>
        <v>840</v>
      </c>
      <c r="K17" s="60" t="s">
        <v>24</v>
      </c>
      <c r="L17" s="33"/>
      <c r="M17" s="13">
        <v>2470</v>
      </c>
      <c r="N17" s="29">
        <f t="shared" si="0"/>
        <v>17.783999999999999</v>
      </c>
      <c r="O17" s="29" t="s">
        <v>24</v>
      </c>
    </row>
    <row r="18" spans="1:15" ht="15" x14ac:dyDescent="0.25">
      <c r="A18" s="11">
        <f t="shared" si="1"/>
        <v>41045</v>
      </c>
      <c r="B18" s="1">
        <v>11</v>
      </c>
      <c r="C18" s="2">
        <f t="shared" si="2"/>
        <v>164</v>
      </c>
      <c r="D18" s="3"/>
      <c r="E18" s="3">
        <f t="shared" si="3"/>
        <v>85.456649999999996</v>
      </c>
      <c r="F18" s="39"/>
      <c r="G18" s="1">
        <v>10</v>
      </c>
      <c r="H18" s="2">
        <f t="shared" si="4"/>
        <v>139</v>
      </c>
      <c r="I18" s="3">
        <f t="shared" si="5"/>
        <v>7.5167999999999999</v>
      </c>
      <c r="J18" s="5">
        <f>319+725</f>
        <v>1044</v>
      </c>
      <c r="K18" s="39"/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41046</v>
      </c>
      <c r="B19" s="1">
        <v>11</v>
      </c>
      <c r="C19" s="2">
        <f t="shared" si="2"/>
        <v>175</v>
      </c>
      <c r="D19" s="3"/>
      <c r="E19" s="3">
        <f t="shared" si="3"/>
        <v>85.456649999999996</v>
      </c>
      <c r="F19" s="39"/>
      <c r="G19" s="1">
        <v>10</v>
      </c>
      <c r="H19" s="2">
        <f t="shared" si="4"/>
        <v>149</v>
      </c>
      <c r="I19" s="3">
        <f t="shared" si="5"/>
        <v>5.7671999999999999</v>
      </c>
      <c r="J19" s="5">
        <f>532+269</f>
        <v>801</v>
      </c>
      <c r="K19" s="39"/>
      <c r="L19" s="33"/>
      <c r="M19" s="13">
        <v>2577</v>
      </c>
      <c r="N19" s="29">
        <f t="shared" si="0"/>
        <v>18.554400000000001</v>
      </c>
      <c r="O19" s="29" t="s">
        <v>24</v>
      </c>
    </row>
    <row r="20" spans="1:15" ht="15" x14ac:dyDescent="0.25">
      <c r="A20" s="11">
        <f t="shared" si="1"/>
        <v>41047</v>
      </c>
      <c r="B20" s="1">
        <v>11</v>
      </c>
      <c r="C20" s="2">
        <f t="shared" si="2"/>
        <v>186</v>
      </c>
      <c r="D20" s="3"/>
      <c r="E20" s="3">
        <f t="shared" si="3"/>
        <v>85.456649999999996</v>
      </c>
      <c r="F20" s="39"/>
      <c r="G20" s="1">
        <v>10</v>
      </c>
      <c r="H20" s="2">
        <f t="shared" si="4"/>
        <v>159</v>
      </c>
      <c r="I20" s="3">
        <f t="shared" si="5"/>
        <v>8.6256000000000004</v>
      </c>
      <c r="J20" s="5">
        <f>683+515</f>
        <v>1198</v>
      </c>
      <c r="K20" s="39"/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41048</v>
      </c>
      <c r="B21" s="1">
        <v>11</v>
      </c>
      <c r="C21" s="2">
        <f t="shared" si="2"/>
        <v>197</v>
      </c>
      <c r="D21" s="3"/>
      <c r="E21" s="3">
        <f t="shared" si="3"/>
        <v>85.456649999999996</v>
      </c>
      <c r="F21" s="39"/>
      <c r="G21" s="1">
        <v>10</v>
      </c>
      <c r="H21" s="2">
        <f t="shared" si="4"/>
        <v>169</v>
      </c>
      <c r="I21" s="3">
        <f t="shared" si="5"/>
        <v>3.78</v>
      </c>
      <c r="J21" s="5">
        <v>525</v>
      </c>
      <c r="K21" s="39"/>
      <c r="L21" s="33"/>
      <c r="M21" s="13"/>
      <c r="N21" s="29">
        <f t="shared" si="0"/>
        <v>0</v>
      </c>
      <c r="O21" s="29"/>
    </row>
    <row r="22" spans="1:15" ht="15" x14ac:dyDescent="0.25">
      <c r="A22" s="11">
        <f t="shared" si="1"/>
        <v>41049</v>
      </c>
      <c r="B22" s="1">
        <v>11</v>
      </c>
      <c r="C22" s="2">
        <f t="shared" si="2"/>
        <v>208</v>
      </c>
      <c r="D22" s="3"/>
      <c r="E22" s="3">
        <f t="shared" si="3"/>
        <v>85.456649999999996</v>
      </c>
      <c r="F22" s="39"/>
      <c r="G22" s="1">
        <v>10</v>
      </c>
      <c r="H22" s="2">
        <f t="shared" si="4"/>
        <v>179</v>
      </c>
      <c r="I22" s="3">
        <f t="shared" si="5"/>
        <v>6.5664000000000007</v>
      </c>
      <c r="J22" s="5">
        <f>290+320+302</f>
        <v>912</v>
      </c>
      <c r="K22" s="39"/>
      <c r="L22" s="33"/>
      <c r="M22" s="13"/>
      <c r="N22" s="29">
        <f t="shared" si="0"/>
        <v>0</v>
      </c>
      <c r="O22" s="14"/>
    </row>
    <row r="23" spans="1:15" ht="15" x14ac:dyDescent="0.25">
      <c r="A23" s="11">
        <f t="shared" si="1"/>
        <v>41050</v>
      </c>
      <c r="B23" s="1">
        <v>11</v>
      </c>
      <c r="C23" s="2">
        <f t="shared" si="2"/>
        <v>219</v>
      </c>
      <c r="D23" s="3"/>
      <c r="E23" s="3">
        <f t="shared" si="3"/>
        <v>85.456649999999996</v>
      </c>
      <c r="F23" s="39"/>
      <c r="G23" s="1">
        <v>10</v>
      </c>
      <c r="H23" s="2">
        <f t="shared" si="4"/>
        <v>189</v>
      </c>
      <c r="I23" s="3">
        <f t="shared" si="5"/>
        <v>8.5464000000000002</v>
      </c>
      <c r="J23" s="5">
        <f>580+487+120</f>
        <v>1187</v>
      </c>
      <c r="K23" s="39"/>
      <c r="L23" s="33"/>
      <c r="M23" s="13">
        <f>600+690+525+590+656+487</f>
        <v>3548</v>
      </c>
      <c r="N23" s="29">
        <f t="shared" si="0"/>
        <v>25.545600000000004</v>
      </c>
      <c r="O23" s="29" t="s">
        <v>24</v>
      </c>
    </row>
    <row r="24" spans="1:15" ht="15" x14ac:dyDescent="0.25">
      <c r="A24" s="11">
        <f t="shared" si="1"/>
        <v>41051</v>
      </c>
      <c r="B24" s="1">
        <v>11</v>
      </c>
      <c r="C24" s="2">
        <f t="shared" si="2"/>
        <v>230</v>
      </c>
      <c r="D24" s="3">
        <f>685*8.1/1000</f>
        <v>5.5484999999999998</v>
      </c>
      <c r="E24" s="3">
        <f t="shared" si="3"/>
        <v>91.00515</v>
      </c>
      <c r="F24" s="39"/>
      <c r="G24" s="1">
        <v>10</v>
      </c>
      <c r="H24" s="2">
        <f t="shared" si="4"/>
        <v>199</v>
      </c>
      <c r="I24" s="3">
        <f t="shared" si="5"/>
        <v>8.1359999999999992</v>
      </c>
      <c r="J24" s="5">
        <f>502+628</f>
        <v>1130</v>
      </c>
      <c r="K24" s="39"/>
      <c r="L24" s="33"/>
      <c r="M24" s="13"/>
      <c r="N24" s="29">
        <f t="shared" si="0"/>
        <v>0</v>
      </c>
      <c r="O24" s="29"/>
    </row>
    <row r="25" spans="1:15" ht="15" x14ac:dyDescent="0.25">
      <c r="A25" s="11">
        <f t="shared" si="1"/>
        <v>41052</v>
      </c>
      <c r="B25" s="1">
        <v>11</v>
      </c>
      <c r="C25" s="2">
        <f t="shared" si="2"/>
        <v>241</v>
      </c>
      <c r="D25" s="3">
        <f>730*8.1/1000</f>
        <v>5.9130000000000003</v>
      </c>
      <c r="E25" s="3">
        <f t="shared" si="3"/>
        <v>96.918149999999997</v>
      </c>
      <c r="F25" s="39"/>
      <c r="G25" s="1">
        <v>10</v>
      </c>
      <c r="H25" s="2">
        <f t="shared" si="4"/>
        <v>209</v>
      </c>
      <c r="I25" s="3">
        <f t="shared" si="5"/>
        <v>9</v>
      </c>
      <c r="J25" s="5">
        <f>335+260+595+60</f>
        <v>1250</v>
      </c>
      <c r="K25" s="39"/>
      <c r="L25" s="33"/>
      <c r="M25" s="13"/>
      <c r="N25" s="29">
        <f t="shared" si="0"/>
        <v>0</v>
      </c>
      <c r="O25" s="38"/>
    </row>
    <row r="26" spans="1:15" ht="15" x14ac:dyDescent="0.25">
      <c r="A26" s="11">
        <f t="shared" si="1"/>
        <v>41053</v>
      </c>
      <c r="B26" s="1">
        <v>11</v>
      </c>
      <c r="C26" s="2">
        <f t="shared" si="2"/>
        <v>252</v>
      </c>
      <c r="D26" s="3">
        <f>1050*8.1/1000</f>
        <v>8.5050000000000008</v>
      </c>
      <c r="E26" s="3">
        <f t="shared" si="3"/>
        <v>105.42314999999999</v>
      </c>
      <c r="F26" s="39"/>
      <c r="G26" s="1">
        <v>10</v>
      </c>
      <c r="H26" s="2">
        <f t="shared" si="4"/>
        <v>219</v>
      </c>
      <c r="I26" s="3">
        <f t="shared" si="5"/>
        <v>7.8840000000000003</v>
      </c>
      <c r="J26" s="5">
        <f>645+450</f>
        <v>1095</v>
      </c>
      <c r="K26" s="39"/>
      <c r="L26" s="33"/>
      <c r="M26" s="13"/>
      <c r="N26" s="29">
        <f t="shared" si="0"/>
        <v>0</v>
      </c>
      <c r="O26" s="29"/>
    </row>
    <row r="27" spans="1:15" ht="15" x14ac:dyDescent="0.25">
      <c r="A27" s="11">
        <f t="shared" si="1"/>
        <v>41054</v>
      </c>
      <c r="B27" s="1">
        <v>11</v>
      </c>
      <c r="C27" s="2">
        <f t="shared" si="2"/>
        <v>263</v>
      </c>
      <c r="D27" s="3">
        <f>1205*8.1/1000</f>
        <v>9.7605000000000004</v>
      </c>
      <c r="E27" s="3">
        <f t="shared" si="3"/>
        <v>115.18365</v>
      </c>
      <c r="F27" s="39"/>
      <c r="G27" s="1">
        <v>10</v>
      </c>
      <c r="H27" s="2">
        <f t="shared" si="4"/>
        <v>229</v>
      </c>
      <c r="I27" s="3">
        <f t="shared" si="5"/>
        <v>7.4088000000000003</v>
      </c>
      <c r="J27" s="5">
        <f>60+186+783</f>
        <v>1029</v>
      </c>
      <c r="K27" s="39"/>
      <c r="L27" s="33"/>
      <c r="M27" s="13">
        <v>3010</v>
      </c>
      <c r="N27" s="29">
        <f t="shared" si="0"/>
        <v>21.672000000000001</v>
      </c>
      <c r="O27" s="29" t="s">
        <v>24</v>
      </c>
    </row>
    <row r="28" spans="1:15" ht="15" x14ac:dyDescent="0.25">
      <c r="A28" s="11">
        <f t="shared" si="1"/>
        <v>41055</v>
      </c>
      <c r="B28" s="1">
        <v>11</v>
      </c>
      <c r="C28" s="2">
        <f t="shared" si="2"/>
        <v>274</v>
      </c>
      <c r="D28" s="3">
        <f>1150*8.1/1000</f>
        <v>9.3149999999999995</v>
      </c>
      <c r="E28" s="3">
        <f t="shared" si="3"/>
        <v>124.49865</v>
      </c>
      <c r="F28" s="4"/>
      <c r="G28" s="1">
        <v>10</v>
      </c>
      <c r="H28" s="2">
        <f t="shared" si="4"/>
        <v>239</v>
      </c>
      <c r="I28" s="3">
        <f t="shared" si="5"/>
        <v>10.663200000000002</v>
      </c>
      <c r="J28" s="5">
        <f>(1038+443)</f>
        <v>1481</v>
      </c>
      <c r="K28" s="39"/>
      <c r="L28" s="33"/>
      <c r="M28" s="13">
        <v>578</v>
      </c>
      <c r="N28" s="29">
        <f t="shared" si="0"/>
        <v>4.1616</v>
      </c>
      <c r="O28" s="29" t="s">
        <v>24</v>
      </c>
    </row>
    <row r="29" spans="1:15" ht="15" x14ac:dyDescent="0.25">
      <c r="A29" s="11">
        <f t="shared" si="1"/>
        <v>41056</v>
      </c>
      <c r="B29" s="1">
        <v>11</v>
      </c>
      <c r="C29" s="2">
        <f t="shared" si="2"/>
        <v>285</v>
      </c>
      <c r="D29" s="3">
        <f>1280*8.1/1000</f>
        <v>10.368</v>
      </c>
      <c r="E29" s="3">
        <f t="shared" si="3"/>
        <v>134.86664999999999</v>
      </c>
      <c r="F29" s="4"/>
      <c r="G29" s="1">
        <v>10</v>
      </c>
      <c r="H29" s="2">
        <f t="shared" si="4"/>
        <v>249</v>
      </c>
      <c r="I29" s="3">
        <f t="shared" si="5"/>
        <v>10.7424</v>
      </c>
      <c r="J29" s="5">
        <f>1016+476</f>
        <v>1492</v>
      </c>
      <c r="K29" s="39"/>
      <c r="L29" s="33"/>
      <c r="M29" s="13"/>
      <c r="N29" s="29">
        <f t="shared" si="0"/>
        <v>0</v>
      </c>
      <c r="O29" s="29"/>
    </row>
    <row r="30" spans="1:15" ht="15" x14ac:dyDescent="0.25">
      <c r="A30" s="11">
        <f t="shared" si="1"/>
        <v>41057</v>
      </c>
      <c r="B30" s="1">
        <v>11</v>
      </c>
      <c r="C30" s="2">
        <f t="shared" si="2"/>
        <v>296</v>
      </c>
      <c r="D30" s="3">
        <f>1240*8.1/1000</f>
        <v>10.044</v>
      </c>
      <c r="E30" s="3">
        <f t="shared" si="3"/>
        <v>144.91065</v>
      </c>
      <c r="F30" s="4"/>
      <c r="G30" s="1">
        <v>10</v>
      </c>
      <c r="H30" s="2">
        <f t="shared" si="4"/>
        <v>259</v>
      </c>
      <c r="I30" s="3">
        <f t="shared" si="5"/>
        <v>12.78</v>
      </c>
      <c r="J30" s="5">
        <f>100+705+391+339+240</f>
        <v>1775</v>
      </c>
      <c r="K30" s="39"/>
      <c r="L30" s="33"/>
      <c r="M30" s="13"/>
      <c r="N30" s="29">
        <f t="shared" si="0"/>
        <v>0</v>
      </c>
      <c r="O30" s="14"/>
    </row>
    <row r="31" spans="1:15" ht="15" x14ac:dyDescent="0.25">
      <c r="A31" s="11">
        <f t="shared" si="1"/>
        <v>41058</v>
      </c>
      <c r="B31" s="1"/>
      <c r="C31" s="2">
        <f t="shared" si="2"/>
        <v>296</v>
      </c>
      <c r="D31" s="7">
        <f>1501*8.1/1000</f>
        <v>12.158100000000001</v>
      </c>
      <c r="E31" s="3">
        <f t="shared" si="3"/>
        <v>157.06874999999999</v>
      </c>
      <c r="F31" s="4"/>
      <c r="G31" s="1">
        <v>10</v>
      </c>
      <c r="H31" s="2">
        <f t="shared" si="4"/>
        <v>269</v>
      </c>
      <c r="I31" s="3">
        <f t="shared" si="5"/>
        <v>7.5744000000000007</v>
      </c>
      <c r="J31" s="5">
        <f>512+540</f>
        <v>1052</v>
      </c>
      <c r="K31" s="39"/>
      <c r="L31" s="33"/>
      <c r="M31" s="13">
        <f>748+430+380+590+714+640</f>
        <v>3502</v>
      </c>
      <c r="N31" s="29">
        <f t="shared" si="0"/>
        <v>25.214400000000001</v>
      </c>
      <c r="O31" s="29"/>
    </row>
    <row r="32" spans="1:15" ht="15" x14ac:dyDescent="0.25">
      <c r="A32" s="11">
        <f t="shared" si="1"/>
        <v>41059</v>
      </c>
      <c r="B32" s="1"/>
      <c r="C32" s="2">
        <f t="shared" si="2"/>
        <v>296</v>
      </c>
      <c r="D32" s="3">
        <f>1420*8.1/1000</f>
        <v>11.502000000000001</v>
      </c>
      <c r="E32" s="3">
        <f t="shared" si="3"/>
        <v>168.57075</v>
      </c>
      <c r="F32" s="4"/>
      <c r="G32" s="1">
        <v>10</v>
      </c>
      <c r="H32" s="2">
        <f>H31+G32</f>
        <v>279</v>
      </c>
      <c r="I32" s="3">
        <f t="shared" si="5"/>
        <v>7.4736000000000002</v>
      </c>
      <c r="J32" s="5">
        <v>1038</v>
      </c>
      <c r="K32" s="39"/>
      <c r="L32" s="42"/>
      <c r="M32" s="13">
        <f>650+640+705+730</f>
        <v>2725</v>
      </c>
      <c r="N32" s="29">
        <f t="shared" si="0"/>
        <v>19.62</v>
      </c>
      <c r="O32" s="38"/>
    </row>
    <row r="33" spans="1:15" ht="15.75" thickBot="1" x14ac:dyDescent="0.3">
      <c r="A33" s="11">
        <f t="shared" si="1"/>
        <v>41060</v>
      </c>
      <c r="B33" s="1"/>
      <c r="C33" s="2">
        <f t="shared" si="2"/>
        <v>296</v>
      </c>
      <c r="D33" s="53">
        <f>1195*8.1/1000</f>
        <v>9.6795000000000009</v>
      </c>
      <c r="E33" s="3">
        <f t="shared" si="3"/>
        <v>178.25024999999999</v>
      </c>
      <c r="F33" s="54"/>
      <c r="G33" s="55">
        <v>10</v>
      </c>
      <c r="H33" s="2">
        <f>H32+G33</f>
        <v>289</v>
      </c>
      <c r="I33" s="3">
        <f t="shared" si="5"/>
        <v>7.38</v>
      </c>
      <c r="J33" s="56">
        <f>1025</f>
        <v>1025</v>
      </c>
      <c r="K33" s="57"/>
      <c r="L33" s="42"/>
      <c r="M33" s="13"/>
      <c r="N33" s="29"/>
      <c r="O33" s="38"/>
    </row>
    <row r="34" spans="1:15" ht="21" customHeight="1" thickBot="1" x14ac:dyDescent="0.3">
      <c r="A34" s="17" t="s">
        <v>8</v>
      </c>
      <c r="B34" s="40">
        <f>SUM(B4:B33)</f>
        <v>289</v>
      </c>
      <c r="C34" s="40">
        <f>+B34</f>
        <v>289</v>
      </c>
      <c r="D34" s="24">
        <f>SUM(D3:D32)</f>
        <v>168.57075</v>
      </c>
      <c r="E34" s="23">
        <f>+D34</f>
        <v>168.57075</v>
      </c>
      <c r="F34" s="25"/>
      <c r="G34" s="26">
        <f>SUM(G3:G33)</f>
        <v>289</v>
      </c>
      <c r="H34" s="40">
        <f>+G34</f>
        <v>289</v>
      </c>
      <c r="I34" s="23">
        <f>SUM(I3:I33)</f>
        <v>206.67600000000004</v>
      </c>
      <c r="J34" s="27">
        <f>SUM(J3:J32)</f>
        <v>27680</v>
      </c>
      <c r="K34" s="28"/>
      <c r="L34" s="35"/>
      <c r="M34" s="29">
        <f>SUM(M3:M33)</f>
        <v>27739</v>
      </c>
      <c r="N34" s="29">
        <f>SUM(N3:N32)</f>
        <v>199.7208</v>
      </c>
      <c r="O34" s="16"/>
    </row>
  </sheetData>
  <mergeCells count="2">
    <mergeCell ref="A1:F1"/>
    <mergeCell ref="G1:K1"/>
  </mergeCells>
  <phoneticPr fontId="14" type="noConversion"/>
  <conditionalFormatting sqref="D3:D10">
    <cfRule type="cellIs" dxfId="3" priority="3" stopIfTrue="1" operator="equal">
      <formula>0</formula>
    </cfRule>
  </conditionalFormatting>
  <conditionalFormatting sqref="D3">
    <cfRule type="cellIs" dxfId="2" priority="2" stopIfTrue="1" operator="equal">
      <formula>0</formula>
    </cfRule>
  </conditionalFormatting>
  <conditionalFormatting sqref="D4">
    <cfRule type="cellIs" dxfId="1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Normal="100" workbookViewId="0">
      <pane xSplit="1" ySplit="2" topLeftCell="C12" activePane="bottomRight" state="frozen"/>
      <selection pane="topRight" activeCell="B1" sqref="B1"/>
      <selection pane="bottomLeft" activeCell="A3" sqref="A3"/>
      <selection pane="bottomRight" activeCell="K31" sqref="K31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41061</v>
      </c>
      <c r="B3" s="1"/>
      <c r="C3" s="2">
        <f>B3</f>
        <v>0</v>
      </c>
      <c r="D3" s="3"/>
      <c r="E3" s="3">
        <f>D3</f>
        <v>0</v>
      </c>
      <c r="F3" s="4"/>
      <c r="G3" s="1">
        <v>7</v>
      </c>
      <c r="H3" s="2">
        <f>G3</f>
        <v>7</v>
      </c>
      <c r="I3" s="3">
        <f>J3*7.2/1000</f>
        <v>5.76</v>
      </c>
      <c r="J3" s="5">
        <v>800</v>
      </c>
      <c r="K3" s="60" t="s">
        <v>24</v>
      </c>
      <c r="L3" s="33"/>
      <c r="M3" s="30"/>
      <c r="N3" s="29">
        <f t="shared" ref="N3:N32" si="0">+M3*7.2/1000</f>
        <v>0</v>
      </c>
      <c r="O3" s="38"/>
    </row>
    <row r="4" spans="1:15" ht="15" x14ac:dyDescent="0.25">
      <c r="A4" s="11">
        <f t="shared" ref="A4:A32" si="1">A3+1</f>
        <v>41062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4"/>
      <c r="G4" s="1">
        <v>10</v>
      </c>
      <c r="H4" s="2">
        <f t="shared" ref="H4:H31" si="4">H3+G4</f>
        <v>17</v>
      </c>
      <c r="I4" s="3">
        <f t="shared" ref="I4:I32" si="5">J4*7.2/1000</f>
        <v>5.0039999999999996</v>
      </c>
      <c r="J4" s="5">
        <v>695</v>
      </c>
      <c r="K4" s="60" t="s">
        <v>24</v>
      </c>
      <c r="L4" s="34"/>
      <c r="M4" s="44">
        <v>3075</v>
      </c>
      <c r="N4" s="29">
        <f t="shared" si="0"/>
        <v>22.14</v>
      </c>
      <c r="O4" s="38" t="s">
        <v>24</v>
      </c>
    </row>
    <row r="5" spans="1:15" ht="15" x14ac:dyDescent="0.25">
      <c r="A5" s="11">
        <f t="shared" si="1"/>
        <v>41063</v>
      </c>
      <c r="B5" s="1"/>
      <c r="C5" s="2">
        <f t="shared" si="2"/>
        <v>0</v>
      </c>
      <c r="D5" s="3"/>
      <c r="E5" s="3">
        <f t="shared" si="3"/>
        <v>0</v>
      </c>
      <c r="F5" s="4"/>
      <c r="G5" s="1"/>
      <c r="H5" s="2">
        <f t="shared" si="4"/>
        <v>17</v>
      </c>
      <c r="I5" s="3">
        <f t="shared" si="5"/>
        <v>5.2919999999999998</v>
      </c>
      <c r="J5" s="5">
        <v>735</v>
      </c>
      <c r="K5" s="60" t="s">
        <v>24</v>
      </c>
      <c r="L5" s="33"/>
      <c r="M5" s="13"/>
      <c r="N5" s="29">
        <f t="shared" si="0"/>
        <v>0</v>
      </c>
      <c r="O5" s="38"/>
    </row>
    <row r="6" spans="1:15" ht="15" x14ac:dyDescent="0.25">
      <c r="A6" s="11">
        <f t="shared" si="1"/>
        <v>41064</v>
      </c>
      <c r="B6" s="1"/>
      <c r="C6" s="2">
        <f t="shared" si="2"/>
        <v>0</v>
      </c>
      <c r="D6" s="3"/>
      <c r="E6" s="3">
        <f t="shared" si="3"/>
        <v>0</v>
      </c>
      <c r="F6" s="4"/>
      <c r="G6" s="1"/>
      <c r="H6" s="2">
        <f t="shared" si="4"/>
        <v>17</v>
      </c>
      <c r="I6" s="3">
        <f t="shared" si="5"/>
        <v>3.528</v>
      </c>
      <c r="J6" s="5">
        <v>490</v>
      </c>
      <c r="K6" s="60" t="s">
        <v>24</v>
      </c>
      <c r="L6" s="33"/>
      <c r="M6" s="13"/>
      <c r="N6" s="29">
        <f t="shared" si="0"/>
        <v>0</v>
      </c>
      <c r="O6" s="38"/>
    </row>
    <row r="7" spans="1:15" ht="15" x14ac:dyDescent="0.25">
      <c r="A7" s="11">
        <f t="shared" si="1"/>
        <v>41065</v>
      </c>
      <c r="B7" s="1"/>
      <c r="C7" s="2">
        <f t="shared" si="2"/>
        <v>0</v>
      </c>
      <c r="D7" s="3"/>
      <c r="E7" s="3">
        <f t="shared" si="3"/>
        <v>0</v>
      </c>
      <c r="F7" s="4"/>
      <c r="G7" s="1"/>
      <c r="H7" s="2">
        <f t="shared" si="4"/>
        <v>17</v>
      </c>
      <c r="I7" s="3">
        <f t="shared" si="5"/>
        <v>0</v>
      </c>
      <c r="J7" s="5"/>
      <c r="K7" s="39"/>
      <c r="L7" s="33"/>
      <c r="M7" s="13"/>
      <c r="N7" s="29">
        <f t="shared" si="0"/>
        <v>0</v>
      </c>
      <c r="O7" s="38"/>
    </row>
    <row r="8" spans="1:15" ht="15" x14ac:dyDescent="0.25">
      <c r="A8" s="11">
        <f t="shared" si="1"/>
        <v>41066</v>
      </c>
      <c r="B8" s="1"/>
      <c r="C8" s="2">
        <f t="shared" si="2"/>
        <v>0</v>
      </c>
      <c r="D8" s="3"/>
      <c r="E8" s="3">
        <f t="shared" si="3"/>
        <v>0</v>
      </c>
      <c r="F8" s="4"/>
      <c r="G8" s="1"/>
      <c r="H8" s="2">
        <f t="shared" si="4"/>
        <v>17</v>
      </c>
      <c r="I8" s="3">
        <f t="shared" si="5"/>
        <v>0</v>
      </c>
      <c r="J8" s="5"/>
      <c r="K8" s="39"/>
      <c r="L8" s="33"/>
      <c r="M8" s="30"/>
      <c r="N8" s="29">
        <f t="shared" si="0"/>
        <v>0</v>
      </c>
      <c r="O8" s="14"/>
    </row>
    <row r="9" spans="1:15" ht="15" x14ac:dyDescent="0.25">
      <c r="A9" s="11">
        <f t="shared" si="1"/>
        <v>41067</v>
      </c>
      <c r="B9" s="1">
        <v>5</v>
      </c>
      <c r="C9" s="2">
        <f t="shared" si="2"/>
        <v>5</v>
      </c>
      <c r="D9" s="3"/>
      <c r="E9" s="3">
        <f t="shared" si="3"/>
        <v>0</v>
      </c>
      <c r="F9" s="4"/>
      <c r="G9" s="1">
        <v>4</v>
      </c>
      <c r="H9" s="2">
        <f t="shared" si="4"/>
        <v>21</v>
      </c>
      <c r="I9" s="3">
        <f t="shared" si="5"/>
        <v>0</v>
      </c>
      <c r="J9" s="5"/>
      <c r="K9" s="39"/>
      <c r="L9" s="33"/>
      <c r="M9" s="13">
        <v>3008</v>
      </c>
      <c r="N9" s="29">
        <f t="shared" si="0"/>
        <v>21.657600000000002</v>
      </c>
      <c r="O9" s="29"/>
    </row>
    <row r="10" spans="1:15" ht="15" x14ac:dyDescent="0.25">
      <c r="A10" s="11">
        <f t="shared" si="1"/>
        <v>41068</v>
      </c>
      <c r="B10" s="1">
        <v>11</v>
      </c>
      <c r="C10" s="2">
        <f t="shared" si="2"/>
        <v>16</v>
      </c>
      <c r="D10" s="3"/>
      <c r="E10" s="3">
        <f t="shared" si="3"/>
        <v>0</v>
      </c>
      <c r="F10" s="4"/>
      <c r="G10" s="1">
        <v>8</v>
      </c>
      <c r="H10" s="2">
        <f t="shared" si="4"/>
        <v>29</v>
      </c>
      <c r="I10" s="3">
        <f t="shared" si="5"/>
        <v>0</v>
      </c>
      <c r="J10" s="5"/>
      <c r="K10" s="39"/>
      <c r="L10" s="33"/>
      <c r="M10" s="13"/>
      <c r="N10" s="29">
        <f t="shared" si="0"/>
        <v>0</v>
      </c>
      <c r="O10" s="38"/>
    </row>
    <row r="11" spans="1:15" ht="15" x14ac:dyDescent="0.25">
      <c r="A11" s="11">
        <f t="shared" si="1"/>
        <v>41069</v>
      </c>
      <c r="B11" s="1">
        <v>11</v>
      </c>
      <c r="C11" s="2">
        <f t="shared" si="2"/>
        <v>27</v>
      </c>
      <c r="D11" s="3"/>
      <c r="E11" s="3">
        <f t="shared" si="3"/>
        <v>0</v>
      </c>
      <c r="F11" s="4"/>
      <c r="G11" s="1">
        <v>8</v>
      </c>
      <c r="H11" s="2">
        <f t="shared" si="4"/>
        <v>37</v>
      </c>
      <c r="I11" s="3">
        <f t="shared" si="5"/>
        <v>0</v>
      </c>
      <c r="J11" s="5"/>
      <c r="K11" s="39"/>
      <c r="L11" s="33"/>
      <c r="M11" s="13"/>
      <c r="N11" s="29">
        <f t="shared" si="0"/>
        <v>0</v>
      </c>
      <c r="O11" s="38"/>
    </row>
    <row r="12" spans="1:15" ht="15" x14ac:dyDescent="0.2">
      <c r="A12" s="11">
        <f t="shared" si="1"/>
        <v>41070</v>
      </c>
      <c r="B12" s="1">
        <v>11</v>
      </c>
      <c r="C12" s="2">
        <f t="shared" si="2"/>
        <v>38</v>
      </c>
      <c r="D12" s="3"/>
      <c r="E12" s="3">
        <f t="shared" si="3"/>
        <v>0</v>
      </c>
      <c r="F12" s="4"/>
      <c r="G12" s="1">
        <v>8</v>
      </c>
      <c r="H12" s="2">
        <f t="shared" si="4"/>
        <v>45</v>
      </c>
      <c r="I12" s="3">
        <f t="shared" si="5"/>
        <v>0</v>
      </c>
      <c r="J12" s="5"/>
      <c r="K12" s="39"/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41071</v>
      </c>
      <c r="B13" s="1">
        <v>11</v>
      </c>
      <c r="C13" s="2">
        <f t="shared" si="2"/>
        <v>49</v>
      </c>
      <c r="D13" s="3"/>
      <c r="E13" s="3">
        <f t="shared" si="3"/>
        <v>0</v>
      </c>
      <c r="F13" s="4"/>
      <c r="G13" s="1">
        <v>8</v>
      </c>
      <c r="H13" s="2">
        <f t="shared" si="4"/>
        <v>53</v>
      </c>
      <c r="I13" s="3">
        <f t="shared" si="5"/>
        <v>0</v>
      </c>
      <c r="J13" s="5"/>
      <c r="K13" s="60"/>
      <c r="L13" s="33"/>
      <c r="M13" s="13"/>
      <c r="N13" s="29">
        <f t="shared" si="0"/>
        <v>0</v>
      </c>
      <c r="O13" s="29"/>
    </row>
    <row r="14" spans="1:15" ht="15" x14ac:dyDescent="0.25">
      <c r="A14" s="11">
        <f t="shared" si="1"/>
        <v>41072</v>
      </c>
      <c r="B14" s="1">
        <v>11</v>
      </c>
      <c r="C14" s="2">
        <f t="shared" si="2"/>
        <v>60</v>
      </c>
      <c r="D14" s="3"/>
      <c r="E14" s="3">
        <f t="shared" si="3"/>
        <v>0</v>
      </c>
      <c r="F14" s="39"/>
      <c r="G14" s="1">
        <v>10</v>
      </c>
      <c r="H14" s="2">
        <f t="shared" si="4"/>
        <v>63</v>
      </c>
      <c r="I14" s="3">
        <f t="shared" si="5"/>
        <v>0</v>
      </c>
      <c r="J14" s="5"/>
      <c r="K14" s="60"/>
      <c r="L14" s="33"/>
      <c r="M14" s="13"/>
      <c r="N14" s="29">
        <f t="shared" si="0"/>
        <v>0</v>
      </c>
      <c r="O14" s="29"/>
    </row>
    <row r="15" spans="1:15" ht="15" x14ac:dyDescent="0.25">
      <c r="A15" s="11">
        <f t="shared" si="1"/>
        <v>41073</v>
      </c>
      <c r="B15" s="1">
        <v>11</v>
      </c>
      <c r="C15" s="2">
        <f t="shared" si="2"/>
        <v>71</v>
      </c>
      <c r="D15" s="3"/>
      <c r="E15" s="3">
        <f t="shared" si="3"/>
        <v>0</v>
      </c>
      <c r="F15" s="39"/>
      <c r="G15" s="1">
        <v>10</v>
      </c>
      <c r="H15" s="2">
        <f t="shared" si="4"/>
        <v>73</v>
      </c>
      <c r="I15" s="3">
        <f t="shared" si="5"/>
        <v>0</v>
      </c>
      <c r="J15" s="5"/>
      <c r="K15" s="60"/>
      <c r="L15" s="33"/>
      <c r="M15" s="13"/>
      <c r="N15" s="29">
        <f t="shared" si="0"/>
        <v>0</v>
      </c>
      <c r="O15" s="38"/>
    </row>
    <row r="16" spans="1:15" ht="15" x14ac:dyDescent="0.25">
      <c r="A16" s="11">
        <f t="shared" si="1"/>
        <v>41074</v>
      </c>
      <c r="B16" s="1">
        <v>11</v>
      </c>
      <c r="C16" s="2">
        <f t="shared" si="2"/>
        <v>82</v>
      </c>
      <c r="D16" s="3">
        <f>380*8.1/1000</f>
        <v>3.0779999999999998</v>
      </c>
      <c r="E16" s="3">
        <f t="shared" si="3"/>
        <v>3.0779999999999998</v>
      </c>
      <c r="F16" s="39"/>
      <c r="G16" s="1">
        <v>10</v>
      </c>
      <c r="H16" s="2">
        <f t="shared" si="4"/>
        <v>83</v>
      </c>
      <c r="I16" s="3">
        <f t="shared" si="5"/>
        <v>0</v>
      </c>
      <c r="J16" s="5"/>
      <c r="K16" s="60"/>
      <c r="L16" s="33"/>
      <c r="M16" s="13"/>
      <c r="N16" s="29">
        <f t="shared" si="0"/>
        <v>0</v>
      </c>
      <c r="O16" s="29"/>
    </row>
    <row r="17" spans="1:15" ht="15" x14ac:dyDescent="0.25">
      <c r="A17" s="11">
        <f t="shared" si="1"/>
        <v>41075</v>
      </c>
      <c r="B17" s="1">
        <v>11</v>
      </c>
      <c r="C17" s="2">
        <f t="shared" si="2"/>
        <v>93</v>
      </c>
      <c r="D17" s="6">
        <f>895*8.1/1000</f>
        <v>7.2495000000000003</v>
      </c>
      <c r="E17" s="6">
        <f t="shared" si="3"/>
        <v>10.327500000000001</v>
      </c>
      <c r="F17" s="61"/>
      <c r="G17" s="1">
        <v>10</v>
      </c>
      <c r="H17" s="2">
        <f t="shared" si="4"/>
        <v>93</v>
      </c>
      <c r="I17" s="6">
        <f t="shared" si="5"/>
        <v>0</v>
      </c>
      <c r="J17" s="5"/>
      <c r="K17" s="60"/>
      <c r="L17" s="33"/>
      <c r="M17" s="13"/>
      <c r="N17" s="29">
        <f t="shared" si="0"/>
        <v>0</v>
      </c>
      <c r="O17" s="29"/>
    </row>
    <row r="18" spans="1:15" ht="15" x14ac:dyDescent="0.25">
      <c r="A18" s="11">
        <f t="shared" si="1"/>
        <v>41076</v>
      </c>
      <c r="B18" s="1">
        <v>11</v>
      </c>
      <c r="C18" s="2">
        <f t="shared" si="2"/>
        <v>104</v>
      </c>
      <c r="D18" s="3">
        <f>910*8.1/1000</f>
        <v>7.3710000000000004</v>
      </c>
      <c r="E18" s="3">
        <f t="shared" si="3"/>
        <v>17.698500000000003</v>
      </c>
      <c r="F18" s="39"/>
      <c r="G18" s="1">
        <v>10</v>
      </c>
      <c r="H18" s="2">
        <f t="shared" si="4"/>
        <v>103</v>
      </c>
      <c r="I18" s="3">
        <f t="shared" si="5"/>
        <v>3.456</v>
      </c>
      <c r="J18" s="5">
        <v>480</v>
      </c>
      <c r="K18" s="62" t="s">
        <v>25</v>
      </c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41077</v>
      </c>
      <c r="B19" s="1">
        <v>11</v>
      </c>
      <c r="C19" s="2">
        <f t="shared" si="2"/>
        <v>115</v>
      </c>
      <c r="D19" s="3">
        <f>1095*8.1/1000</f>
        <v>8.8695000000000004</v>
      </c>
      <c r="E19" s="3">
        <f t="shared" si="3"/>
        <v>26.568000000000005</v>
      </c>
      <c r="F19" s="39"/>
      <c r="G19" s="1">
        <v>10</v>
      </c>
      <c r="H19" s="2">
        <f t="shared" si="4"/>
        <v>113</v>
      </c>
      <c r="I19" s="3">
        <f t="shared" si="5"/>
        <v>5.0759999999999996</v>
      </c>
      <c r="J19" s="5">
        <f>345+360</f>
        <v>705</v>
      </c>
      <c r="K19" s="62" t="s">
        <v>25</v>
      </c>
      <c r="L19" s="33"/>
      <c r="M19" s="13"/>
      <c r="N19" s="29">
        <f t="shared" si="0"/>
        <v>0</v>
      </c>
      <c r="O19" s="29"/>
    </row>
    <row r="20" spans="1:15" ht="15" x14ac:dyDescent="0.25">
      <c r="A20" s="11">
        <f t="shared" si="1"/>
        <v>41078</v>
      </c>
      <c r="B20" s="1">
        <v>11</v>
      </c>
      <c r="C20" s="2">
        <f t="shared" si="2"/>
        <v>126</v>
      </c>
      <c r="D20" s="3">
        <f>1215*8.1/1000</f>
        <v>9.8414999999999999</v>
      </c>
      <c r="E20" s="3">
        <f t="shared" si="3"/>
        <v>36.409500000000008</v>
      </c>
      <c r="F20" s="39"/>
      <c r="G20" s="1">
        <v>10</v>
      </c>
      <c r="H20" s="2">
        <f t="shared" si="4"/>
        <v>123</v>
      </c>
      <c r="I20" s="3">
        <f t="shared" si="5"/>
        <v>5.4504000000000001</v>
      </c>
      <c r="J20" s="5">
        <v>757</v>
      </c>
      <c r="K20" s="62" t="s">
        <v>25</v>
      </c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41079</v>
      </c>
      <c r="B21" s="1">
        <v>11</v>
      </c>
      <c r="C21" s="2">
        <f t="shared" si="2"/>
        <v>137</v>
      </c>
      <c r="D21" s="3">
        <f>1070*8.1/1000</f>
        <v>8.6669999999999998</v>
      </c>
      <c r="E21" s="3">
        <f t="shared" si="3"/>
        <v>45.07650000000001</v>
      </c>
      <c r="F21" s="39"/>
      <c r="G21" s="1">
        <v>10</v>
      </c>
      <c r="H21" s="2">
        <f t="shared" si="4"/>
        <v>133</v>
      </c>
      <c r="I21" s="3">
        <f t="shared" si="5"/>
        <v>6.3</v>
      </c>
      <c r="J21" s="5">
        <v>875</v>
      </c>
      <c r="K21" s="62" t="s">
        <v>25</v>
      </c>
      <c r="L21" s="33"/>
      <c r="M21" s="13"/>
      <c r="N21" s="29">
        <f t="shared" si="0"/>
        <v>0</v>
      </c>
      <c r="O21" s="29"/>
    </row>
    <row r="22" spans="1:15" ht="15" x14ac:dyDescent="0.25">
      <c r="A22" s="11">
        <f t="shared" si="1"/>
        <v>41080</v>
      </c>
      <c r="B22" s="1">
        <v>11</v>
      </c>
      <c r="C22" s="2">
        <f t="shared" si="2"/>
        <v>148</v>
      </c>
      <c r="D22" s="3">
        <f>620*8.1/1000</f>
        <v>5.0220000000000002</v>
      </c>
      <c r="E22" s="3">
        <f t="shared" si="3"/>
        <v>50.098500000000008</v>
      </c>
      <c r="F22" s="39"/>
      <c r="G22" s="1">
        <v>10</v>
      </c>
      <c r="H22" s="2">
        <f t="shared" si="4"/>
        <v>143</v>
      </c>
      <c r="I22" s="3">
        <f t="shared" si="5"/>
        <v>5.7960000000000003</v>
      </c>
      <c r="J22" s="5">
        <v>805</v>
      </c>
      <c r="K22" s="62" t="s">
        <v>25</v>
      </c>
      <c r="L22" s="33"/>
      <c r="M22" s="13">
        <f>420+405+600</f>
        <v>1425</v>
      </c>
      <c r="N22" s="29">
        <f t="shared" si="0"/>
        <v>10.26</v>
      </c>
      <c r="O22" s="14"/>
    </row>
    <row r="23" spans="1:15" ht="15" x14ac:dyDescent="0.25">
      <c r="A23" s="11">
        <f t="shared" si="1"/>
        <v>41081</v>
      </c>
      <c r="B23" s="1">
        <v>11</v>
      </c>
      <c r="C23" s="2">
        <f t="shared" si="2"/>
        <v>159</v>
      </c>
      <c r="D23" s="3">
        <f>875*8.1/1000</f>
        <v>7.0875000000000004</v>
      </c>
      <c r="E23" s="3">
        <f t="shared" si="3"/>
        <v>57.186000000000007</v>
      </c>
      <c r="F23" s="39"/>
      <c r="G23" s="1">
        <v>10</v>
      </c>
      <c r="H23" s="2">
        <f t="shared" si="4"/>
        <v>153</v>
      </c>
      <c r="I23" s="3">
        <f t="shared" si="5"/>
        <v>6.2640000000000002</v>
      </c>
      <c r="J23" s="5">
        <v>870</v>
      </c>
      <c r="K23" s="62" t="s">
        <v>25</v>
      </c>
      <c r="L23" s="33"/>
      <c r="M23" s="13">
        <v>2247</v>
      </c>
      <c r="N23" s="16">
        <f t="shared" si="0"/>
        <v>16.1784</v>
      </c>
      <c r="O23" s="29"/>
    </row>
    <row r="24" spans="1:15" ht="15" x14ac:dyDescent="0.25">
      <c r="A24" s="11">
        <f t="shared" si="1"/>
        <v>41082</v>
      </c>
      <c r="B24" s="1">
        <v>11</v>
      </c>
      <c r="C24" s="2">
        <f t="shared" si="2"/>
        <v>170</v>
      </c>
      <c r="D24" s="3">
        <f>1075*8.1/1000</f>
        <v>8.7074999999999996</v>
      </c>
      <c r="E24" s="3">
        <f t="shared" si="3"/>
        <v>65.893500000000003</v>
      </c>
      <c r="F24" s="39"/>
      <c r="G24" s="1">
        <v>10</v>
      </c>
      <c r="H24" s="2">
        <f t="shared" si="4"/>
        <v>163</v>
      </c>
      <c r="I24" s="3">
        <f t="shared" si="5"/>
        <v>5.7240000000000002</v>
      </c>
      <c r="J24" s="5">
        <v>795</v>
      </c>
      <c r="K24" s="62" t="s">
        <v>25</v>
      </c>
      <c r="L24" s="33"/>
      <c r="M24" s="13"/>
      <c r="N24" s="16">
        <f t="shared" si="0"/>
        <v>0</v>
      </c>
      <c r="O24" s="29"/>
    </row>
    <row r="25" spans="1:15" ht="15" x14ac:dyDescent="0.25">
      <c r="A25" s="11">
        <f t="shared" si="1"/>
        <v>41083</v>
      </c>
      <c r="B25" s="1">
        <v>11</v>
      </c>
      <c r="C25" s="2">
        <f t="shared" si="2"/>
        <v>181</v>
      </c>
      <c r="D25" s="3">
        <f>1210*8.1/1000</f>
        <v>9.8010000000000002</v>
      </c>
      <c r="E25" s="3">
        <f t="shared" si="3"/>
        <v>75.694500000000005</v>
      </c>
      <c r="F25" s="39"/>
      <c r="G25" s="1">
        <v>10</v>
      </c>
      <c r="H25" s="2">
        <f t="shared" si="4"/>
        <v>173</v>
      </c>
      <c r="I25" s="3">
        <f t="shared" si="5"/>
        <v>9.0719999999999992</v>
      </c>
      <c r="J25" s="5">
        <f>180+305+595+180</f>
        <v>1260</v>
      </c>
      <c r="K25" s="62" t="s">
        <v>25</v>
      </c>
      <c r="L25" s="33"/>
      <c r="M25" s="13"/>
      <c r="N25" s="16">
        <f t="shared" si="0"/>
        <v>0</v>
      </c>
      <c r="O25" s="38"/>
    </row>
    <row r="26" spans="1:15" ht="15" x14ac:dyDescent="0.25">
      <c r="A26" s="11">
        <f t="shared" si="1"/>
        <v>41084</v>
      </c>
      <c r="B26" s="1">
        <v>5</v>
      </c>
      <c r="C26" s="2">
        <f t="shared" si="2"/>
        <v>186</v>
      </c>
      <c r="D26" s="3">
        <f>940*8.1/1000</f>
        <v>7.6139999999999999</v>
      </c>
      <c r="E26" s="3">
        <f t="shared" si="3"/>
        <v>83.308500000000009</v>
      </c>
      <c r="F26" s="39"/>
      <c r="G26" s="1">
        <v>10</v>
      </c>
      <c r="H26" s="2">
        <f t="shared" si="4"/>
        <v>183</v>
      </c>
      <c r="I26" s="3">
        <f t="shared" si="5"/>
        <v>11.620800000000001</v>
      </c>
      <c r="J26" s="5">
        <f>1346+268</f>
        <v>1614</v>
      </c>
      <c r="K26" s="62" t="s">
        <v>25</v>
      </c>
      <c r="L26" s="33"/>
      <c r="M26" s="13"/>
      <c r="N26" s="16">
        <f t="shared" si="0"/>
        <v>0</v>
      </c>
      <c r="O26" s="29"/>
    </row>
    <row r="27" spans="1:15" ht="15" x14ac:dyDescent="0.25">
      <c r="A27" s="11">
        <f t="shared" si="1"/>
        <v>41085</v>
      </c>
      <c r="B27" s="1"/>
      <c r="C27" s="2">
        <f t="shared" si="2"/>
        <v>186</v>
      </c>
      <c r="D27" s="3">
        <f>1290*8.1/1000</f>
        <v>10.449</v>
      </c>
      <c r="E27" s="3">
        <f t="shared" si="3"/>
        <v>93.757500000000007</v>
      </c>
      <c r="F27" s="39"/>
      <c r="G27" s="1">
        <v>10</v>
      </c>
      <c r="H27" s="2">
        <f t="shared" si="4"/>
        <v>193</v>
      </c>
      <c r="I27" s="3">
        <f t="shared" si="5"/>
        <v>10.591200000000001</v>
      </c>
      <c r="J27" s="5">
        <f>470+615+26+360</f>
        <v>1471</v>
      </c>
      <c r="K27" s="62" t="s">
        <v>25</v>
      </c>
      <c r="L27" s="33"/>
      <c r="M27" s="13">
        <f>690+675+605+595+448+245</f>
        <v>3258</v>
      </c>
      <c r="N27" s="16">
        <f t="shared" si="0"/>
        <v>23.457600000000003</v>
      </c>
      <c r="O27" s="29"/>
    </row>
    <row r="28" spans="1:15" ht="15" x14ac:dyDescent="0.25">
      <c r="A28" s="11">
        <f t="shared" si="1"/>
        <v>41086</v>
      </c>
      <c r="B28" s="1"/>
      <c r="C28" s="2">
        <f t="shared" si="2"/>
        <v>186</v>
      </c>
      <c r="D28" s="3">
        <f>1250*8.1/1000</f>
        <v>10.125</v>
      </c>
      <c r="E28" s="3">
        <f t="shared" si="3"/>
        <v>103.88250000000001</v>
      </c>
      <c r="F28" s="4"/>
      <c r="G28" s="1">
        <v>10</v>
      </c>
      <c r="H28" s="2">
        <f t="shared" si="4"/>
        <v>203</v>
      </c>
      <c r="I28" s="3">
        <f t="shared" si="5"/>
        <v>12.5928</v>
      </c>
      <c r="J28" s="5">
        <f>1419+330</f>
        <v>1749</v>
      </c>
      <c r="K28" s="62" t="s">
        <v>25</v>
      </c>
      <c r="L28" s="33"/>
      <c r="M28" s="13">
        <f>505+476+590+615</f>
        <v>2186</v>
      </c>
      <c r="N28" s="16">
        <f t="shared" si="0"/>
        <v>15.7392</v>
      </c>
      <c r="O28" s="29"/>
    </row>
    <row r="29" spans="1:15" ht="15" x14ac:dyDescent="0.25">
      <c r="A29" s="11">
        <f t="shared" si="1"/>
        <v>41087</v>
      </c>
      <c r="B29" s="1"/>
      <c r="C29" s="2">
        <f t="shared" si="2"/>
        <v>186</v>
      </c>
      <c r="D29" s="3">
        <f>985*8.1/1000</f>
        <v>7.9785000000000004</v>
      </c>
      <c r="E29" s="3">
        <f t="shared" si="3"/>
        <v>111.861</v>
      </c>
      <c r="F29" s="4"/>
      <c r="G29" s="1"/>
      <c r="H29" s="2">
        <f t="shared" si="4"/>
        <v>203</v>
      </c>
      <c r="I29" s="3">
        <f t="shared" si="5"/>
        <v>11.592000000000001</v>
      </c>
      <c r="J29" s="5">
        <f>1310+300</f>
        <v>1610</v>
      </c>
      <c r="K29" s="62" t="s">
        <v>25</v>
      </c>
      <c r="L29" s="33"/>
      <c r="M29" s="13">
        <f>690+685+494+560</f>
        <v>2429</v>
      </c>
      <c r="N29" s="16">
        <f t="shared" si="0"/>
        <v>17.488799999999998</v>
      </c>
      <c r="O29" s="29"/>
    </row>
    <row r="30" spans="1:15" ht="15" x14ac:dyDescent="0.25">
      <c r="A30" s="11">
        <f t="shared" si="1"/>
        <v>41088</v>
      </c>
      <c r="B30" s="1"/>
      <c r="C30" s="2">
        <f t="shared" si="2"/>
        <v>186</v>
      </c>
      <c r="D30" s="3">
        <f>1105*8.1/1000</f>
        <v>8.9504999999999999</v>
      </c>
      <c r="E30" s="3">
        <f t="shared" si="3"/>
        <v>120.81150000000001</v>
      </c>
      <c r="F30" s="4"/>
      <c r="G30" s="1"/>
      <c r="H30" s="2">
        <f t="shared" si="4"/>
        <v>203</v>
      </c>
      <c r="I30" s="3">
        <f t="shared" si="5"/>
        <v>10.8216</v>
      </c>
      <c r="J30" s="5">
        <f>458+625+60+360</f>
        <v>1503</v>
      </c>
      <c r="K30" s="62" t="s">
        <v>25</v>
      </c>
      <c r="L30" s="33"/>
      <c r="M30" s="13">
        <f>690+758</f>
        <v>1448</v>
      </c>
      <c r="N30" s="16">
        <f t="shared" si="0"/>
        <v>10.425600000000001</v>
      </c>
      <c r="O30" s="14"/>
    </row>
    <row r="31" spans="1:15" ht="15" x14ac:dyDescent="0.25">
      <c r="A31" s="11">
        <f t="shared" si="1"/>
        <v>41089</v>
      </c>
      <c r="B31" s="1"/>
      <c r="C31" s="2">
        <f t="shared" si="2"/>
        <v>186</v>
      </c>
      <c r="D31" s="7">
        <f>1635*8.1/1000</f>
        <v>13.243499999999999</v>
      </c>
      <c r="E31" s="3">
        <f t="shared" si="3"/>
        <v>134.05500000000001</v>
      </c>
      <c r="F31" s="4"/>
      <c r="G31" s="1"/>
      <c r="H31" s="2">
        <f t="shared" si="4"/>
        <v>203</v>
      </c>
      <c r="I31" s="3">
        <f t="shared" si="5"/>
        <v>16.444800000000001</v>
      </c>
      <c r="J31" s="5">
        <f>478+566+715+285+240</f>
        <v>2284</v>
      </c>
      <c r="K31" s="62" t="s">
        <v>25</v>
      </c>
      <c r="L31" s="33"/>
      <c r="M31" s="13">
        <f>720+685</f>
        <v>1405</v>
      </c>
      <c r="N31" s="16">
        <f t="shared" si="0"/>
        <v>10.116</v>
      </c>
      <c r="O31" s="29"/>
    </row>
    <row r="32" spans="1:15" ht="15.75" thickBot="1" x14ac:dyDescent="0.3">
      <c r="A32" s="11">
        <f t="shared" si="1"/>
        <v>41090</v>
      </c>
      <c r="B32" s="1"/>
      <c r="C32" s="2">
        <f t="shared" si="2"/>
        <v>186</v>
      </c>
      <c r="D32" s="3">
        <f>1583*8.1/1000</f>
        <v>12.822299999999998</v>
      </c>
      <c r="E32" s="3">
        <f t="shared" si="3"/>
        <v>146.87729999999999</v>
      </c>
      <c r="F32" s="4"/>
      <c r="G32" s="1"/>
      <c r="H32" s="2">
        <f>H31+G32</f>
        <v>203</v>
      </c>
      <c r="I32" s="3">
        <f t="shared" si="5"/>
        <v>7.1280000000000001</v>
      </c>
      <c r="J32" s="5">
        <v>990</v>
      </c>
      <c r="K32" s="62" t="s">
        <v>25</v>
      </c>
      <c r="L32" s="42"/>
      <c r="M32" s="13">
        <f>538+566+525+715</f>
        <v>2344</v>
      </c>
      <c r="N32" s="16">
        <f t="shared" si="0"/>
        <v>16.876799999999999</v>
      </c>
      <c r="O32" s="38"/>
    </row>
    <row r="33" spans="1:15" ht="21" customHeight="1" thickBot="1" x14ac:dyDescent="0.3">
      <c r="A33" s="17" t="s">
        <v>8</v>
      </c>
      <c r="B33" s="40">
        <f>SUM(B4:B32)</f>
        <v>186</v>
      </c>
      <c r="C33" s="40">
        <f>+B33</f>
        <v>186</v>
      </c>
      <c r="D33" s="24">
        <f>SUM(D3:D32)</f>
        <v>146.87729999999999</v>
      </c>
      <c r="E33" s="23">
        <f>+D33</f>
        <v>146.87729999999999</v>
      </c>
      <c r="F33" s="25"/>
      <c r="G33" s="26">
        <f>SUM(G3:G32)</f>
        <v>203</v>
      </c>
      <c r="H33" s="40">
        <f>+G33</f>
        <v>203</v>
      </c>
      <c r="I33" s="23">
        <f>SUM(I3:I32)</f>
        <v>147.5136</v>
      </c>
      <c r="J33" s="27">
        <f>SUM(J3:J32)</f>
        <v>20488</v>
      </c>
      <c r="K33" s="28"/>
      <c r="L33" s="35"/>
      <c r="M33" s="29">
        <f>SUM(M3:M32)</f>
        <v>22825</v>
      </c>
      <c r="N33" s="29">
        <f>SUM(N3:N32)</f>
        <v>164.33999999999997</v>
      </c>
      <c r="O33" s="16"/>
    </row>
  </sheetData>
  <mergeCells count="2">
    <mergeCell ref="A1:F1"/>
    <mergeCell ref="G1:K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opLeftCell="A19" workbookViewId="0">
      <selection activeCell="J24" sqref="J24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41091</v>
      </c>
      <c r="B3" s="1"/>
      <c r="C3" s="2">
        <f>B3</f>
        <v>0</v>
      </c>
      <c r="D3" s="3"/>
      <c r="E3" s="3">
        <f>D3</f>
        <v>0</v>
      </c>
      <c r="F3" s="4"/>
      <c r="G3" s="1">
        <v>6</v>
      </c>
      <c r="H3" s="2">
        <f>G3</f>
        <v>6</v>
      </c>
      <c r="I3" s="3">
        <f>J3*7.2/1000</f>
        <v>7.1639999999999997</v>
      </c>
      <c r="J3" s="5">
        <f>455+540</f>
        <v>995</v>
      </c>
      <c r="K3" s="62" t="s">
        <v>25</v>
      </c>
      <c r="L3" s="33"/>
      <c r="M3" s="30"/>
      <c r="N3" s="63">
        <f t="shared" ref="N3:N33" si="0">+M3*7.2/1000</f>
        <v>0</v>
      </c>
      <c r="O3" s="38"/>
    </row>
    <row r="4" spans="1:15" ht="15" x14ac:dyDescent="0.25">
      <c r="A4" s="11">
        <f t="shared" ref="A4:A33" si="1">A3+1</f>
        <v>41092</v>
      </c>
      <c r="B4" s="1">
        <v>10</v>
      </c>
      <c r="C4" s="2">
        <f t="shared" ref="C4:C32" si="2">B4+C3</f>
        <v>10</v>
      </c>
      <c r="D4" s="3">
        <f>930*8.1/1000</f>
        <v>7.5330000000000004</v>
      </c>
      <c r="E4" s="3">
        <f t="shared" ref="E4:E32" si="3">D4+E3</f>
        <v>7.5330000000000004</v>
      </c>
      <c r="F4" s="62" t="s">
        <v>26</v>
      </c>
      <c r="G4" s="1">
        <v>8</v>
      </c>
      <c r="H4" s="2">
        <f t="shared" ref="H4:H32" si="4">H3+G4</f>
        <v>14</v>
      </c>
      <c r="I4" s="3">
        <f t="shared" ref="I4:I33" si="5">J4*7.2/1000</f>
        <v>11.404800000000002</v>
      </c>
      <c r="J4" s="5">
        <f>403+193+263+725</f>
        <v>1584</v>
      </c>
      <c r="K4" s="62" t="s">
        <v>25</v>
      </c>
      <c r="L4" s="34"/>
      <c r="M4" s="44"/>
      <c r="N4" s="29">
        <f t="shared" si="0"/>
        <v>0</v>
      </c>
      <c r="O4" s="38"/>
    </row>
    <row r="5" spans="1:15" ht="15" x14ac:dyDescent="0.25">
      <c r="A5" s="11">
        <f t="shared" si="1"/>
        <v>41093</v>
      </c>
      <c r="B5" s="1">
        <v>10</v>
      </c>
      <c r="C5" s="2">
        <f t="shared" si="2"/>
        <v>20</v>
      </c>
      <c r="D5" s="3">
        <f>1035*8.1/1000</f>
        <v>8.3834999999999997</v>
      </c>
      <c r="E5" s="3">
        <f t="shared" si="3"/>
        <v>15.916499999999999</v>
      </c>
      <c r="F5" s="62" t="s">
        <v>26</v>
      </c>
      <c r="G5" s="1">
        <v>8</v>
      </c>
      <c r="H5" s="2">
        <f t="shared" si="4"/>
        <v>22</v>
      </c>
      <c r="I5" s="3">
        <f t="shared" si="5"/>
        <v>7.4951999999999996</v>
      </c>
      <c r="J5" s="5">
        <f>515+526</f>
        <v>1041</v>
      </c>
      <c r="K5" s="62" t="s">
        <v>26</v>
      </c>
      <c r="L5" s="33"/>
      <c r="M5" s="13"/>
      <c r="N5" s="29">
        <f t="shared" si="0"/>
        <v>0</v>
      </c>
      <c r="O5" s="38"/>
    </row>
    <row r="6" spans="1:15" ht="15" x14ac:dyDescent="0.25">
      <c r="A6" s="11">
        <f t="shared" si="1"/>
        <v>41094</v>
      </c>
      <c r="B6" s="1">
        <v>10</v>
      </c>
      <c r="C6" s="2">
        <f t="shared" si="2"/>
        <v>30</v>
      </c>
      <c r="D6" s="3">
        <f>1035*8.1/1000</f>
        <v>8.3834999999999997</v>
      </c>
      <c r="E6" s="3">
        <f t="shared" si="3"/>
        <v>24.299999999999997</v>
      </c>
      <c r="F6" s="62" t="s">
        <v>26</v>
      </c>
      <c r="G6" s="1">
        <v>8</v>
      </c>
      <c r="H6" s="2">
        <f t="shared" si="4"/>
        <v>30</v>
      </c>
      <c r="I6" s="3">
        <f t="shared" si="5"/>
        <v>8.7911999999999999</v>
      </c>
      <c r="J6" s="5">
        <f>546+555+120</f>
        <v>1221</v>
      </c>
      <c r="K6" s="62" t="s">
        <v>26</v>
      </c>
      <c r="L6" s="33"/>
      <c r="M6" s="13">
        <f>1093+948+803+725</f>
        <v>3569</v>
      </c>
      <c r="N6" s="29">
        <f t="shared" si="0"/>
        <v>25.6968</v>
      </c>
      <c r="O6" s="38"/>
    </row>
    <row r="7" spans="1:15" ht="15" x14ac:dyDescent="0.25">
      <c r="A7" s="11">
        <f t="shared" si="1"/>
        <v>41095</v>
      </c>
      <c r="B7" s="1">
        <v>10</v>
      </c>
      <c r="C7" s="2">
        <f t="shared" si="2"/>
        <v>40</v>
      </c>
      <c r="D7" s="3">
        <f>1100*8.1/1000</f>
        <v>8.91</v>
      </c>
      <c r="E7" s="3">
        <f t="shared" si="3"/>
        <v>33.209999999999994</v>
      </c>
      <c r="F7" s="62" t="s">
        <v>26</v>
      </c>
      <c r="G7" s="1">
        <v>10</v>
      </c>
      <c r="H7" s="2">
        <f t="shared" si="4"/>
        <v>40</v>
      </c>
      <c r="I7" s="3">
        <f t="shared" si="5"/>
        <v>10.007999999999999</v>
      </c>
      <c r="J7" s="5">
        <f>486+544+360</f>
        <v>1390</v>
      </c>
      <c r="K7" s="62" t="s">
        <v>26</v>
      </c>
      <c r="L7" s="33"/>
      <c r="M7" s="13"/>
      <c r="N7" s="29">
        <f t="shared" si="0"/>
        <v>0</v>
      </c>
      <c r="O7" s="38"/>
    </row>
    <row r="8" spans="1:15" ht="15" x14ac:dyDescent="0.25">
      <c r="A8" s="11">
        <f t="shared" si="1"/>
        <v>41096</v>
      </c>
      <c r="B8" s="1">
        <v>10</v>
      </c>
      <c r="C8" s="2">
        <f t="shared" si="2"/>
        <v>50</v>
      </c>
      <c r="D8" s="3">
        <f>1120*8.1/1000</f>
        <v>9.0719999999999992</v>
      </c>
      <c r="E8" s="3">
        <f t="shared" si="3"/>
        <v>42.281999999999996</v>
      </c>
      <c r="F8" s="62" t="s">
        <v>26</v>
      </c>
      <c r="G8" s="1">
        <v>10</v>
      </c>
      <c r="H8" s="2">
        <f t="shared" si="4"/>
        <v>50</v>
      </c>
      <c r="I8" s="3">
        <f t="shared" si="5"/>
        <v>7.1711999999999998</v>
      </c>
      <c r="J8" s="5">
        <f>258+618+120</f>
        <v>996</v>
      </c>
      <c r="K8" s="62" t="s">
        <v>26</v>
      </c>
      <c r="L8" s="33"/>
      <c r="M8" s="30"/>
      <c r="N8" s="29">
        <f t="shared" si="0"/>
        <v>0</v>
      </c>
      <c r="O8" s="14"/>
    </row>
    <row r="9" spans="1:15" ht="15" x14ac:dyDescent="0.25">
      <c r="A9" s="11">
        <f t="shared" si="1"/>
        <v>41097</v>
      </c>
      <c r="B9" s="1"/>
      <c r="C9" s="2">
        <f t="shared" si="2"/>
        <v>50</v>
      </c>
      <c r="D9" s="3">
        <f>(325+1140)*8.1/1000</f>
        <v>11.8665</v>
      </c>
      <c r="E9" s="3">
        <f t="shared" si="3"/>
        <v>54.148499999999999</v>
      </c>
      <c r="F9" s="62" t="s">
        <v>26</v>
      </c>
      <c r="G9" s="1">
        <v>10</v>
      </c>
      <c r="H9" s="2">
        <f t="shared" si="4"/>
        <v>60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</row>
    <row r="10" spans="1:15" ht="15" x14ac:dyDescent="0.25">
      <c r="A10" s="11">
        <f t="shared" si="1"/>
        <v>41098</v>
      </c>
      <c r="B10" s="1"/>
      <c r="C10" s="2">
        <f t="shared" si="2"/>
        <v>50</v>
      </c>
      <c r="D10" s="3"/>
      <c r="E10" s="3">
        <f t="shared" si="3"/>
        <v>54.148499999999999</v>
      </c>
      <c r="F10" s="4"/>
      <c r="G10" s="1">
        <v>10</v>
      </c>
      <c r="H10" s="2">
        <f t="shared" si="4"/>
        <v>70</v>
      </c>
      <c r="I10" s="3">
        <f t="shared" si="5"/>
        <v>6.5736000000000008</v>
      </c>
      <c r="J10" s="5">
        <v>913</v>
      </c>
      <c r="K10" s="62" t="s">
        <v>26</v>
      </c>
      <c r="L10" s="33"/>
      <c r="M10" s="13"/>
      <c r="N10" s="29">
        <f t="shared" si="0"/>
        <v>0</v>
      </c>
      <c r="O10" s="38"/>
    </row>
    <row r="11" spans="1:15" ht="15" x14ac:dyDescent="0.25">
      <c r="A11" s="11">
        <f t="shared" si="1"/>
        <v>41099</v>
      </c>
      <c r="B11" s="1"/>
      <c r="C11" s="2">
        <f t="shared" si="2"/>
        <v>50</v>
      </c>
      <c r="D11" s="3"/>
      <c r="E11" s="3">
        <f t="shared" si="3"/>
        <v>54.148499999999999</v>
      </c>
      <c r="F11" s="4"/>
      <c r="G11" s="1"/>
      <c r="H11" s="2">
        <f t="shared" si="4"/>
        <v>70</v>
      </c>
      <c r="I11" s="3">
        <f t="shared" si="5"/>
        <v>5.4936000000000007</v>
      </c>
      <c r="J11" s="5">
        <f>223+540</f>
        <v>763</v>
      </c>
      <c r="K11" s="62" t="s">
        <v>26</v>
      </c>
      <c r="L11" s="33"/>
      <c r="M11" s="13">
        <f>515+526+606+555</f>
        <v>2202</v>
      </c>
      <c r="N11" s="29">
        <f t="shared" si="0"/>
        <v>15.8544</v>
      </c>
      <c r="O11" s="38"/>
    </row>
    <row r="12" spans="1:15" ht="15" x14ac:dyDescent="0.2">
      <c r="A12" s="11">
        <f t="shared" si="1"/>
        <v>41100</v>
      </c>
      <c r="B12" s="1"/>
      <c r="C12" s="2">
        <f t="shared" si="2"/>
        <v>50</v>
      </c>
      <c r="D12" s="3"/>
      <c r="E12" s="3">
        <f t="shared" si="3"/>
        <v>54.148499999999999</v>
      </c>
      <c r="F12" s="4"/>
      <c r="G12" s="1"/>
      <c r="H12" s="2">
        <f t="shared" si="4"/>
        <v>70</v>
      </c>
      <c r="I12" s="3">
        <f t="shared" si="5"/>
        <v>7.1784000000000008</v>
      </c>
      <c r="J12" s="5">
        <f>210+787</f>
        <v>997</v>
      </c>
      <c r="K12" s="62" t="s">
        <v>26</v>
      </c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41101</v>
      </c>
      <c r="B13" s="1"/>
      <c r="C13" s="2">
        <f t="shared" si="2"/>
        <v>50</v>
      </c>
      <c r="D13" s="3"/>
      <c r="E13" s="3">
        <f t="shared" si="3"/>
        <v>54.148499999999999</v>
      </c>
      <c r="F13" s="4"/>
      <c r="G13" s="1"/>
      <c r="H13" s="2">
        <f t="shared" si="4"/>
        <v>70</v>
      </c>
      <c r="I13" s="3">
        <f t="shared" si="5"/>
        <v>0</v>
      </c>
      <c r="J13" s="5"/>
      <c r="K13" s="60"/>
      <c r="L13" s="33"/>
      <c r="M13" s="13"/>
      <c r="N13" s="29">
        <f t="shared" si="0"/>
        <v>0</v>
      </c>
      <c r="O13" s="29"/>
    </row>
    <row r="14" spans="1:15" ht="15" x14ac:dyDescent="0.25">
      <c r="A14" s="11">
        <f t="shared" si="1"/>
        <v>41102</v>
      </c>
      <c r="B14" s="1"/>
      <c r="C14" s="2">
        <f t="shared" si="2"/>
        <v>50</v>
      </c>
      <c r="D14" s="3"/>
      <c r="E14" s="3">
        <f t="shared" si="3"/>
        <v>54.148499999999999</v>
      </c>
      <c r="F14" s="39"/>
      <c r="G14" s="1"/>
      <c r="H14" s="2">
        <f t="shared" si="4"/>
        <v>70</v>
      </c>
      <c r="I14" s="3">
        <f t="shared" si="5"/>
        <v>0</v>
      </c>
      <c r="J14" s="5"/>
      <c r="K14" s="60"/>
      <c r="L14" s="33"/>
      <c r="M14" s="13"/>
      <c r="N14" s="29">
        <f t="shared" si="0"/>
        <v>0</v>
      </c>
      <c r="O14" s="29"/>
    </row>
    <row r="15" spans="1:15" ht="15" x14ac:dyDescent="0.25">
      <c r="A15" s="11">
        <f t="shared" si="1"/>
        <v>41103</v>
      </c>
      <c r="B15" s="1"/>
      <c r="C15" s="2">
        <f t="shared" si="2"/>
        <v>50</v>
      </c>
      <c r="D15" s="3"/>
      <c r="E15" s="3">
        <f t="shared" si="3"/>
        <v>54.148499999999999</v>
      </c>
      <c r="F15" s="39"/>
      <c r="G15" s="1"/>
      <c r="H15" s="2">
        <f t="shared" si="4"/>
        <v>70</v>
      </c>
      <c r="I15" s="3">
        <f t="shared" si="5"/>
        <v>0</v>
      </c>
      <c r="J15" s="5"/>
      <c r="K15" s="60"/>
      <c r="L15" s="33"/>
      <c r="M15" s="13">
        <f>673+583+750+786</f>
        <v>2792</v>
      </c>
      <c r="N15" s="29">
        <f t="shared" si="0"/>
        <v>20.102400000000003</v>
      </c>
      <c r="O15" s="38"/>
    </row>
    <row r="16" spans="1:15" ht="15" x14ac:dyDescent="0.25">
      <c r="A16" s="11">
        <f t="shared" si="1"/>
        <v>41104</v>
      </c>
      <c r="B16" s="1"/>
      <c r="C16" s="2">
        <f t="shared" si="2"/>
        <v>50</v>
      </c>
      <c r="D16" s="3"/>
      <c r="E16" s="3">
        <f t="shared" si="3"/>
        <v>54.148499999999999</v>
      </c>
      <c r="F16" s="39"/>
      <c r="G16" s="1"/>
      <c r="H16" s="2">
        <f t="shared" si="4"/>
        <v>70</v>
      </c>
      <c r="I16" s="3">
        <f t="shared" si="5"/>
        <v>0</v>
      </c>
      <c r="J16" s="5"/>
      <c r="K16" s="60"/>
      <c r="L16" s="33"/>
      <c r="M16" s="13"/>
      <c r="N16" s="29">
        <f t="shared" si="0"/>
        <v>0</v>
      </c>
      <c r="O16" s="29"/>
    </row>
    <row r="17" spans="1:15" ht="15" x14ac:dyDescent="0.25">
      <c r="A17" s="11">
        <f t="shared" si="1"/>
        <v>41105</v>
      </c>
      <c r="B17" s="1"/>
      <c r="C17" s="2">
        <f t="shared" si="2"/>
        <v>50</v>
      </c>
      <c r="D17" s="6"/>
      <c r="E17" s="6">
        <f t="shared" si="3"/>
        <v>54.148499999999999</v>
      </c>
      <c r="F17" s="61"/>
      <c r="G17" s="1"/>
      <c r="H17" s="2">
        <f t="shared" si="4"/>
        <v>70</v>
      </c>
      <c r="I17" s="6">
        <f t="shared" si="5"/>
        <v>0</v>
      </c>
      <c r="J17" s="5"/>
      <c r="K17" s="60"/>
      <c r="L17" s="33"/>
      <c r="M17" s="13"/>
      <c r="N17" s="29">
        <f t="shared" si="0"/>
        <v>0</v>
      </c>
      <c r="O17" s="29"/>
    </row>
    <row r="18" spans="1:15" ht="15" x14ac:dyDescent="0.25">
      <c r="A18" s="11">
        <f t="shared" si="1"/>
        <v>41106</v>
      </c>
      <c r="B18" s="1">
        <v>10</v>
      </c>
      <c r="C18" s="2">
        <f t="shared" si="2"/>
        <v>60</v>
      </c>
      <c r="D18" s="3"/>
      <c r="E18" s="3">
        <f t="shared" si="3"/>
        <v>54.148499999999999</v>
      </c>
      <c r="F18" s="39"/>
      <c r="G18" s="1"/>
      <c r="H18" s="2">
        <f t="shared" si="4"/>
        <v>70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41107</v>
      </c>
      <c r="B19" s="1">
        <v>10</v>
      </c>
      <c r="C19" s="2">
        <f t="shared" si="2"/>
        <v>70</v>
      </c>
      <c r="D19" s="3">
        <f>660*8.1/1000</f>
        <v>5.3460000000000001</v>
      </c>
      <c r="E19" s="3">
        <f t="shared" si="3"/>
        <v>59.494500000000002</v>
      </c>
      <c r="F19" s="39"/>
      <c r="G19" s="1">
        <v>8</v>
      </c>
      <c r="H19" s="2">
        <f t="shared" si="4"/>
        <v>78</v>
      </c>
      <c r="I19" s="3">
        <f t="shared" si="5"/>
        <v>0</v>
      </c>
      <c r="J19" s="5"/>
      <c r="K19" s="62"/>
      <c r="L19" s="33"/>
      <c r="M19" s="13"/>
      <c r="N19" s="29">
        <f t="shared" si="0"/>
        <v>0</v>
      </c>
      <c r="O19" s="29"/>
    </row>
    <row r="20" spans="1:15" ht="15" x14ac:dyDescent="0.25">
      <c r="A20" s="11">
        <f t="shared" si="1"/>
        <v>41108</v>
      </c>
      <c r="B20" s="1">
        <v>10</v>
      </c>
      <c r="C20" s="2">
        <f t="shared" si="2"/>
        <v>80</v>
      </c>
      <c r="D20" s="3">
        <v>8.7200000000000006</v>
      </c>
      <c r="E20" s="3">
        <f t="shared" si="3"/>
        <v>68.214500000000001</v>
      </c>
      <c r="F20" s="39"/>
      <c r="G20" s="1">
        <v>8</v>
      </c>
      <c r="H20" s="2">
        <f t="shared" si="4"/>
        <v>86</v>
      </c>
      <c r="I20" s="3">
        <f t="shared" si="5"/>
        <v>6.6239999999999997</v>
      </c>
      <c r="J20" s="5">
        <v>920</v>
      </c>
      <c r="K20" s="62" t="s">
        <v>26</v>
      </c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41109</v>
      </c>
      <c r="B21" s="1">
        <v>10</v>
      </c>
      <c r="C21" s="2">
        <f t="shared" si="2"/>
        <v>90</v>
      </c>
      <c r="D21" s="3">
        <f>1035*8.1/1000</f>
        <v>8.3834999999999997</v>
      </c>
      <c r="E21" s="3">
        <f t="shared" si="3"/>
        <v>76.597999999999999</v>
      </c>
      <c r="F21" s="39"/>
      <c r="G21" s="1">
        <v>8</v>
      </c>
      <c r="H21" s="2">
        <f t="shared" si="4"/>
        <v>94</v>
      </c>
      <c r="I21" s="3">
        <f t="shared" si="5"/>
        <v>7.0056000000000003</v>
      </c>
      <c r="J21" s="5">
        <v>973</v>
      </c>
      <c r="K21" s="62" t="s">
        <v>26</v>
      </c>
      <c r="L21" s="33"/>
      <c r="M21" s="13"/>
      <c r="N21" s="29">
        <f t="shared" si="0"/>
        <v>0</v>
      </c>
      <c r="O21" s="29"/>
    </row>
    <row r="22" spans="1:15" ht="15" x14ac:dyDescent="0.25">
      <c r="A22" s="11">
        <f t="shared" si="1"/>
        <v>41110</v>
      </c>
      <c r="B22" s="1">
        <v>10</v>
      </c>
      <c r="C22" s="2">
        <f t="shared" si="2"/>
        <v>100</v>
      </c>
      <c r="D22" s="3">
        <f>208*8.1/1000</f>
        <v>1.6847999999999999</v>
      </c>
      <c r="E22" s="3">
        <f t="shared" si="3"/>
        <v>78.282799999999995</v>
      </c>
      <c r="F22" s="39"/>
      <c r="G22" s="1">
        <v>10</v>
      </c>
      <c r="H22" s="2">
        <f t="shared" si="4"/>
        <v>104</v>
      </c>
      <c r="I22" s="3">
        <f t="shared" si="5"/>
        <v>4.5359999999999996</v>
      </c>
      <c r="J22" s="5">
        <v>630</v>
      </c>
      <c r="K22" s="62" t="s">
        <v>26</v>
      </c>
      <c r="L22" s="33"/>
      <c r="M22" s="13"/>
      <c r="N22" s="29">
        <f t="shared" si="0"/>
        <v>0</v>
      </c>
      <c r="O22" s="14"/>
    </row>
    <row r="23" spans="1:15" ht="15" x14ac:dyDescent="0.25">
      <c r="A23" s="11">
        <f t="shared" si="1"/>
        <v>41111</v>
      </c>
      <c r="B23" s="1">
        <v>10</v>
      </c>
      <c r="C23" s="2">
        <f t="shared" si="2"/>
        <v>110</v>
      </c>
      <c r="D23" s="3"/>
      <c r="E23" s="3">
        <f t="shared" si="3"/>
        <v>78.282799999999995</v>
      </c>
      <c r="F23" s="39"/>
      <c r="G23" s="1">
        <v>10</v>
      </c>
      <c r="H23" s="2">
        <f t="shared" si="4"/>
        <v>114</v>
      </c>
      <c r="I23" s="3">
        <f t="shared" si="5"/>
        <v>2.3256000000000001</v>
      </c>
      <c r="J23" s="5">
        <v>323</v>
      </c>
      <c r="K23" s="62" t="s">
        <v>26</v>
      </c>
      <c r="L23" s="33"/>
      <c r="M23" s="13"/>
      <c r="N23" s="16">
        <f t="shared" si="0"/>
        <v>0</v>
      </c>
      <c r="O23" s="29"/>
    </row>
    <row r="24" spans="1:15" ht="15" x14ac:dyDescent="0.25">
      <c r="A24" s="11">
        <f t="shared" si="1"/>
        <v>41112</v>
      </c>
      <c r="B24" s="1">
        <v>10</v>
      </c>
      <c r="C24" s="2">
        <f t="shared" si="2"/>
        <v>120</v>
      </c>
      <c r="D24" s="3"/>
      <c r="E24" s="3">
        <f t="shared" si="3"/>
        <v>78.282799999999995</v>
      </c>
      <c r="F24" s="39"/>
      <c r="G24" s="1">
        <v>10</v>
      </c>
      <c r="H24" s="2">
        <f t="shared" si="4"/>
        <v>124</v>
      </c>
      <c r="I24" s="3">
        <f t="shared" si="5"/>
        <v>0.6552</v>
      </c>
      <c r="J24" s="5">
        <v>91</v>
      </c>
      <c r="K24" s="62" t="s">
        <v>26</v>
      </c>
      <c r="L24" s="33"/>
      <c r="M24" s="13"/>
      <c r="N24" s="16">
        <f t="shared" si="0"/>
        <v>0</v>
      </c>
      <c r="O24" s="29"/>
    </row>
    <row r="25" spans="1:15" ht="15" x14ac:dyDescent="0.25">
      <c r="A25" s="11">
        <f t="shared" si="1"/>
        <v>41113</v>
      </c>
      <c r="B25" s="1">
        <v>10</v>
      </c>
      <c r="C25" s="2">
        <f t="shared" si="2"/>
        <v>130</v>
      </c>
      <c r="D25" s="3"/>
      <c r="E25" s="3">
        <f t="shared" si="3"/>
        <v>78.282799999999995</v>
      </c>
      <c r="F25" s="39"/>
      <c r="G25" s="1">
        <v>10</v>
      </c>
      <c r="H25" s="2">
        <f t="shared" si="4"/>
        <v>134</v>
      </c>
      <c r="I25" s="3">
        <f t="shared" si="5"/>
        <v>0</v>
      </c>
      <c r="J25" s="5"/>
      <c r="K25" s="62"/>
      <c r="L25" s="33"/>
      <c r="M25" s="13"/>
      <c r="N25" s="16">
        <f t="shared" si="0"/>
        <v>0</v>
      </c>
      <c r="O25" s="38"/>
    </row>
    <row r="26" spans="1:15" ht="15" x14ac:dyDescent="0.25">
      <c r="A26" s="11">
        <f t="shared" si="1"/>
        <v>41114</v>
      </c>
      <c r="B26" s="1">
        <v>10</v>
      </c>
      <c r="C26" s="2">
        <f t="shared" si="2"/>
        <v>140</v>
      </c>
      <c r="D26" s="3"/>
      <c r="E26" s="3">
        <f t="shared" si="3"/>
        <v>78.282799999999995</v>
      </c>
      <c r="F26" s="39"/>
      <c r="G26" s="1">
        <v>8</v>
      </c>
      <c r="H26" s="2">
        <f t="shared" si="4"/>
        <v>142</v>
      </c>
      <c r="I26" s="3">
        <f t="shared" si="5"/>
        <v>0</v>
      </c>
      <c r="J26" s="5"/>
      <c r="K26" s="62"/>
      <c r="L26" s="33"/>
      <c r="M26" s="13"/>
      <c r="N26" s="16">
        <f t="shared" si="0"/>
        <v>0</v>
      </c>
      <c r="O26" s="29"/>
    </row>
    <row r="27" spans="1:15" ht="15" x14ac:dyDescent="0.25">
      <c r="A27" s="11">
        <f t="shared" si="1"/>
        <v>41115</v>
      </c>
      <c r="B27" s="1">
        <v>10</v>
      </c>
      <c r="C27" s="2">
        <f t="shared" si="2"/>
        <v>150</v>
      </c>
      <c r="D27" s="3"/>
      <c r="E27" s="3">
        <f t="shared" si="3"/>
        <v>78.282799999999995</v>
      </c>
      <c r="F27" s="39"/>
      <c r="G27" s="1">
        <v>10</v>
      </c>
      <c r="H27" s="2">
        <f t="shared" si="4"/>
        <v>152</v>
      </c>
      <c r="I27" s="3">
        <f t="shared" si="5"/>
        <v>0</v>
      </c>
      <c r="J27" s="5"/>
      <c r="K27" s="62"/>
      <c r="L27" s="33"/>
      <c r="M27" s="13"/>
      <c r="N27" s="16">
        <f t="shared" si="0"/>
        <v>0</v>
      </c>
      <c r="O27" s="29"/>
    </row>
    <row r="28" spans="1:15" ht="15" x14ac:dyDescent="0.25">
      <c r="A28" s="11">
        <f t="shared" si="1"/>
        <v>41116</v>
      </c>
      <c r="B28" s="1">
        <v>10</v>
      </c>
      <c r="C28" s="2">
        <f t="shared" si="2"/>
        <v>160</v>
      </c>
      <c r="D28" s="3"/>
      <c r="E28" s="3">
        <f t="shared" si="3"/>
        <v>78.282799999999995</v>
      </c>
      <c r="F28" s="4"/>
      <c r="G28" s="1">
        <v>10</v>
      </c>
      <c r="H28" s="2">
        <f t="shared" si="4"/>
        <v>162</v>
      </c>
      <c r="I28" s="3">
        <f t="shared" si="5"/>
        <v>0</v>
      </c>
      <c r="J28" s="5"/>
      <c r="K28" s="62"/>
      <c r="L28" s="33"/>
      <c r="M28" s="13"/>
      <c r="N28" s="16">
        <f t="shared" si="0"/>
        <v>0</v>
      </c>
      <c r="O28" s="29"/>
    </row>
    <row r="29" spans="1:15" ht="15" x14ac:dyDescent="0.25">
      <c r="A29" s="11">
        <f t="shared" si="1"/>
        <v>41117</v>
      </c>
      <c r="B29" s="1">
        <v>10</v>
      </c>
      <c r="C29" s="2">
        <f t="shared" si="2"/>
        <v>170</v>
      </c>
      <c r="D29" s="3"/>
      <c r="E29" s="3">
        <f t="shared" si="3"/>
        <v>78.282799999999995</v>
      </c>
      <c r="F29" s="4"/>
      <c r="G29" s="1">
        <v>10</v>
      </c>
      <c r="H29" s="2">
        <f t="shared" si="4"/>
        <v>172</v>
      </c>
      <c r="I29" s="3">
        <f t="shared" si="5"/>
        <v>0</v>
      </c>
      <c r="J29" s="5"/>
      <c r="K29" s="62"/>
      <c r="L29" s="33"/>
      <c r="M29" s="13"/>
      <c r="N29" s="16">
        <f t="shared" si="0"/>
        <v>0</v>
      </c>
      <c r="O29" s="29"/>
    </row>
    <row r="30" spans="1:15" ht="15" x14ac:dyDescent="0.25">
      <c r="A30" s="11">
        <f t="shared" si="1"/>
        <v>41118</v>
      </c>
      <c r="B30" s="1">
        <v>10</v>
      </c>
      <c r="C30" s="2">
        <f t="shared" si="2"/>
        <v>180</v>
      </c>
      <c r="D30" s="3"/>
      <c r="E30" s="3">
        <f t="shared" si="3"/>
        <v>78.282799999999995</v>
      </c>
      <c r="F30" s="4"/>
      <c r="G30" s="1">
        <v>10</v>
      </c>
      <c r="H30" s="2">
        <f t="shared" si="4"/>
        <v>182</v>
      </c>
      <c r="I30" s="3">
        <f t="shared" si="5"/>
        <v>0</v>
      </c>
      <c r="J30" s="5"/>
      <c r="K30" s="62"/>
      <c r="L30" s="33"/>
      <c r="M30" s="13"/>
      <c r="N30" s="16">
        <f t="shared" si="0"/>
        <v>0</v>
      </c>
      <c r="O30" s="14"/>
    </row>
    <row r="31" spans="1:15" ht="15" x14ac:dyDescent="0.25">
      <c r="A31" s="11">
        <f t="shared" si="1"/>
        <v>41119</v>
      </c>
      <c r="B31" s="1">
        <v>10</v>
      </c>
      <c r="C31" s="2">
        <f t="shared" si="2"/>
        <v>190</v>
      </c>
      <c r="D31" s="7"/>
      <c r="E31" s="3">
        <f t="shared" si="3"/>
        <v>78.282799999999995</v>
      </c>
      <c r="F31" s="4"/>
      <c r="G31" s="1">
        <v>10</v>
      </c>
      <c r="H31" s="2">
        <f t="shared" si="4"/>
        <v>192</v>
      </c>
      <c r="I31" s="3">
        <f t="shared" si="5"/>
        <v>0</v>
      </c>
      <c r="J31" s="5"/>
      <c r="K31" s="62"/>
      <c r="L31" s="33"/>
      <c r="M31" s="13"/>
      <c r="N31" s="16">
        <f t="shared" si="0"/>
        <v>0</v>
      </c>
      <c r="O31" s="29"/>
    </row>
    <row r="32" spans="1:15" ht="15" x14ac:dyDescent="0.25">
      <c r="A32" s="11">
        <f t="shared" si="1"/>
        <v>41120</v>
      </c>
      <c r="B32" s="1">
        <v>10</v>
      </c>
      <c r="C32" s="2">
        <f t="shared" si="2"/>
        <v>200</v>
      </c>
      <c r="D32" s="7"/>
      <c r="E32" s="3">
        <f t="shared" si="3"/>
        <v>78.282799999999995</v>
      </c>
      <c r="F32" s="4"/>
      <c r="G32" s="1">
        <v>10</v>
      </c>
      <c r="H32" s="2">
        <f t="shared" si="4"/>
        <v>202</v>
      </c>
      <c r="I32" s="3">
        <f t="shared" si="5"/>
        <v>0</v>
      </c>
      <c r="J32" s="5"/>
      <c r="K32" s="62"/>
      <c r="L32" s="42"/>
      <c r="M32" s="13"/>
      <c r="N32" s="16"/>
      <c r="O32" s="29"/>
    </row>
    <row r="33" spans="1:15" ht="15.75" thickBot="1" x14ac:dyDescent="0.3">
      <c r="A33" s="11">
        <f t="shared" si="1"/>
        <v>41121</v>
      </c>
      <c r="B33" s="1"/>
      <c r="C33" s="2">
        <f>B33+C31</f>
        <v>190</v>
      </c>
      <c r="D33" s="3"/>
      <c r="E33" s="3">
        <f>D33+E31</f>
        <v>78.282799999999995</v>
      </c>
      <c r="F33" s="4"/>
      <c r="G33" s="1">
        <v>8</v>
      </c>
      <c r="H33" s="2">
        <f>H31+G33</f>
        <v>200</v>
      </c>
      <c r="I33" s="3">
        <f t="shared" si="5"/>
        <v>0</v>
      </c>
      <c r="J33" s="5"/>
      <c r="K33" s="62"/>
      <c r="L33" s="42"/>
      <c r="M33" s="13"/>
      <c r="N33" s="16">
        <f t="shared" si="0"/>
        <v>0</v>
      </c>
      <c r="O33" s="38"/>
    </row>
    <row r="34" spans="1:15" ht="21" customHeight="1" thickBot="1" x14ac:dyDescent="0.3">
      <c r="A34" s="17" t="s">
        <v>8</v>
      </c>
      <c r="B34" s="40">
        <f>SUM(B4:B33)</f>
        <v>200</v>
      </c>
      <c r="C34" s="40">
        <f>+B34</f>
        <v>200</v>
      </c>
      <c r="D34" s="24">
        <f>SUM(D3:D33)</f>
        <v>78.282799999999995</v>
      </c>
      <c r="E34" s="23">
        <f>+D34</f>
        <v>78.282799999999995</v>
      </c>
      <c r="F34" s="25"/>
      <c r="G34" s="26">
        <f>SUM(G3:G33)</f>
        <v>210</v>
      </c>
      <c r="H34" s="40">
        <f>+G34</f>
        <v>210</v>
      </c>
      <c r="I34" s="23">
        <f>SUM(I3:I33)</f>
        <v>92.426399999999987</v>
      </c>
      <c r="J34" s="27">
        <f>SUM(J3:J33)</f>
        <v>12837</v>
      </c>
      <c r="K34" s="28"/>
      <c r="L34" s="35"/>
      <c r="M34" s="29">
        <f>SUM(M3:M33)</f>
        <v>8563</v>
      </c>
      <c r="N34" s="29">
        <f>SUM(N3:N33)</f>
        <v>61.653600000000004</v>
      </c>
      <c r="O34" s="16"/>
    </row>
  </sheetData>
  <mergeCells count="2">
    <mergeCell ref="A1:F1"/>
    <mergeCell ref="G1:K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N35" sqref="N35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41122</v>
      </c>
      <c r="B3" s="1"/>
      <c r="C3" s="2">
        <f>B3</f>
        <v>0</v>
      </c>
      <c r="D3" s="3"/>
      <c r="E3" s="3">
        <f>D3</f>
        <v>0</v>
      </c>
      <c r="F3" s="4"/>
      <c r="G3" s="1"/>
      <c r="H3" s="2">
        <f>G3</f>
        <v>0</v>
      </c>
      <c r="I3" s="3">
        <f>J3*7.2/1000</f>
        <v>0</v>
      </c>
      <c r="J3" s="5"/>
      <c r="K3" s="62"/>
      <c r="L3" s="33"/>
      <c r="M3" s="30"/>
      <c r="N3" s="63">
        <f t="shared" ref="N3:N33" si="0">+M3*7.2/1000</f>
        <v>0</v>
      </c>
      <c r="O3" s="38"/>
    </row>
    <row r="4" spans="1:15" ht="15" x14ac:dyDescent="0.25">
      <c r="A4" s="11">
        <f t="shared" ref="A4:A33" si="1">A3+1</f>
        <v>41123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62"/>
      <c r="G4" s="1"/>
      <c r="H4" s="2">
        <f t="shared" ref="H4:H32" si="4">H3+G4</f>
        <v>0</v>
      </c>
      <c r="I4" s="3">
        <f t="shared" ref="I4:I33" si="5">J4*7.2/1000</f>
        <v>0</v>
      </c>
      <c r="J4" s="5"/>
      <c r="K4" s="62"/>
      <c r="L4" s="34"/>
      <c r="M4" s="44"/>
      <c r="N4" s="29">
        <f t="shared" si="0"/>
        <v>0</v>
      </c>
      <c r="O4" s="38"/>
    </row>
    <row r="5" spans="1:15" ht="15" x14ac:dyDescent="0.25">
      <c r="A5" s="11">
        <f t="shared" si="1"/>
        <v>41124</v>
      </c>
      <c r="B5" s="1"/>
      <c r="C5" s="2">
        <f t="shared" si="2"/>
        <v>0</v>
      </c>
      <c r="D5" s="3"/>
      <c r="E5" s="3">
        <f t="shared" si="3"/>
        <v>0</v>
      </c>
      <c r="F5" s="62"/>
      <c r="G5" s="1"/>
      <c r="H5" s="2">
        <f t="shared" si="4"/>
        <v>0</v>
      </c>
      <c r="I5" s="3">
        <f t="shared" si="5"/>
        <v>0</v>
      </c>
      <c r="J5" s="5"/>
      <c r="K5" s="62"/>
      <c r="L5" s="33"/>
      <c r="M5" s="13"/>
      <c r="N5" s="29">
        <f t="shared" si="0"/>
        <v>0</v>
      </c>
      <c r="O5" s="38"/>
    </row>
    <row r="6" spans="1:15" ht="15" x14ac:dyDescent="0.25">
      <c r="A6" s="11">
        <f t="shared" si="1"/>
        <v>41125</v>
      </c>
      <c r="B6" s="1"/>
      <c r="C6" s="2">
        <f t="shared" si="2"/>
        <v>0</v>
      </c>
      <c r="D6" s="3"/>
      <c r="E6" s="3">
        <f t="shared" si="3"/>
        <v>0</v>
      </c>
      <c r="F6" s="62"/>
      <c r="G6" s="1"/>
      <c r="H6" s="2">
        <f t="shared" si="4"/>
        <v>0</v>
      </c>
      <c r="I6" s="3">
        <f t="shared" si="5"/>
        <v>0</v>
      </c>
      <c r="J6" s="5"/>
      <c r="K6" s="62"/>
      <c r="L6" s="33"/>
      <c r="M6" s="13"/>
      <c r="N6" s="29">
        <f t="shared" si="0"/>
        <v>0</v>
      </c>
      <c r="O6" s="38"/>
    </row>
    <row r="7" spans="1:15" ht="15" x14ac:dyDescent="0.25">
      <c r="A7" s="11">
        <f t="shared" si="1"/>
        <v>41126</v>
      </c>
      <c r="B7" s="1"/>
      <c r="C7" s="2">
        <f t="shared" si="2"/>
        <v>0</v>
      </c>
      <c r="D7" s="3"/>
      <c r="E7" s="3">
        <f t="shared" si="3"/>
        <v>0</v>
      </c>
      <c r="F7" s="62"/>
      <c r="G7" s="1"/>
      <c r="H7" s="2">
        <f t="shared" si="4"/>
        <v>0</v>
      </c>
      <c r="I7" s="3">
        <f t="shared" si="5"/>
        <v>0</v>
      </c>
      <c r="J7" s="5"/>
      <c r="K7" s="62"/>
      <c r="L7" s="33"/>
      <c r="M7" s="13"/>
      <c r="N7" s="29">
        <f t="shared" si="0"/>
        <v>0</v>
      </c>
      <c r="O7" s="38"/>
    </row>
    <row r="8" spans="1:15" ht="15" x14ac:dyDescent="0.25">
      <c r="A8" s="11">
        <f t="shared" si="1"/>
        <v>41127</v>
      </c>
      <c r="B8" s="1"/>
      <c r="C8" s="2">
        <f t="shared" si="2"/>
        <v>0</v>
      </c>
      <c r="D8" s="3"/>
      <c r="E8" s="3">
        <f t="shared" si="3"/>
        <v>0</v>
      </c>
      <c r="F8" s="62"/>
      <c r="G8" s="1"/>
      <c r="H8" s="2">
        <f t="shared" si="4"/>
        <v>0</v>
      </c>
      <c r="I8" s="3">
        <f t="shared" si="5"/>
        <v>0</v>
      </c>
      <c r="J8" s="5"/>
      <c r="K8" s="62"/>
      <c r="L8" s="33"/>
      <c r="M8" s="30"/>
      <c r="N8" s="29">
        <f t="shared" si="0"/>
        <v>0</v>
      </c>
      <c r="O8" s="14"/>
    </row>
    <row r="9" spans="1:15" ht="15" x14ac:dyDescent="0.25">
      <c r="A9" s="11">
        <f t="shared" si="1"/>
        <v>41128</v>
      </c>
      <c r="B9" s="1"/>
      <c r="C9" s="2">
        <f t="shared" si="2"/>
        <v>0</v>
      </c>
      <c r="D9" s="3"/>
      <c r="E9" s="3">
        <f t="shared" si="3"/>
        <v>0</v>
      </c>
      <c r="F9" s="62"/>
      <c r="G9" s="1"/>
      <c r="H9" s="2">
        <f t="shared" si="4"/>
        <v>0</v>
      </c>
      <c r="I9" s="3">
        <f t="shared" si="5"/>
        <v>0</v>
      </c>
      <c r="J9" s="5"/>
      <c r="K9" s="62"/>
      <c r="L9" s="33"/>
      <c r="M9" s="13"/>
      <c r="N9" s="29">
        <f t="shared" si="0"/>
        <v>0</v>
      </c>
      <c r="O9" s="29"/>
    </row>
    <row r="10" spans="1:15" ht="15" x14ac:dyDescent="0.25">
      <c r="A10" s="11">
        <f t="shared" si="1"/>
        <v>41129</v>
      </c>
      <c r="B10" s="1"/>
      <c r="C10" s="2">
        <f t="shared" si="2"/>
        <v>0</v>
      </c>
      <c r="D10" s="3"/>
      <c r="E10" s="3">
        <f t="shared" si="3"/>
        <v>0</v>
      </c>
      <c r="F10" s="4"/>
      <c r="G10" s="1"/>
      <c r="H10" s="2">
        <f t="shared" si="4"/>
        <v>0</v>
      </c>
      <c r="I10" s="3">
        <f t="shared" si="5"/>
        <v>0</v>
      </c>
      <c r="J10" s="5"/>
      <c r="K10" s="62"/>
      <c r="L10" s="33"/>
      <c r="M10" s="13"/>
      <c r="N10" s="29">
        <f t="shared" si="0"/>
        <v>0</v>
      </c>
      <c r="O10" s="38"/>
    </row>
    <row r="11" spans="1:15" ht="15" x14ac:dyDescent="0.25">
      <c r="A11" s="11">
        <f t="shared" si="1"/>
        <v>41130</v>
      </c>
      <c r="B11" s="1"/>
      <c r="C11" s="2">
        <f t="shared" si="2"/>
        <v>0</v>
      </c>
      <c r="D11" s="3"/>
      <c r="E11" s="3">
        <f t="shared" si="3"/>
        <v>0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13"/>
      <c r="N11" s="29">
        <f t="shared" si="0"/>
        <v>0</v>
      </c>
      <c r="O11" s="38"/>
    </row>
    <row r="12" spans="1:15" ht="15" x14ac:dyDescent="0.2">
      <c r="A12" s="11">
        <f t="shared" si="1"/>
        <v>41131</v>
      </c>
      <c r="B12" s="1"/>
      <c r="C12" s="2">
        <f t="shared" si="2"/>
        <v>0</v>
      </c>
      <c r="D12" s="3"/>
      <c r="E12" s="3">
        <f t="shared" si="3"/>
        <v>0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41132</v>
      </c>
      <c r="B13" s="1"/>
      <c r="C13" s="2">
        <f t="shared" si="2"/>
        <v>0</v>
      </c>
      <c r="D13" s="3"/>
      <c r="E13" s="3">
        <f t="shared" si="3"/>
        <v>0</v>
      </c>
      <c r="F13" s="4"/>
      <c r="G13" s="1"/>
      <c r="H13" s="2">
        <f t="shared" si="4"/>
        <v>0</v>
      </c>
      <c r="I13" s="3">
        <f t="shared" si="5"/>
        <v>0</v>
      </c>
      <c r="J13" s="5"/>
      <c r="K13" s="60"/>
      <c r="L13" s="33"/>
      <c r="M13" s="13"/>
      <c r="N13" s="29">
        <f t="shared" si="0"/>
        <v>0</v>
      </c>
      <c r="O13" s="29"/>
    </row>
    <row r="14" spans="1:15" ht="15" x14ac:dyDescent="0.25">
      <c r="A14" s="11">
        <f t="shared" si="1"/>
        <v>41133</v>
      </c>
      <c r="B14" s="1"/>
      <c r="C14" s="2">
        <f t="shared" si="2"/>
        <v>0</v>
      </c>
      <c r="D14" s="3"/>
      <c r="E14" s="3">
        <f t="shared" si="3"/>
        <v>0</v>
      </c>
      <c r="F14" s="39"/>
      <c r="G14" s="1"/>
      <c r="H14" s="2">
        <f t="shared" si="4"/>
        <v>0</v>
      </c>
      <c r="I14" s="3">
        <f t="shared" si="5"/>
        <v>0</v>
      </c>
      <c r="J14" s="5"/>
      <c r="K14" s="60"/>
      <c r="L14" s="33"/>
      <c r="M14" s="13"/>
      <c r="N14" s="29">
        <f t="shared" si="0"/>
        <v>0</v>
      </c>
      <c r="O14" s="29"/>
    </row>
    <row r="15" spans="1:15" ht="15" x14ac:dyDescent="0.25">
      <c r="A15" s="11">
        <f t="shared" si="1"/>
        <v>41134</v>
      </c>
      <c r="B15" s="1"/>
      <c r="C15" s="2">
        <f t="shared" si="2"/>
        <v>0</v>
      </c>
      <c r="D15" s="3"/>
      <c r="E15" s="3">
        <f t="shared" si="3"/>
        <v>0</v>
      </c>
      <c r="F15" s="39"/>
      <c r="G15" s="1"/>
      <c r="H15" s="2">
        <f t="shared" si="4"/>
        <v>0</v>
      </c>
      <c r="I15" s="3">
        <f t="shared" si="5"/>
        <v>0</v>
      </c>
      <c r="J15" s="5"/>
      <c r="K15" s="60"/>
      <c r="L15" s="33"/>
      <c r="M15" s="13"/>
      <c r="N15" s="29">
        <f t="shared" si="0"/>
        <v>0</v>
      </c>
      <c r="O15" s="38"/>
    </row>
    <row r="16" spans="1:15" ht="15" x14ac:dyDescent="0.25">
      <c r="A16" s="11">
        <f t="shared" si="1"/>
        <v>41135</v>
      </c>
      <c r="B16" s="1"/>
      <c r="C16" s="2">
        <f t="shared" si="2"/>
        <v>0</v>
      </c>
      <c r="D16" s="3"/>
      <c r="E16" s="3">
        <f t="shared" si="3"/>
        <v>0</v>
      </c>
      <c r="F16" s="39"/>
      <c r="G16" s="1"/>
      <c r="H16" s="2">
        <f t="shared" si="4"/>
        <v>0</v>
      </c>
      <c r="I16" s="3">
        <f t="shared" si="5"/>
        <v>0</v>
      </c>
      <c r="J16" s="5"/>
      <c r="K16" s="60"/>
      <c r="L16" s="33"/>
      <c r="M16" s="13"/>
      <c r="N16" s="29">
        <f t="shared" si="0"/>
        <v>0</v>
      </c>
      <c r="O16" s="29"/>
    </row>
    <row r="17" spans="1:15" ht="15" x14ac:dyDescent="0.25">
      <c r="A17" s="11">
        <f t="shared" si="1"/>
        <v>41136</v>
      </c>
      <c r="B17" s="1"/>
      <c r="C17" s="2">
        <f t="shared" si="2"/>
        <v>0</v>
      </c>
      <c r="D17" s="6"/>
      <c r="E17" s="6">
        <f t="shared" si="3"/>
        <v>0</v>
      </c>
      <c r="F17" s="61"/>
      <c r="G17" s="1"/>
      <c r="H17" s="2">
        <f t="shared" si="4"/>
        <v>0</v>
      </c>
      <c r="I17" s="6">
        <f t="shared" si="5"/>
        <v>0</v>
      </c>
      <c r="J17" s="5"/>
      <c r="K17" s="60"/>
      <c r="L17" s="33"/>
      <c r="M17" s="13"/>
      <c r="N17" s="29">
        <f t="shared" si="0"/>
        <v>0</v>
      </c>
      <c r="O17" s="29"/>
    </row>
    <row r="18" spans="1:15" ht="15" x14ac:dyDescent="0.25">
      <c r="A18" s="11">
        <f t="shared" si="1"/>
        <v>41137</v>
      </c>
      <c r="B18" s="1"/>
      <c r="C18" s="2">
        <f t="shared" si="2"/>
        <v>0</v>
      </c>
      <c r="D18" s="3"/>
      <c r="E18" s="3">
        <f t="shared" si="3"/>
        <v>0</v>
      </c>
      <c r="F18" s="39"/>
      <c r="G18" s="1"/>
      <c r="H18" s="2">
        <f t="shared" si="4"/>
        <v>0</v>
      </c>
      <c r="I18" s="3">
        <f t="shared" si="5"/>
        <v>0</v>
      </c>
      <c r="J18" s="5"/>
      <c r="K18" s="62"/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41138</v>
      </c>
      <c r="B19" s="1"/>
      <c r="C19" s="2">
        <f t="shared" si="2"/>
        <v>0</v>
      </c>
      <c r="D19" s="3"/>
      <c r="E19" s="3">
        <f t="shared" si="3"/>
        <v>0</v>
      </c>
      <c r="F19" s="39"/>
      <c r="G19" s="1"/>
      <c r="H19" s="2">
        <f t="shared" si="4"/>
        <v>0</v>
      </c>
      <c r="I19" s="3">
        <f t="shared" si="5"/>
        <v>0</v>
      </c>
      <c r="J19" s="5"/>
      <c r="K19" s="62"/>
      <c r="L19" s="33"/>
      <c r="M19" s="13">
        <f>180+560+540+483+635+535</f>
        <v>2933</v>
      </c>
      <c r="N19" s="29">
        <f t="shared" si="0"/>
        <v>21.117600000000003</v>
      </c>
      <c r="O19" s="29"/>
    </row>
    <row r="20" spans="1:15" ht="15" x14ac:dyDescent="0.25">
      <c r="A20" s="11">
        <f t="shared" si="1"/>
        <v>41139</v>
      </c>
      <c r="B20" s="1"/>
      <c r="C20" s="2">
        <f t="shared" si="2"/>
        <v>0</v>
      </c>
      <c r="D20" s="3"/>
      <c r="E20" s="3">
        <f t="shared" si="3"/>
        <v>0</v>
      </c>
      <c r="F20" s="39"/>
      <c r="G20" s="1"/>
      <c r="H20" s="2">
        <f t="shared" si="4"/>
        <v>0</v>
      </c>
      <c r="I20" s="3">
        <f t="shared" si="5"/>
        <v>0</v>
      </c>
      <c r="J20" s="5"/>
      <c r="K20" s="62"/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41140</v>
      </c>
      <c r="B21" s="1">
        <v>10</v>
      </c>
      <c r="C21" s="2">
        <f t="shared" si="2"/>
        <v>10</v>
      </c>
      <c r="D21" s="3">
        <f>275*8.1/1000</f>
        <v>2.2275</v>
      </c>
      <c r="E21" s="3">
        <f t="shared" si="3"/>
        <v>2.2275</v>
      </c>
      <c r="F21" s="62" t="s">
        <v>26</v>
      </c>
      <c r="G21" s="1"/>
      <c r="H21" s="2">
        <f t="shared" si="4"/>
        <v>0</v>
      </c>
      <c r="I21" s="3">
        <f t="shared" si="5"/>
        <v>0</v>
      </c>
      <c r="J21" s="5"/>
      <c r="K21" s="62"/>
      <c r="L21" s="33"/>
      <c r="M21" s="13"/>
      <c r="N21" s="29">
        <f t="shared" si="0"/>
        <v>0</v>
      </c>
      <c r="O21" s="29"/>
    </row>
    <row r="22" spans="1:15" ht="15" x14ac:dyDescent="0.25">
      <c r="A22" s="11">
        <f t="shared" si="1"/>
        <v>41141</v>
      </c>
      <c r="B22" s="1">
        <v>10</v>
      </c>
      <c r="C22" s="2">
        <f t="shared" si="2"/>
        <v>20</v>
      </c>
      <c r="D22" s="3">
        <f>1175*8.1/1000</f>
        <v>9.5175000000000001</v>
      </c>
      <c r="E22" s="3">
        <f t="shared" si="3"/>
        <v>11.745000000000001</v>
      </c>
      <c r="F22" s="62" t="s">
        <v>26</v>
      </c>
      <c r="G22" s="1"/>
      <c r="H22" s="2">
        <f t="shared" si="4"/>
        <v>0</v>
      </c>
      <c r="I22" s="3">
        <f t="shared" si="5"/>
        <v>0</v>
      </c>
      <c r="J22" s="5"/>
      <c r="K22" s="62"/>
      <c r="L22" s="33"/>
      <c r="M22" s="13"/>
      <c r="N22" s="29">
        <f t="shared" si="0"/>
        <v>0</v>
      </c>
      <c r="O22" s="14"/>
    </row>
    <row r="23" spans="1:15" ht="15" x14ac:dyDescent="0.25">
      <c r="A23" s="11">
        <f t="shared" si="1"/>
        <v>41142</v>
      </c>
      <c r="B23" s="1">
        <v>10</v>
      </c>
      <c r="C23" s="2">
        <f t="shared" si="2"/>
        <v>30</v>
      </c>
      <c r="D23" s="3">
        <f>1335*8.1/1000</f>
        <v>10.813499999999999</v>
      </c>
      <c r="E23" s="3">
        <f t="shared" si="3"/>
        <v>22.558500000000002</v>
      </c>
      <c r="F23" s="62" t="s">
        <v>26</v>
      </c>
      <c r="G23" s="1"/>
      <c r="H23" s="2">
        <f t="shared" si="4"/>
        <v>0</v>
      </c>
      <c r="I23" s="3">
        <f t="shared" si="5"/>
        <v>6.1056000000000008</v>
      </c>
      <c r="J23" s="5">
        <f>308+540</f>
        <v>848</v>
      </c>
      <c r="K23" s="62" t="s">
        <v>26</v>
      </c>
      <c r="L23" s="33"/>
      <c r="M23" s="13"/>
      <c r="N23" s="16">
        <f t="shared" si="0"/>
        <v>0</v>
      </c>
      <c r="O23" s="29"/>
    </row>
    <row r="24" spans="1:15" ht="15" x14ac:dyDescent="0.25">
      <c r="A24" s="11">
        <f t="shared" si="1"/>
        <v>41143</v>
      </c>
      <c r="B24" s="1">
        <v>10</v>
      </c>
      <c r="C24" s="2">
        <f t="shared" si="2"/>
        <v>40</v>
      </c>
      <c r="D24" s="3">
        <f>1465*8.1/1000</f>
        <v>11.8665</v>
      </c>
      <c r="E24" s="3">
        <f t="shared" si="3"/>
        <v>34.425000000000004</v>
      </c>
      <c r="F24" s="62" t="s">
        <v>26</v>
      </c>
      <c r="G24" s="1"/>
      <c r="H24" s="2">
        <f t="shared" si="4"/>
        <v>0</v>
      </c>
      <c r="I24" s="3">
        <f t="shared" si="5"/>
        <v>7.0344000000000007</v>
      </c>
      <c r="J24" s="5">
        <f>97+640+240</f>
        <v>977</v>
      </c>
      <c r="K24" s="62" t="s">
        <v>26</v>
      </c>
      <c r="L24" s="33"/>
      <c r="M24" s="13"/>
      <c r="N24" s="16">
        <f t="shared" si="0"/>
        <v>0</v>
      </c>
      <c r="O24" s="29"/>
    </row>
    <row r="25" spans="1:15" ht="15" x14ac:dyDescent="0.25">
      <c r="A25" s="11">
        <f t="shared" si="1"/>
        <v>41144</v>
      </c>
      <c r="B25" s="1">
        <v>10</v>
      </c>
      <c r="C25" s="2">
        <f t="shared" si="2"/>
        <v>50</v>
      </c>
      <c r="D25" s="3">
        <f>1060*8.1/1000</f>
        <v>8.5860000000000003</v>
      </c>
      <c r="E25" s="3">
        <f t="shared" si="3"/>
        <v>43.011000000000003</v>
      </c>
      <c r="F25" s="62" t="s">
        <v>26</v>
      </c>
      <c r="G25" s="1"/>
      <c r="H25" s="2">
        <f t="shared" si="4"/>
        <v>0</v>
      </c>
      <c r="I25" s="3">
        <f t="shared" si="5"/>
        <v>6.8760000000000003</v>
      </c>
      <c r="J25" s="5">
        <v>955</v>
      </c>
      <c r="K25" s="62" t="s">
        <v>26</v>
      </c>
      <c r="L25" s="33"/>
      <c r="M25" s="13"/>
      <c r="N25" s="16">
        <f t="shared" si="0"/>
        <v>0</v>
      </c>
      <c r="O25" s="38"/>
    </row>
    <row r="26" spans="1:15" ht="15" x14ac:dyDescent="0.25">
      <c r="A26" s="11">
        <f t="shared" si="1"/>
        <v>41145</v>
      </c>
      <c r="B26" s="1">
        <v>10</v>
      </c>
      <c r="C26" s="2">
        <f t="shared" si="2"/>
        <v>60</v>
      </c>
      <c r="D26" s="3">
        <f>1090*8.1/1000</f>
        <v>8.8290000000000006</v>
      </c>
      <c r="E26" s="3">
        <f t="shared" si="3"/>
        <v>51.84</v>
      </c>
      <c r="F26" s="62" t="s">
        <v>26</v>
      </c>
      <c r="G26" s="1"/>
      <c r="H26" s="2">
        <f t="shared" si="4"/>
        <v>0</v>
      </c>
      <c r="I26" s="3">
        <f t="shared" si="5"/>
        <v>6.9480000000000004</v>
      </c>
      <c r="J26" s="5">
        <v>965</v>
      </c>
      <c r="K26" s="62" t="s">
        <v>26</v>
      </c>
      <c r="L26" s="33"/>
      <c r="M26" s="13"/>
      <c r="N26" s="16">
        <f t="shared" si="0"/>
        <v>0</v>
      </c>
      <c r="O26" s="29"/>
    </row>
    <row r="27" spans="1:15" ht="15" x14ac:dyDescent="0.25">
      <c r="A27" s="11">
        <f t="shared" si="1"/>
        <v>41146</v>
      </c>
      <c r="B27" s="1">
        <v>10</v>
      </c>
      <c r="C27" s="2">
        <f t="shared" si="2"/>
        <v>70</v>
      </c>
      <c r="D27" s="3">
        <f>1390*8.1/1000</f>
        <v>11.259</v>
      </c>
      <c r="E27" s="3">
        <f t="shared" si="3"/>
        <v>63.099000000000004</v>
      </c>
      <c r="F27" s="62" t="s">
        <v>26</v>
      </c>
      <c r="G27" s="1"/>
      <c r="H27" s="2">
        <f t="shared" si="4"/>
        <v>0</v>
      </c>
      <c r="I27" s="3">
        <f t="shared" si="5"/>
        <v>7.524</v>
      </c>
      <c r="J27" s="5">
        <f>(170+815+60)</f>
        <v>1045</v>
      </c>
      <c r="K27" s="62" t="s">
        <v>26</v>
      </c>
      <c r="L27" s="33"/>
      <c r="M27" s="13"/>
      <c r="N27" s="16">
        <f t="shared" si="0"/>
        <v>0</v>
      </c>
      <c r="O27" s="29"/>
    </row>
    <row r="28" spans="1:15" ht="15" x14ac:dyDescent="0.25">
      <c r="A28" s="11">
        <f t="shared" si="1"/>
        <v>41147</v>
      </c>
      <c r="B28" s="1">
        <v>10</v>
      </c>
      <c r="C28" s="2">
        <f t="shared" si="2"/>
        <v>80</v>
      </c>
      <c r="D28" s="3">
        <f>1260*8.1/1000</f>
        <v>10.206</v>
      </c>
      <c r="E28" s="3">
        <f t="shared" si="3"/>
        <v>73.305000000000007</v>
      </c>
      <c r="F28" s="62" t="s">
        <v>26</v>
      </c>
      <c r="G28" s="1"/>
      <c r="H28" s="2">
        <f t="shared" si="4"/>
        <v>0</v>
      </c>
      <c r="I28" s="3">
        <f t="shared" si="5"/>
        <v>7.2</v>
      </c>
      <c r="J28" s="5">
        <v>1000</v>
      </c>
      <c r="K28" s="62" t="s">
        <v>26</v>
      </c>
      <c r="L28" s="33"/>
      <c r="M28" s="13"/>
      <c r="N28" s="16">
        <f t="shared" si="0"/>
        <v>0</v>
      </c>
      <c r="O28" s="29"/>
    </row>
    <row r="29" spans="1:15" ht="15" x14ac:dyDescent="0.25">
      <c r="A29" s="11">
        <f t="shared" si="1"/>
        <v>41148</v>
      </c>
      <c r="B29" s="1">
        <v>10</v>
      </c>
      <c r="C29" s="2">
        <f t="shared" si="2"/>
        <v>90</v>
      </c>
      <c r="D29" s="3">
        <f>1365*8.1/1000</f>
        <v>11.0565</v>
      </c>
      <c r="E29" s="3">
        <f t="shared" si="3"/>
        <v>84.361500000000007</v>
      </c>
      <c r="F29" s="62" t="s">
        <v>26</v>
      </c>
      <c r="G29" s="1"/>
      <c r="H29" s="2">
        <f t="shared" si="4"/>
        <v>0</v>
      </c>
      <c r="I29" s="3">
        <f t="shared" si="5"/>
        <v>7.7759999999999998</v>
      </c>
      <c r="J29" s="5">
        <v>1080</v>
      </c>
      <c r="K29" s="62" t="s">
        <v>26</v>
      </c>
      <c r="L29" s="33"/>
      <c r="M29" s="13">
        <f>308+680+640</f>
        <v>1628</v>
      </c>
      <c r="N29" s="16">
        <f t="shared" si="0"/>
        <v>11.7216</v>
      </c>
      <c r="O29" s="29"/>
    </row>
    <row r="30" spans="1:15" ht="15" x14ac:dyDescent="0.25">
      <c r="A30" s="11">
        <f t="shared" si="1"/>
        <v>41149</v>
      </c>
      <c r="B30" s="1">
        <v>10</v>
      </c>
      <c r="C30" s="2">
        <f t="shared" si="2"/>
        <v>100</v>
      </c>
      <c r="D30" s="3">
        <f>1295*8.1/1000</f>
        <v>10.4895</v>
      </c>
      <c r="E30" s="3">
        <f t="shared" si="3"/>
        <v>94.850999999999999</v>
      </c>
      <c r="F30" s="62" t="s">
        <v>26</v>
      </c>
      <c r="G30" s="1"/>
      <c r="H30" s="2">
        <f t="shared" si="4"/>
        <v>0</v>
      </c>
      <c r="I30" s="3">
        <f t="shared" si="5"/>
        <v>7.9560000000000004</v>
      </c>
      <c r="J30" s="5">
        <f>275+770+60</f>
        <v>1105</v>
      </c>
      <c r="K30" s="62" t="s">
        <v>26</v>
      </c>
      <c r="L30" s="33"/>
      <c r="M30" s="13">
        <f>715+785+830+815</f>
        <v>3145</v>
      </c>
      <c r="N30" s="16">
        <f t="shared" si="0"/>
        <v>22.643999999999998</v>
      </c>
      <c r="O30" s="14"/>
    </row>
    <row r="31" spans="1:15" ht="15" x14ac:dyDescent="0.25">
      <c r="A31" s="11">
        <f t="shared" si="1"/>
        <v>41150</v>
      </c>
      <c r="B31" s="1">
        <v>10</v>
      </c>
      <c r="C31" s="2">
        <f t="shared" si="2"/>
        <v>110</v>
      </c>
      <c r="D31" s="7">
        <f>1440*8.1/1000</f>
        <v>11.664</v>
      </c>
      <c r="E31" s="3">
        <f t="shared" si="3"/>
        <v>106.515</v>
      </c>
      <c r="F31" s="62" t="s">
        <v>26</v>
      </c>
      <c r="G31" s="1"/>
      <c r="H31" s="2">
        <f t="shared" si="4"/>
        <v>0</v>
      </c>
      <c r="I31" s="3">
        <f t="shared" si="5"/>
        <v>7.8479999999999999</v>
      </c>
      <c r="J31" s="5">
        <f>730+360</f>
        <v>1090</v>
      </c>
      <c r="K31" s="62" t="s">
        <v>26</v>
      </c>
      <c r="L31" s="33"/>
      <c r="M31" s="13"/>
      <c r="N31" s="16">
        <f t="shared" si="0"/>
        <v>0</v>
      </c>
      <c r="O31" s="29"/>
    </row>
    <row r="32" spans="1:15" ht="15" x14ac:dyDescent="0.25">
      <c r="A32" s="11">
        <f t="shared" si="1"/>
        <v>41151</v>
      </c>
      <c r="B32" s="1">
        <v>10</v>
      </c>
      <c r="C32" s="2">
        <f t="shared" si="2"/>
        <v>120</v>
      </c>
      <c r="D32" s="7">
        <v>12.48</v>
      </c>
      <c r="E32" s="3">
        <f t="shared" si="3"/>
        <v>118.995</v>
      </c>
      <c r="F32" s="62" t="s">
        <v>26</v>
      </c>
      <c r="G32" s="1"/>
      <c r="H32" s="2">
        <f t="shared" si="4"/>
        <v>0</v>
      </c>
      <c r="I32" s="3">
        <f t="shared" si="5"/>
        <v>8.8919999999999995</v>
      </c>
      <c r="J32" s="5">
        <f>365+690+180</f>
        <v>1235</v>
      </c>
      <c r="K32" s="62" t="s">
        <v>26</v>
      </c>
      <c r="L32" s="42"/>
      <c r="M32" s="13">
        <v>2415</v>
      </c>
      <c r="N32" s="16">
        <f t="shared" si="0"/>
        <v>17.388000000000002</v>
      </c>
      <c r="O32" s="29"/>
    </row>
    <row r="33" spans="1:15" ht="15.75" thickBot="1" x14ac:dyDescent="0.3">
      <c r="A33" s="11">
        <f t="shared" si="1"/>
        <v>41152</v>
      </c>
      <c r="B33" s="1">
        <v>10</v>
      </c>
      <c r="C33" s="2">
        <f>B33+C31</f>
        <v>120</v>
      </c>
      <c r="D33" s="3">
        <f>1510*8.1/1000</f>
        <v>12.231</v>
      </c>
      <c r="E33" s="3">
        <f>D33+E31</f>
        <v>118.746</v>
      </c>
      <c r="F33" s="4"/>
      <c r="G33" s="1"/>
      <c r="H33" s="2">
        <f>H31+G33</f>
        <v>0</v>
      </c>
      <c r="I33" s="3">
        <f t="shared" si="5"/>
        <v>10.584</v>
      </c>
      <c r="J33" s="5">
        <f>610+740+120</f>
        <v>1470</v>
      </c>
      <c r="K33" s="62" t="s">
        <v>26</v>
      </c>
      <c r="L33" s="42"/>
      <c r="M33" s="13">
        <f>770+790+725+690</f>
        <v>2975</v>
      </c>
      <c r="N33" s="16">
        <f t="shared" si="0"/>
        <v>21.42</v>
      </c>
      <c r="O33" s="38"/>
    </row>
    <row r="34" spans="1:15" ht="21" customHeight="1" thickBot="1" x14ac:dyDescent="0.3">
      <c r="A34" s="17" t="s">
        <v>8</v>
      </c>
      <c r="B34" s="40">
        <f>SUM(B4:B33)</f>
        <v>130</v>
      </c>
      <c r="C34" s="40">
        <f>+B34</f>
        <v>130</v>
      </c>
      <c r="D34" s="24">
        <f>SUM(D3:D33)</f>
        <v>131.226</v>
      </c>
      <c r="E34" s="23">
        <f>+D34</f>
        <v>131.226</v>
      </c>
      <c r="F34" s="25"/>
      <c r="G34" s="26">
        <f>SUM(G3:G33)</f>
        <v>0</v>
      </c>
      <c r="H34" s="40">
        <f>+G34</f>
        <v>0</v>
      </c>
      <c r="I34" s="23">
        <f>SUM(I3:I33)</f>
        <v>84.744</v>
      </c>
      <c r="J34" s="27">
        <f>SUM(J3:J33)</f>
        <v>11770</v>
      </c>
      <c r="K34" s="28"/>
      <c r="L34" s="35"/>
      <c r="M34" s="29">
        <f>SUM(M3:M33)</f>
        <v>13096</v>
      </c>
      <c r="N34" s="63">
        <f>SUM(N3:N33)</f>
        <v>94.291200000000003</v>
      </c>
      <c r="O34" s="16"/>
    </row>
    <row r="35" spans="1:15" x14ac:dyDescent="0.2">
      <c r="D35" s="64"/>
    </row>
  </sheetData>
  <mergeCells count="2">
    <mergeCell ref="A1:F1"/>
    <mergeCell ref="G1:K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opLeftCell="B1" workbookViewId="0">
      <selection activeCell="M33" sqref="M33"/>
    </sheetView>
  </sheetViews>
  <sheetFormatPr defaultRowHeight="12.75" x14ac:dyDescent="0.2"/>
  <cols>
    <col min="3" max="3" width="13.140625" bestFit="1" customWidth="1"/>
    <col min="4" max="4" width="10.7109375" bestFit="1" customWidth="1"/>
    <col min="5" max="5" width="13.140625" bestFit="1" customWidth="1"/>
    <col min="6" max="6" width="14.5703125" customWidth="1"/>
    <col min="7" max="7" width="13.85546875" bestFit="1" customWidth="1"/>
    <col min="8" max="8" width="13.140625" bestFit="1" customWidth="1"/>
    <col min="9" max="9" width="10.7109375" bestFit="1" customWidth="1"/>
    <col min="11" max="11" width="10" bestFit="1" customWidth="1"/>
    <col min="12" max="12" width="6.5703125" customWidth="1"/>
    <col min="13" max="13" width="10.85546875" customWidth="1"/>
  </cols>
  <sheetData>
    <row r="1" spans="1:15" ht="16.5" thickBot="1" x14ac:dyDescent="0.3">
      <c r="A1" s="218" t="s">
        <v>0</v>
      </c>
      <c r="B1" s="219"/>
      <c r="C1" s="219"/>
      <c r="D1" s="219"/>
      <c r="E1" s="219"/>
      <c r="F1" s="220"/>
      <c r="G1" s="219" t="s">
        <v>22</v>
      </c>
      <c r="H1" s="219"/>
      <c r="I1" s="219"/>
      <c r="J1" s="219"/>
      <c r="K1" s="220"/>
      <c r="L1" s="31"/>
      <c r="M1" s="37" t="s">
        <v>17</v>
      </c>
    </row>
    <row r="2" spans="1:15" ht="43.5" x14ac:dyDescent="0.25">
      <c r="A2" s="18" t="s">
        <v>1</v>
      </c>
      <c r="B2" s="19" t="s">
        <v>2</v>
      </c>
      <c r="C2" s="19" t="s">
        <v>3</v>
      </c>
      <c r="D2" s="15" t="s">
        <v>4</v>
      </c>
      <c r="E2" s="15" t="s">
        <v>3</v>
      </c>
      <c r="F2" s="20" t="s">
        <v>5</v>
      </c>
      <c r="G2" s="19" t="s">
        <v>6</v>
      </c>
      <c r="H2" s="19" t="s">
        <v>3</v>
      </c>
      <c r="I2" s="15" t="s">
        <v>4</v>
      </c>
      <c r="J2" s="15" t="s">
        <v>7</v>
      </c>
      <c r="K2" s="21" t="s">
        <v>5</v>
      </c>
      <c r="L2" s="32"/>
      <c r="M2" s="36" t="s">
        <v>9</v>
      </c>
      <c r="N2" s="10" t="s">
        <v>10</v>
      </c>
      <c r="O2" s="10" t="s">
        <v>11</v>
      </c>
    </row>
    <row r="3" spans="1:15" ht="15" x14ac:dyDescent="0.2">
      <c r="A3" s="11">
        <v>41153</v>
      </c>
      <c r="B3" s="1"/>
      <c r="C3" s="2">
        <f>B3</f>
        <v>0</v>
      </c>
      <c r="D3" s="3"/>
      <c r="E3" s="3">
        <f>D3</f>
        <v>0</v>
      </c>
      <c r="F3" s="4"/>
      <c r="G3" s="1"/>
      <c r="H3" s="2">
        <f>G3</f>
        <v>0</v>
      </c>
      <c r="I3" s="3">
        <f>J3*7.2/1000</f>
        <v>6.2640000000000002</v>
      </c>
      <c r="J3" s="5">
        <f>570+300</f>
        <v>870</v>
      </c>
      <c r="K3" s="62" t="s">
        <v>26</v>
      </c>
      <c r="L3" s="33"/>
      <c r="M3" s="30"/>
      <c r="N3" s="63">
        <f t="shared" ref="N3:N32" si="0">+M3*7.2/1000</f>
        <v>0</v>
      </c>
      <c r="O3" s="38"/>
    </row>
    <row r="4" spans="1:15" ht="15" x14ac:dyDescent="0.25">
      <c r="A4" s="11">
        <f t="shared" ref="A4:A32" si="1">A3+1</f>
        <v>41154</v>
      </c>
      <c r="B4" s="1"/>
      <c r="C4" s="2">
        <f t="shared" ref="C4:C32" si="2">B4+C3</f>
        <v>0</v>
      </c>
      <c r="D4" s="3"/>
      <c r="E4" s="3">
        <f t="shared" ref="E4:E32" si="3">D4+E3</f>
        <v>0</v>
      </c>
      <c r="F4" s="62"/>
      <c r="G4" s="1"/>
      <c r="H4" s="2">
        <f t="shared" ref="H4:H32" si="4">H3+G4</f>
        <v>0</v>
      </c>
      <c r="I4" s="3">
        <f t="shared" ref="I4:I32" si="5">J4*7.2/1000</f>
        <v>9.18</v>
      </c>
      <c r="J4" s="5">
        <f>465+810</f>
        <v>1275</v>
      </c>
      <c r="K4" s="62" t="s">
        <v>26</v>
      </c>
      <c r="L4" s="34"/>
      <c r="M4" s="44"/>
      <c r="N4" s="29">
        <f t="shared" si="0"/>
        <v>0</v>
      </c>
      <c r="O4" s="38"/>
    </row>
    <row r="5" spans="1:15" ht="15" x14ac:dyDescent="0.25">
      <c r="A5" s="11">
        <f t="shared" si="1"/>
        <v>41155</v>
      </c>
      <c r="B5" s="1">
        <v>12</v>
      </c>
      <c r="C5" s="2">
        <f t="shared" si="2"/>
        <v>12</v>
      </c>
      <c r="D5" s="3">
        <f>1505*8.1/1000</f>
        <v>12.1905</v>
      </c>
      <c r="E5" s="3">
        <f t="shared" si="3"/>
        <v>12.1905</v>
      </c>
      <c r="F5" s="62"/>
      <c r="G5" s="1"/>
      <c r="H5" s="2">
        <f t="shared" si="4"/>
        <v>0</v>
      </c>
      <c r="I5" s="3">
        <f t="shared" si="5"/>
        <v>10.584</v>
      </c>
      <c r="J5" s="5">
        <v>1470</v>
      </c>
      <c r="K5" s="62" t="s">
        <v>26</v>
      </c>
      <c r="L5" s="33"/>
      <c r="M5" s="13"/>
      <c r="N5" s="29">
        <f t="shared" si="0"/>
        <v>0</v>
      </c>
      <c r="O5" s="38"/>
    </row>
    <row r="6" spans="1:15" ht="15" x14ac:dyDescent="0.25">
      <c r="A6" s="11">
        <f t="shared" si="1"/>
        <v>41156</v>
      </c>
      <c r="B6" s="1">
        <v>12</v>
      </c>
      <c r="C6" s="2">
        <f t="shared" si="2"/>
        <v>24</v>
      </c>
      <c r="D6" s="3">
        <f>1530*8.1/1000</f>
        <v>12.393000000000001</v>
      </c>
      <c r="E6" s="3">
        <f t="shared" si="3"/>
        <v>24.583500000000001</v>
      </c>
      <c r="F6" s="62"/>
      <c r="G6" s="1"/>
      <c r="H6" s="2">
        <f t="shared" si="4"/>
        <v>0</v>
      </c>
      <c r="I6" s="3">
        <f t="shared" si="5"/>
        <v>10.648800000000001</v>
      </c>
      <c r="J6" s="5">
        <f>135+804+540</f>
        <v>1479</v>
      </c>
      <c r="K6" s="62" t="s">
        <v>26</v>
      </c>
      <c r="L6" s="33"/>
      <c r="M6" s="13">
        <f>790+740+690+765</f>
        <v>2985</v>
      </c>
      <c r="N6" s="29">
        <f t="shared" si="0"/>
        <v>21.492000000000001</v>
      </c>
      <c r="O6" s="38"/>
    </row>
    <row r="7" spans="1:15" ht="15" x14ac:dyDescent="0.25">
      <c r="A7" s="11">
        <f t="shared" si="1"/>
        <v>41157</v>
      </c>
      <c r="B7" s="1">
        <v>12</v>
      </c>
      <c r="C7" s="2">
        <f t="shared" si="2"/>
        <v>36</v>
      </c>
      <c r="D7" s="3">
        <f>1530*8.1/1000</f>
        <v>12.393000000000001</v>
      </c>
      <c r="E7" s="3">
        <f t="shared" si="3"/>
        <v>36.976500000000001</v>
      </c>
      <c r="F7" s="62"/>
      <c r="G7" s="1"/>
      <c r="H7" s="2">
        <f t="shared" si="4"/>
        <v>0</v>
      </c>
      <c r="I7" s="3">
        <f t="shared" si="5"/>
        <v>9.7343999999999991</v>
      </c>
      <c r="J7" s="5">
        <f>295+852+205</f>
        <v>1352</v>
      </c>
      <c r="K7" s="62" t="s">
        <v>26</v>
      </c>
      <c r="L7" s="33"/>
      <c r="M7" s="13"/>
      <c r="N7" s="29">
        <f t="shared" si="0"/>
        <v>0</v>
      </c>
      <c r="O7" s="38"/>
    </row>
    <row r="8" spans="1:15" ht="15" x14ac:dyDescent="0.25">
      <c r="A8" s="11">
        <f t="shared" si="1"/>
        <v>41158</v>
      </c>
      <c r="B8" s="1">
        <v>10</v>
      </c>
      <c r="C8" s="2">
        <f t="shared" si="2"/>
        <v>46</v>
      </c>
      <c r="D8" s="3">
        <f>1325*8.1/1000</f>
        <v>10.7325</v>
      </c>
      <c r="E8" s="3">
        <f t="shared" si="3"/>
        <v>47.709000000000003</v>
      </c>
      <c r="F8" s="62"/>
      <c r="G8" s="1"/>
      <c r="H8" s="2">
        <f t="shared" si="4"/>
        <v>0</v>
      </c>
      <c r="I8" s="3">
        <f>J8*7.2/1000</f>
        <v>6.5376000000000003</v>
      </c>
      <c r="J8" s="65">
        <f>60+848</f>
        <v>908</v>
      </c>
      <c r="K8" s="62" t="s">
        <v>27</v>
      </c>
      <c r="L8" s="33"/>
      <c r="M8" s="66">
        <f>810+810+795+804</f>
        <v>3219</v>
      </c>
      <c r="N8" s="29">
        <f t="shared" si="0"/>
        <v>23.1768</v>
      </c>
      <c r="O8" s="14"/>
    </row>
    <row r="9" spans="1:15" ht="15" x14ac:dyDescent="0.25">
      <c r="A9" s="11">
        <f t="shared" si="1"/>
        <v>41159</v>
      </c>
      <c r="B9" s="1">
        <v>10</v>
      </c>
      <c r="C9" s="2">
        <f t="shared" si="2"/>
        <v>56</v>
      </c>
      <c r="D9" s="3">
        <f>190*8.1/1000</f>
        <v>1.5389999999999999</v>
      </c>
      <c r="E9" s="3">
        <f t="shared" si="3"/>
        <v>49.248000000000005</v>
      </c>
      <c r="F9" s="62"/>
      <c r="G9" s="1"/>
      <c r="H9" s="2">
        <f t="shared" si="4"/>
        <v>0</v>
      </c>
      <c r="I9" s="3">
        <f t="shared" si="5"/>
        <v>8.654399999999999</v>
      </c>
      <c r="J9" s="5">
        <f>842+360</f>
        <v>1202</v>
      </c>
      <c r="K9" s="62" t="s">
        <v>27</v>
      </c>
      <c r="L9" s="33"/>
      <c r="M9" s="13"/>
      <c r="N9" s="29">
        <f t="shared" si="0"/>
        <v>0</v>
      </c>
      <c r="O9" s="29"/>
    </row>
    <row r="10" spans="1:15" ht="15" x14ac:dyDescent="0.25">
      <c r="A10" s="11">
        <f t="shared" si="1"/>
        <v>41160</v>
      </c>
      <c r="B10" s="1">
        <v>10</v>
      </c>
      <c r="C10" s="2">
        <f t="shared" si="2"/>
        <v>66</v>
      </c>
      <c r="D10" s="3">
        <f>1080*8.1/1000</f>
        <v>8.7479999999999993</v>
      </c>
      <c r="E10" s="3">
        <f t="shared" si="3"/>
        <v>57.996000000000002</v>
      </c>
      <c r="F10" s="4"/>
      <c r="G10" s="1"/>
      <c r="H10" s="2">
        <f t="shared" si="4"/>
        <v>0</v>
      </c>
      <c r="I10" s="3">
        <f t="shared" si="5"/>
        <v>8.8559999999999999</v>
      </c>
      <c r="J10" s="5">
        <f>488+742</f>
        <v>1230</v>
      </c>
      <c r="K10" s="62" t="s">
        <v>27</v>
      </c>
      <c r="L10" s="33"/>
      <c r="M10" s="13">
        <f>835+851</f>
        <v>1686</v>
      </c>
      <c r="N10" s="29">
        <f t="shared" si="0"/>
        <v>12.139200000000001</v>
      </c>
      <c r="O10" s="38"/>
    </row>
    <row r="11" spans="1:15" ht="15" x14ac:dyDescent="0.25">
      <c r="A11" s="11">
        <f t="shared" si="1"/>
        <v>41161</v>
      </c>
      <c r="B11" s="1">
        <v>10</v>
      </c>
      <c r="C11" s="2">
        <f t="shared" si="2"/>
        <v>76</v>
      </c>
      <c r="D11" s="3">
        <f>1000*8.1/1000</f>
        <v>8.1</v>
      </c>
      <c r="E11" s="3">
        <f t="shared" si="3"/>
        <v>66.096000000000004</v>
      </c>
      <c r="F11" s="4"/>
      <c r="G11" s="1"/>
      <c r="H11" s="2">
        <f t="shared" si="4"/>
        <v>0</v>
      </c>
      <c r="I11" s="3">
        <f t="shared" si="5"/>
        <v>0</v>
      </c>
      <c r="J11" s="5"/>
      <c r="K11" s="62"/>
      <c r="L11" s="33"/>
      <c r="M11" s="13"/>
      <c r="N11" s="29">
        <f t="shared" si="0"/>
        <v>0</v>
      </c>
      <c r="O11" s="38"/>
    </row>
    <row r="12" spans="1:15" ht="15" x14ac:dyDescent="0.2">
      <c r="A12" s="11">
        <f t="shared" si="1"/>
        <v>41162</v>
      </c>
      <c r="B12" s="1">
        <v>10</v>
      </c>
      <c r="C12" s="2">
        <f t="shared" si="2"/>
        <v>86</v>
      </c>
      <c r="D12" s="3">
        <f>1265*8.1/1000</f>
        <v>10.246499999999999</v>
      </c>
      <c r="E12" s="3">
        <f t="shared" si="3"/>
        <v>76.342500000000001</v>
      </c>
      <c r="F12" s="4"/>
      <c r="G12" s="1"/>
      <c r="H12" s="2">
        <f t="shared" si="4"/>
        <v>0</v>
      </c>
      <c r="I12" s="3">
        <f t="shared" si="5"/>
        <v>0</v>
      </c>
      <c r="J12" s="5"/>
      <c r="K12" s="62"/>
      <c r="L12" s="33"/>
      <c r="M12" s="30"/>
      <c r="N12" s="29">
        <f t="shared" si="0"/>
        <v>0</v>
      </c>
      <c r="O12" s="29"/>
    </row>
    <row r="13" spans="1:15" ht="15" x14ac:dyDescent="0.25">
      <c r="A13" s="11">
        <f t="shared" si="1"/>
        <v>41163</v>
      </c>
      <c r="B13" s="1">
        <v>10</v>
      </c>
      <c r="C13" s="2">
        <f t="shared" si="2"/>
        <v>96</v>
      </c>
      <c r="D13" s="3">
        <f>785*8.1/1000</f>
        <v>6.3585000000000003</v>
      </c>
      <c r="E13" s="3">
        <f t="shared" si="3"/>
        <v>82.701000000000008</v>
      </c>
      <c r="F13" s="4"/>
      <c r="G13" s="1"/>
      <c r="H13" s="2">
        <f t="shared" si="4"/>
        <v>0</v>
      </c>
      <c r="I13" s="3">
        <f t="shared" si="5"/>
        <v>2.2176</v>
      </c>
      <c r="J13" s="5">
        <f>128+180</f>
        <v>308</v>
      </c>
      <c r="K13" s="62" t="s">
        <v>27</v>
      </c>
      <c r="L13" s="33"/>
      <c r="M13" s="13"/>
      <c r="N13" s="29">
        <f t="shared" si="0"/>
        <v>0</v>
      </c>
      <c r="O13" s="29"/>
    </row>
    <row r="14" spans="1:15" ht="15" x14ac:dyDescent="0.25">
      <c r="A14" s="11">
        <f t="shared" si="1"/>
        <v>41164</v>
      </c>
      <c r="B14" s="1">
        <v>10</v>
      </c>
      <c r="C14" s="2">
        <f t="shared" si="2"/>
        <v>106</v>
      </c>
      <c r="D14" s="3">
        <f>1285*8.1/1000</f>
        <v>10.4085</v>
      </c>
      <c r="E14" s="3">
        <f t="shared" si="3"/>
        <v>93.109500000000011</v>
      </c>
      <c r="F14" s="39"/>
      <c r="G14" s="1"/>
      <c r="H14" s="2">
        <f t="shared" si="4"/>
        <v>0</v>
      </c>
      <c r="I14" s="3">
        <f t="shared" si="5"/>
        <v>6.9264000000000001</v>
      </c>
      <c r="J14" s="5">
        <f>662+300</f>
        <v>962</v>
      </c>
      <c r="K14" s="62" t="s">
        <v>27</v>
      </c>
      <c r="L14" s="33"/>
      <c r="M14" s="13">
        <f>265+848+842</f>
        <v>1955</v>
      </c>
      <c r="N14" s="29">
        <f t="shared" si="0"/>
        <v>14.076000000000001</v>
      </c>
      <c r="O14" s="29"/>
    </row>
    <row r="15" spans="1:15" ht="15" x14ac:dyDescent="0.25">
      <c r="A15" s="11">
        <f t="shared" si="1"/>
        <v>41165</v>
      </c>
      <c r="B15" s="1">
        <v>10</v>
      </c>
      <c r="C15" s="2">
        <f t="shared" si="2"/>
        <v>116</v>
      </c>
      <c r="D15" s="3">
        <f>890*8.1/1000</f>
        <v>7.2089999999999996</v>
      </c>
      <c r="E15" s="3">
        <f t="shared" si="3"/>
        <v>100.31850000000001</v>
      </c>
      <c r="F15" s="39"/>
      <c r="G15" s="1"/>
      <c r="H15" s="2">
        <f t="shared" si="4"/>
        <v>0</v>
      </c>
      <c r="I15" s="3">
        <f t="shared" si="5"/>
        <v>9.3239999999999998</v>
      </c>
      <c r="J15" s="5">
        <v>1295</v>
      </c>
      <c r="K15" s="62" t="s">
        <v>27</v>
      </c>
      <c r="L15" s="33"/>
      <c r="M15" s="13"/>
      <c r="N15" s="29">
        <f t="shared" si="0"/>
        <v>0</v>
      </c>
      <c r="O15" s="38"/>
    </row>
    <row r="16" spans="1:15" ht="15" x14ac:dyDescent="0.25">
      <c r="A16" s="11">
        <f t="shared" si="1"/>
        <v>41166</v>
      </c>
      <c r="B16" s="1">
        <v>10</v>
      </c>
      <c r="C16" s="2">
        <f t="shared" si="2"/>
        <v>126</v>
      </c>
      <c r="D16" s="3">
        <f>850*8.1/1000</f>
        <v>6.8849999999999998</v>
      </c>
      <c r="E16" s="3">
        <f t="shared" si="3"/>
        <v>107.20350000000002</v>
      </c>
      <c r="F16" s="39"/>
      <c r="G16" s="1"/>
      <c r="H16" s="2">
        <f t="shared" si="4"/>
        <v>0</v>
      </c>
      <c r="I16" s="3">
        <f t="shared" si="5"/>
        <v>8.5464000000000002</v>
      </c>
      <c r="J16" s="5">
        <f>72+695+420</f>
        <v>1187</v>
      </c>
      <c r="K16" s="62" t="s">
        <v>27</v>
      </c>
      <c r="L16" s="33"/>
      <c r="M16" s="13">
        <f>848+870+842+875</f>
        <v>3435</v>
      </c>
      <c r="N16" s="29">
        <f t="shared" si="0"/>
        <v>24.731999999999999</v>
      </c>
      <c r="O16" s="29"/>
    </row>
    <row r="17" spans="1:15" ht="15" x14ac:dyDescent="0.25">
      <c r="A17" s="11">
        <f t="shared" si="1"/>
        <v>41167</v>
      </c>
      <c r="B17" s="1">
        <v>10</v>
      </c>
      <c r="C17" s="2">
        <f t="shared" si="2"/>
        <v>136</v>
      </c>
      <c r="D17" s="6">
        <f>1310*8.1/1000</f>
        <v>10.611000000000001</v>
      </c>
      <c r="E17" s="6">
        <f t="shared" si="3"/>
        <v>117.81450000000002</v>
      </c>
      <c r="F17" s="61"/>
      <c r="G17" s="1"/>
      <c r="H17" s="2">
        <f t="shared" si="4"/>
        <v>0</v>
      </c>
      <c r="I17" s="6">
        <f t="shared" si="5"/>
        <v>9.8423999999999996</v>
      </c>
      <c r="J17" s="5">
        <f>282+725+360</f>
        <v>1367</v>
      </c>
      <c r="K17" s="62" t="s">
        <v>27</v>
      </c>
      <c r="L17" s="33"/>
      <c r="M17" s="13"/>
      <c r="N17" s="29">
        <f t="shared" si="0"/>
        <v>0</v>
      </c>
      <c r="O17" s="29"/>
    </row>
    <row r="18" spans="1:15" ht="15" x14ac:dyDescent="0.25">
      <c r="A18" s="11">
        <f t="shared" si="1"/>
        <v>41168</v>
      </c>
      <c r="B18" s="1">
        <v>10</v>
      </c>
      <c r="C18" s="2">
        <f t="shared" si="2"/>
        <v>146</v>
      </c>
      <c r="D18" s="3">
        <f>655*8.1/1000</f>
        <v>5.3055000000000003</v>
      </c>
      <c r="E18" s="3">
        <f t="shared" si="3"/>
        <v>123.12000000000002</v>
      </c>
      <c r="F18" s="39"/>
      <c r="G18" s="1"/>
      <c r="H18" s="2">
        <f t="shared" si="4"/>
        <v>0</v>
      </c>
      <c r="I18" s="3">
        <f t="shared" si="5"/>
        <v>9.36</v>
      </c>
      <c r="J18" s="5">
        <f>105+655+540</f>
        <v>1300</v>
      </c>
      <c r="K18" s="62" t="s">
        <v>27</v>
      </c>
      <c r="L18" s="33"/>
      <c r="M18" s="13"/>
      <c r="N18" s="29">
        <f t="shared" si="0"/>
        <v>0</v>
      </c>
      <c r="O18" s="29"/>
    </row>
    <row r="19" spans="1:15" ht="15" x14ac:dyDescent="0.25">
      <c r="A19" s="11">
        <f t="shared" si="1"/>
        <v>41169</v>
      </c>
      <c r="B19" s="1">
        <v>10</v>
      </c>
      <c r="C19" s="2">
        <f t="shared" si="2"/>
        <v>156</v>
      </c>
      <c r="D19" s="3">
        <f>365*8.1/1000</f>
        <v>2.9565000000000001</v>
      </c>
      <c r="E19" s="3">
        <f t="shared" si="3"/>
        <v>126.07650000000002</v>
      </c>
      <c r="F19" s="39"/>
      <c r="G19" s="1"/>
      <c r="H19" s="2">
        <f t="shared" si="4"/>
        <v>0</v>
      </c>
      <c r="I19" s="3">
        <f t="shared" si="5"/>
        <v>8.5679999999999996</v>
      </c>
      <c r="J19" s="5">
        <f>140+740+190+120</f>
        <v>1190</v>
      </c>
      <c r="K19" s="62" t="s">
        <v>27</v>
      </c>
      <c r="L19" s="33"/>
      <c r="M19" s="13">
        <f>792+695+702+725</f>
        <v>2914</v>
      </c>
      <c r="N19" s="29">
        <f t="shared" si="0"/>
        <v>20.980799999999999</v>
      </c>
      <c r="O19" s="29"/>
    </row>
    <row r="20" spans="1:15" ht="15" x14ac:dyDescent="0.25">
      <c r="A20" s="11">
        <f t="shared" si="1"/>
        <v>41170</v>
      </c>
      <c r="B20" s="1">
        <v>10</v>
      </c>
      <c r="C20" s="2">
        <f t="shared" si="2"/>
        <v>166</v>
      </c>
      <c r="D20" s="3">
        <f>1150*8.1/1000</f>
        <v>9.3149999999999995</v>
      </c>
      <c r="E20" s="3">
        <f t="shared" si="3"/>
        <v>135.39150000000004</v>
      </c>
      <c r="F20" s="39"/>
      <c r="G20" s="1"/>
      <c r="H20" s="2">
        <f t="shared" si="4"/>
        <v>0</v>
      </c>
      <c r="I20" s="3">
        <f t="shared" si="5"/>
        <v>9.8856000000000002</v>
      </c>
      <c r="J20" s="5">
        <f>670+703</f>
        <v>1373</v>
      </c>
      <c r="K20" s="62" t="s">
        <v>27</v>
      </c>
      <c r="L20" s="33"/>
      <c r="M20" s="13"/>
      <c r="N20" s="29">
        <f t="shared" si="0"/>
        <v>0</v>
      </c>
      <c r="O20" s="29"/>
    </row>
    <row r="21" spans="1:15" ht="15" x14ac:dyDescent="0.25">
      <c r="A21" s="11">
        <f t="shared" si="1"/>
        <v>41171</v>
      </c>
      <c r="B21" s="1">
        <v>10</v>
      </c>
      <c r="C21" s="2">
        <f t="shared" si="2"/>
        <v>176</v>
      </c>
      <c r="D21" s="3">
        <f>1335*8.1/1000</f>
        <v>10.813499999999999</v>
      </c>
      <c r="E21" s="3">
        <f t="shared" si="3"/>
        <v>146.20500000000004</v>
      </c>
      <c r="F21" s="62"/>
      <c r="G21" s="1"/>
      <c r="H21" s="2">
        <f t="shared" si="4"/>
        <v>0</v>
      </c>
      <c r="I21" s="3">
        <f t="shared" si="5"/>
        <v>7.056</v>
      </c>
      <c r="J21" s="5">
        <f>740+240</f>
        <v>980</v>
      </c>
      <c r="K21" s="62" t="s">
        <v>27</v>
      </c>
      <c r="L21" s="33"/>
      <c r="M21" s="13">
        <f>465+655+680+740</f>
        <v>2540</v>
      </c>
      <c r="N21" s="29">
        <f t="shared" si="0"/>
        <v>18.288</v>
      </c>
      <c r="O21" s="29"/>
    </row>
    <row r="22" spans="1:15" ht="15" x14ac:dyDescent="0.25">
      <c r="A22" s="11">
        <f t="shared" si="1"/>
        <v>41172</v>
      </c>
      <c r="B22" s="1">
        <v>10</v>
      </c>
      <c r="C22" s="2">
        <f t="shared" si="2"/>
        <v>186</v>
      </c>
      <c r="D22" s="3">
        <f>1425*8.1/1000</f>
        <v>11.5425</v>
      </c>
      <c r="E22" s="3">
        <f t="shared" si="3"/>
        <v>157.74750000000003</v>
      </c>
      <c r="F22" s="62"/>
      <c r="G22" s="1"/>
      <c r="H22" s="2">
        <f t="shared" si="4"/>
        <v>0</v>
      </c>
      <c r="I22" s="3">
        <f t="shared" si="5"/>
        <v>9.345600000000001</v>
      </c>
      <c r="J22" s="5">
        <f>288+470+540</f>
        <v>1298</v>
      </c>
      <c r="K22" s="62" t="s">
        <v>27</v>
      </c>
      <c r="L22" s="33"/>
      <c r="M22" s="13"/>
      <c r="N22" s="29">
        <f t="shared" si="0"/>
        <v>0</v>
      </c>
      <c r="O22" s="14"/>
    </row>
    <row r="23" spans="1:15" ht="15" x14ac:dyDescent="0.25">
      <c r="A23" s="11">
        <f t="shared" si="1"/>
        <v>41173</v>
      </c>
      <c r="B23" s="1">
        <v>10</v>
      </c>
      <c r="C23" s="2">
        <f t="shared" si="2"/>
        <v>196</v>
      </c>
      <c r="D23" s="3">
        <f>1310*8.1/1000</f>
        <v>10.611000000000001</v>
      </c>
      <c r="E23" s="3">
        <f t="shared" si="3"/>
        <v>168.35850000000002</v>
      </c>
      <c r="F23" s="62"/>
      <c r="G23" s="1"/>
      <c r="H23" s="2">
        <f t="shared" si="4"/>
        <v>0</v>
      </c>
      <c r="I23" s="3">
        <f t="shared" si="5"/>
        <v>9.468</v>
      </c>
      <c r="J23" s="5">
        <f>100+315+720+180</f>
        <v>1315</v>
      </c>
      <c r="K23" s="62" t="s">
        <v>27</v>
      </c>
      <c r="L23" s="33"/>
      <c r="M23" s="13">
        <f>190+790+703+740</f>
        <v>2423</v>
      </c>
      <c r="N23" s="16">
        <f t="shared" si="0"/>
        <v>17.445600000000002</v>
      </c>
      <c r="O23" s="29"/>
    </row>
    <row r="24" spans="1:15" ht="15" x14ac:dyDescent="0.25">
      <c r="A24" s="11">
        <f t="shared" si="1"/>
        <v>41174</v>
      </c>
      <c r="B24" s="1">
        <v>10</v>
      </c>
      <c r="C24" s="2">
        <f t="shared" si="2"/>
        <v>206</v>
      </c>
      <c r="D24" s="3">
        <f>1190*8.1/1000</f>
        <v>9.6389999999999993</v>
      </c>
      <c r="E24" s="3">
        <f t="shared" si="3"/>
        <v>177.99750000000003</v>
      </c>
      <c r="F24" s="62"/>
      <c r="G24" s="1"/>
      <c r="H24" s="2">
        <f t="shared" si="4"/>
        <v>0</v>
      </c>
      <c r="I24" s="3">
        <f t="shared" si="5"/>
        <v>9.9288000000000007</v>
      </c>
      <c r="J24" s="5">
        <f>571+568+240</f>
        <v>1379</v>
      </c>
      <c r="K24" s="62" t="s">
        <v>27</v>
      </c>
      <c r="L24" s="33"/>
      <c r="M24" s="13">
        <f>528+470+100+855</f>
        <v>1953</v>
      </c>
      <c r="N24" s="16">
        <f t="shared" si="0"/>
        <v>14.0616</v>
      </c>
      <c r="O24" s="29"/>
    </row>
    <row r="25" spans="1:15" ht="15" x14ac:dyDescent="0.25">
      <c r="A25" s="11">
        <f t="shared" si="1"/>
        <v>41175</v>
      </c>
      <c r="B25" s="1"/>
      <c r="C25" s="2">
        <f t="shared" si="2"/>
        <v>206</v>
      </c>
      <c r="D25" s="3">
        <f>1265*8.1/1000</f>
        <v>10.246499999999999</v>
      </c>
      <c r="E25" s="3">
        <f t="shared" si="3"/>
        <v>188.24400000000003</v>
      </c>
      <c r="F25" s="62"/>
      <c r="G25" s="1"/>
      <c r="H25" s="2">
        <f t="shared" si="4"/>
        <v>0</v>
      </c>
      <c r="I25" s="3">
        <f t="shared" si="5"/>
        <v>9.2016000000000009</v>
      </c>
      <c r="J25" s="5">
        <f>170+568+540</f>
        <v>1278</v>
      </c>
      <c r="K25" s="62" t="s">
        <v>27</v>
      </c>
      <c r="L25" s="33"/>
      <c r="M25" s="13"/>
      <c r="N25" s="16">
        <f t="shared" si="0"/>
        <v>0</v>
      </c>
      <c r="O25" s="38"/>
    </row>
    <row r="26" spans="1:15" ht="15" x14ac:dyDescent="0.25">
      <c r="A26" s="11">
        <f t="shared" si="1"/>
        <v>41176</v>
      </c>
      <c r="B26" s="1"/>
      <c r="C26" s="2">
        <f t="shared" si="2"/>
        <v>206</v>
      </c>
      <c r="D26" s="3">
        <f>1195*8.1/1000</f>
        <v>9.6795000000000009</v>
      </c>
      <c r="E26" s="3">
        <f t="shared" si="3"/>
        <v>197.92350000000002</v>
      </c>
      <c r="F26" s="62"/>
      <c r="G26" s="1"/>
      <c r="H26" s="2">
        <f t="shared" si="4"/>
        <v>0</v>
      </c>
      <c r="I26" s="3">
        <f t="shared" si="5"/>
        <v>9.5760000000000005</v>
      </c>
      <c r="J26" s="5">
        <v>1330</v>
      </c>
      <c r="K26" s="62" t="s">
        <v>27</v>
      </c>
      <c r="L26" s="33"/>
      <c r="M26" s="13"/>
      <c r="N26" s="16">
        <f t="shared" si="0"/>
        <v>0</v>
      </c>
      <c r="O26" s="29"/>
    </row>
    <row r="27" spans="1:15" ht="15" x14ac:dyDescent="0.25">
      <c r="A27" s="11">
        <f t="shared" si="1"/>
        <v>41177</v>
      </c>
      <c r="B27" s="1"/>
      <c r="C27" s="2">
        <f t="shared" si="2"/>
        <v>206</v>
      </c>
      <c r="D27" s="3">
        <f>775*8.1/1000</f>
        <v>6.2774999999999999</v>
      </c>
      <c r="E27" s="3">
        <f t="shared" si="3"/>
        <v>204.20100000000002</v>
      </c>
      <c r="F27" s="62"/>
      <c r="G27" s="1"/>
      <c r="H27" s="2">
        <f t="shared" si="4"/>
        <v>0</v>
      </c>
      <c r="I27" s="3">
        <f t="shared" si="5"/>
        <v>9.2520000000000007</v>
      </c>
      <c r="J27" s="5">
        <f>355+810+120</f>
        <v>1285</v>
      </c>
      <c r="K27" s="62" t="s">
        <v>27</v>
      </c>
      <c r="L27" s="33"/>
      <c r="M27" s="13"/>
      <c r="N27" s="16">
        <f t="shared" si="0"/>
        <v>0</v>
      </c>
      <c r="O27" s="29"/>
    </row>
    <row r="28" spans="1:15" ht="15" x14ac:dyDescent="0.25">
      <c r="A28" s="11">
        <f t="shared" si="1"/>
        <v>41178</v>
      </c>
      <c r="B28" s="1"/>
      <c r="C28" s="2">
        <f t="shared" si="2"/>
        <v>206</v>
      </c>
      <c r="D28" s="3">
        <f>300*8.1/1000</f>
        <v>2.4300000000000002</v>
      </c>
      <c r="E28" s="3">
        <f t="shared" si="3"/>
        <v>206.63100000000003</v>
      </c>
      <c r="F28" s="62"/>
      <c r="G28" s="1"/>
      <c r="H28" s="2">
        <f t="shared" si="4"/>
        <v>0</v>
      </c>
      <c r="I28" s="3">
        <f t="shared" si="5"/>
        <v>7.4160000000000004</v>
      </c>
      <c r="J28" s="5">
        <f>670+360</f>
        <v>1030</v>
      </c>
      <c r="K28" s="62" t="s">
        <v>27</v>
      </c>
      <c r="L28" s="33"/>
      <c r="M28" s="13"/>
      <c r="N28" s="16">
        <f t="shared" si="0"/>
        <v>0</v>
      </c>
      <c r="O28" s="29"/>
    </row>
    <row r="29" spans="1:15" ht="15" x14ac:dyDescent="0.25">
      <c r="A29" s="11">
        <f t="shared" si="1"/>
        <v>41179</v>
      </c>
      <c r="B29" s="1"/>
      <c r="C29" s="2">
        <f t="shared" si="2"/>
        <v>206</v>
      </c>
      <c r="D29" s="3"/>
      <c r="E29" s="3">
        <f t="shared" si="3"/>
        <v>206.63100000000003</v>
      </c>
      <c r="F29" s="62"/>
      <c r="G29" s="1"/>
      <c r="H29" s="2">
        <f t="shared" si="4"/>
        <v>0</v>
      </c>
      <c r="I29" s="3">
        <f t="shared" si="5"/>
        <v>7.992</v>
      </c>
      <c r="J29" s="5">
        <f>370+740</f>
        <v>1110</v>
      </c>
      <c r="K29" s="62" t="s">
        <v>27</v>
      </c>
      <c r="L29" s="33"/>
      <c r="M29" s="13">
        <f>568+725+725+775</f>
        <v>2793</v>
      </c>
      <c r="N29" s="16">
        <f t="shared" si="0"/>
        <v>20.109600000000004</v>
      </c>
      <c r="O29" s="29"/>
    </row>
    <row r="30" spans="1:15" ht="15" x14ac:dyDescent="0.25">
      <c r="A30" s="11">
        <f t="shared" si="1"/>
        <v>41180</v>
      </c>
      <c r="B30" s="1"/>
      <c r="C30" s="2">
        <f t="shared" si="2"/>
        <v>206</v>
      </c>
      <c r="D30" s="3"/>
      <c r="E30" s="3">
        <f t="shared" si="3"/>
        <v>206.63100000000003</v>
      </c>
      <c r="F30" s="62"/>
      <c r="G30" s="1"/>
      <c r="H30" s="2">
        <f t="shared" si="4"/>
        <v>0</v>
      </c>
      <c r="I30" s="3">
        <f t="shared" si="5"/>
        <v>7.4376000000000007</v>
      </c>
      <c r="J30" s="5">
        <f>613+420</f>
        <v>1033</v>
      </c>
      <c r="K30" s="62" t="s">
        <v>27</v>
      </c>
      <c r="L30" s="33"/>
      <c r="M30" s="13">
        <f>720+751+568+410</f>
        <v>2449</v>
      </c>
      <c r="N30" s="16">
        <f t="shared" si="0"/>
        <v>17.6328</v>
      </c>
      <c r="O30" s="14"/>
    </row>
    <row r="31" spans="1:15" ht="15" x14ac:dyDescent="0.25">
      <c r="A31" s="11">
        <f t="shared" si="1"/>
        <v>41181</v>
      </c>
      <c r="B31" s="1"/>
      <c r="C31" s="2">
        <f t="shared" si="2"/>
        <v>206</v>
      </c>
      <c r="D31" s="7"/>
      <c r="E31" s="3">
        <f t="shared" si="3"/>
        <v>206.63100000000003</v>
      </c>
      <c r="F31" s="62"/>
      <c r="G31" s="1"/>
      <c r="H31" s="2">
        <f t="shared" si="4"/>
        <v>0</v>
      </c>
      <c r="I31" s="3">
        <f t="shared" si="5"/>
        <v>8.1720000000000006</v>
      </c>
      <c r="J31" s="5">
        <f>305+650+180</f>
        <v>1135</v>
      </c>
      <c r="K31" s="62" t="s">
        <v>27</v>
      </c>
      <c r="L31" s="33"/>
      <c r="M31" s="13">
        <f>810+790+730+740</f>
        <v>3070</v>
      </c>
      <c r="N31" s="16">
        <f t="shared" si="0"/>
        <v>22.103999999999999</v>
      </c>
      <c r="O31" s="29"/>
    </row>
    <row r="32" spans="1:15" ht="15.75" thickBot="1" x14ac:dyDescent="0.3">
      <c r="A32" s="11">
        <f t="shared" si="1"/>
        <v>41182</v>
      </c>
      <c r="B32" s="1"/>
      <c r="C32" s="2">
        <f t="shared" si="2"/>
        <v>206</v>
      </c>
      <c r="D32" s="7"/>
      <c r="E32" s="3">
        <f t="shared" si="3"/>
        <v>206.63100000000003</v>
      </c>
      <c r="F32" s="62"/>
      <c r="G32" s="1"/>
      <c r="H32" s="2">
        <f t="shared" si="4"/>
        <v>0</v>
      </c>
      <c r="I32" s="3">
        <f t="shared" si="5"/>
        <v>8.5679999999999996</v>
      </c>
      <c r="J32" s="5">
        <f>590+600</f>
        <v>1190</v>
      </c>
      <c r="K32" s="62" t="s">
        <v>27</v>
      </c>
      <c r="L32" s="42"/>
      <c r="M32" s="13"/>
      <c r="N32" s="16">
        <f t="shared" si="0"/>
        <v>0</v>
      </c>
      <c r="O32" s="29"/>
    </row>
    <row r="33" spans="1:15" ht="21" customHeight="1" thickBot="1" x14ac:dyDescent="0.3">
      <c r="A33" s="17" t="s">
        <v>8</v>
      </c>
      <c r="B33" s="40">
        <f>SUM(B3:B32)</f>
        <v>206</v>
      </c>
      <c r="C33" s="40">
        <f>+B33</f>
        <v>206</v>
      </c>
      <c r="D33" s="24">
        <f>SUM(D3:D32)</f>
        <v>206.63100000000003</v>
      </c>
      <c r="E33" s="23">
        <f>+D33</f>
        <v>206.63100000000003</v>
      </c>
      <c r="F33" s="25"/>
      <c r="G33" s="26">
        <f>SUM(G3:G32)</f>
        <v>0</v>
      </c>
      <c r="H33" s="40">
        <f>+G33</f>
        <v>0</v>
      </c>
      <c r="I33" s="23">
        <f>SUM(I3:I32)</f>
        <v>238.54320000000001</v>
      </c>
      <c r="J33" s="27">
        <f>SUM(J3:J32)</f>
        <v>33131</v>
      </c>
      <c r="K33" s="28"/>
      <c r="L33" s="35"/>
      <c r="M33" s="29">
        <f>SUM(M3:M32)</f>
        <v>31422</v>
      </c>
      <c r="N33" s="29">
        <f>SUM(N3:N32)</f>
        <v>226.23840000000001</v>
      </c>
      <c r="O33" s="16"/>
    </row>
    <row r="34" spans="1:15" x14ac:dyDescent="0.2">
      <c r="D34" s="64"/>
    </row>
    <row r="40" spans="1:15" x14ac:dyDescent="0.2">
      <c r="D40" s="37"/>
    </row>
  </sheetData>
  <mergeCells count="2">
    <mergeCell ref="A1:F1"/>
    <mergeCell ref="G1:K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Jan Prod-12</vt:lpstr>
      <vt:lpstr>Feb- 12</vt:lpstr>
      <vt:lpstr>MARCH-12</vt:lpstr>
      <vt:lpstr>April-12</vt:lpstr>
      <vt:lpstr>May-12</vt:lpstr>
      <vt:lpstr>June-12</vt:lpstr>
      <vt:lpstr>JULY-12</vt:lpstr>
      <vt:lpstr>AUGUST-12</vt:lpstr>
      <vt:lpstr>SEP-12</vt:lpstr>
      <vt:lpstr>OCT-12</vt:lpstr>
      <vt:lpstr>NOv-12</vt:lpstr>
      <vt:lpstr>Dec.-12</vt:lpstr>
      <vt:lpstr>JAN-13</vt:lpstr>
      <vt:lpstr>FEB-13</vt:lpstr>
      <vt:lpstr>March-13</vt:lpstr>
      <vt:lpstr>MAY-13</vt:lpstr>
      <vt:lpstr>JUNE-13</vt:lpstr>
      <vt:lpstr>JULY-13</vt:lpstr>
      <vt:lpstr>August-13</vt:lpstr>
      <vt:lpstr>SEP'13</vt:lpstr>
      <vt:lpstr>OCT'13</vt:lpstr>
      <vt:lpstr>NOV'13</vt:lpstr>
      <vt:lpstr>DEC'13</vt:lpstr>
      <vt:lpstr>JAN'14</vt:lpstr>
      <vt:lpstr>FEB'14</vt:lpstr>
      <vt:lpstr>MAR'14</vt:lpstr>
      <vt:lpstr>APRIL'14</vt:lpstr>
      <vt:lpstr>MAY'14</vt:lpstr>
      <vt:lpstr>JUNE'14</vt:lpstr>
      <vt:lpstr>JULY'14</vt:lpstr>
      <vt:lpstr>AUG'14</vt:lpstr>
      <vt:lpstr>SEP'14</vt:lpstr>
      <vt:lpstr>OCT'14</vt:lpstr>
      <vt:lpstr>NOV'14</vt:lpstr>
      <vt:lpstr>DEC'14</vt:lpstr>
      <vt:lpstr>JAN'15</vt:lpstr>
      <vt:lpstr>FEB'15</vt:lpstr>
      <vt:lpstr>MARCH'15</vt:lpstr>
      <vt:lpstr>May'15</vt:lpstr>
      <vt:lpstr>Dispatch Detail(MAY)</vt:lpstr>
      <vt:lpstr>JUNE'15</vt:lpstr>
      <vt:lpstr>Persona 75 gm x 3 Pack_MARCH'17</vt:lpstr>
      <vt:lpstr>Persona 75 gm x 4 Pack_JUNE'16</vt:lpstr>
      <vt:lpstr>Dispatch Detail (FEB'16)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Patel</dc:creator>
  <cp:lastModifiedBy>Debashish Patra</cp:lastModifiedBy>
  <cp:lastPrinted>2016-03-30T09:47:10Z</cp:lastPrinted>
  <dcterms:created xsi:type="dcterms:W3CDTF">1996-10-14T23:33:28Z</dcterms:created>
  <dcterms:modified xsi:type="dcterms:W3CDTF">2017-04-20T15:52:49Z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