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Sheet1" sheetId="1" r:id="rId1"/>
    <sheet name="Sheet1 (2)" sheetId="6" r:id="rId2"/>
    <sheet name="Prod dt 28-03-17" sheetId="14" r:id="rId3"/>
    <sheet name="Prod dt 23-03-17 (2)" sheetId="16" r:id="rId4"/>
    <sheet name="Prod dt 01-03-17 (2)" sheetId="15" r:id="rId5"/>
    <sheet name="Prod dt 28-2-17" sheetId="13" r:id="rId6"/>
    <sheet name="Prod dt 27-2-17" sheetId="12" r:id="rId7"/>
    <sheet name="Production data on 22-2-17 (2)" sheetId="10" r:id="rId8"/>
    <sheet name="Production data on 20-2-17 (3)" sheetId="11" r:id="rId9"/>
    <sheet name="Production data on 12-2-17" sheetId="9" r:id="rId10"/>
    <sheet name="Revised plan as of 1-2-17" sheetId="7" r:id="rId11"/>
  </sheets>
  <calcPr calcId="145621"/>
</workbook>
</file>

<file path=xl/calcChain.xml><?xml version="1.0" encoding="utf-8"?>
<calcChain xmlns="http://schemas.openxmlformats.org/spreadsheetml/2006/main">
  <c r="N269" i="6" l="1"/>
  <c r="L266" i="6" l="1"/>
  <c r="R256" i="6" l="1"/>
  <c r="I256" i="6"/>
  <c r="P268" i="6" l="1"/>
  <c r="P270" i="6" s="1"/>
  <c r="Q40" i="14"/>
  <c r="O40" i="14"/>
  <c r="M40" i="14"/>
  <c r="K40" i="14"/>
  <c r="I40" i="14"/>
  <c r="G40" i="14"/>
  <c r="E40" i="14"/>
  <c r="C40" i="14"/>
  <c r="R39" i="14"/>
  <c r="R40" i="14" s="1"/>
  <c r="Q39" i="14"/>
  <c r="P39" i="14"/>
  <c r="P40" i="14" s="1"/>
  <c r="O39" i="14"/>
  <c r="N39" i="14"/>
  <c r="N40" i="14" s="1"/>
  <c r="M39" i="14"/>
  <c r="L39" i="14"/>
  <c r="L40" i="14" s="1"/>
  <c r="K39" i="14"/>
  <c r="J39" i="14"/>
  <c r="J40" i="14" s="1"/>
  <c r="I39" i="14"/>
  <c r="H39" i="14"/>
  <c r="H40" i="14" s="1"/>
  <c r="G39" i="14"/>
  <c r="F39" i="14"/>
  <c r="F40" i="14" s="1"/>
  <c r="E39" i="14"/>
  <c r="D39" i="14"/>
  <c r="D40" i="14" s="1"/>
  <c r="C39" i="14"/>
  <c r="Z38" i="14"/>
  <c r="Y38" i="14"/>
  <c r="X38" i="14"/>
  <c r="W38" i="14"/>
  <c r="V38" i="14"/>
  <c r="U38" i="14"/>
  <c r="T38" i="14"/>
  <c r="S38" i="14"/>
  <c r="Z37" i="14"/>
  <c r="Y37" i="14"/>
  <c r="X37" i="14"/>
  <c r="W37" i="14"/>
  <c r="V37" i="14"/>
  <c r="U37" i="14"/>
  <c r="T37" i="14"/>
  <c r="S37" i="14"/>
  <c r="Z36" i="14"/>
  <c r="Y36" i="14"/>
  <c r="X36" i="14"/>
  <c r="W36" i="14"/>
  <c r="V36" i="14"/>
  <c r="U36" i="14"/>
  <c r="T36" i="14"/>
  <c r="S36" i="14"/>
  <c r="Z35" i="14"/>
  <c r="Y35" i="14"/>
  <c r="X35" i="14"/>
  <c r="W35" i="14"/>
  <c r="V35" i="14"/>
  <c r="U35" i="14"/>
  <c r="T35" i="14"/>
  <c r="S35" i="14"/>
  <c r="Z34" i="14"/>
  <c r="Y34" i="14"/>
  <c r="X34" i="14"/>
  <c r="W34" i="14"/>
  <c r="V34" i="14"/>
  <c r="U34" i="14"/>
  <c r="T34" i="14"/>
  <c r="S34" i="14"/>
  <c r="Z33" i="14"/>
  <c r="Y33" i="14"/>
  <c r="X33" i="14"/>
  <c r="W33" i="14"/>
  <c r="V33" i="14"/>
  <c r="U33" i="14"/>
  <c r="T33" i="14"/>
  <c r="S33" i="14"/>
  <c r="Z32" i="14"/>
  <c r="Y32" i="14"/>
  <c r="X32" i="14"/>
  <c r="W32" i="14"/>
  <c r="V32" i="14"/>
  <c r="U32" i="14"/>
  <c r="T32" i="14"/>
  <c r="S32" i="14"/>
  <c r="Z31" i="14"/>
  <c r="Y31" i="14"/>
  <c r="X31" i="14"/>
  <c r="W31" i="14"/>
  <c r="V31" i="14"/>
  <c r="U31" i="14"/>
  <c r="T31" i="14"/>
  <c r="S31" i="14"/>
  <c r="Z30" i="14"/>
  <c r="Y30" i="14"/>
  <c r="X30" i="14"/>
  <c r="W30" i="14"/>
  <c r="V30" i="14"/>
  <c r="U30" i="14"/>
  <c r="T30" i="14"/>
  <c r="S30" i="14"/>
  <c r="Z29" i="14"/>
  <c r="Y29" i="14"/>
  <c r="X29" i="14"/>
  <c r="W29" i="14"/>
  <c r="V29" i="14"/>
  <c r="U29" i="14"/>
  <c r="T29" i="14"/>
  <c r="S29" i="14"/>
  <c r="Z28" i="14"/>
  <c r="Y28" i="14"/>
  <c r="X28" i="14"/>
  <c r="W28" i="14"/>
  <c r="V28" i="14"/>
  <c r="U28" i="14"/>
  <c r="T28" i="14"/>
  <c r="S28" i="14"/>
  <c r="Z27" i="14"/>
  <c r="Y27" i="14"/>
  <c r="X27" i="14"/>
  <c r="W27" i="14"/>
  <c r="V27" i="14"/>
  <c r="U27" i="14"/>
  <c r="T27" i="14"/>
  <c r="S27" i="14"/>
  <c r="Z26" i="14"/>
  <c r="Y26" i="14"/>
  <c r="X26" i="14"/>
  <c r="W26" i="14"/>
  <c r="V26" i="14"/>
  <c r="U26" i="14"/>
  <c r="T26" i="14"/>
  <c r="S26" i="14"/>
  <c r="Z25" i="14"/>
  <c r="Y25" i="14"/>
  <c r="X25" i="14"/>
  <c r="W25" i="14"/>
  <c r="V25" i="14"/>
  <c r="U25" i="14"/>
  <c r="T25" i="14"/>
  <c r="S25" i="14"/>
  <c r="Z24" i="14"/>
  <c r="Y24" i="14"/>
  <c r="X24" i="14"/>
  <c r="W24" i="14"/>
  <c r="V24" i="14"/>
  <c r="U24" i="14"/>
  <c r="T24" i="14"/>
  <c r="S24" i="14"/>
  <c r="Z23" i="14"/>
  <c r="Y23" i="14"/>
  <c r="X23" i="14"/>
  <c r="W23" i="14"/>
  <c r="V23" i="14"/>
  <c r="U23" i="14"/>
  <c r="T23" i="14"/>
  <c r="S23" i="14"/>
  <c r="Z22" i="14"/>
  <c r="Y22" i="14"/>
  <c r="X22" i="14"/>
  <c r="W22" i="14"/>
  <c r="V22" i="14"/>
  <c r="U22" i="14"/>
  <c r="T22" i="14"/>
  <c r="S22" i="14"/>
  <c r="Z21" i="14"/>
  <c r="Y21" i="14"/>
  <c r="X21" i="14"/>
  <c r="W21" i="14"/>
  <c r="V21" i="14"/>
  <c r="U21" i="14"/>
  <c r="T21" i="14"/>
  <c r="S21" i="14"/>
  <c r="Z20" i="14"/>
  <c r="Y20" i="14"/>
  <c r="X20" i="14"/>
  <c r="W20" i="14"/>
  <c r="V20" i="14"/>
  <c r="U20" i="14"/>
  <c r="T20" i="14"/>
  <c r="S20" i="14"/>
  <c r="Z19" i="14"/>
  <c r="Y19" i="14"/>
  <c r="X19" i="14"/>
  <c r="W19" i="14"/>
  <c r="V19" i="14"/>
  <c r="U19" i="14"/>
  <c r="T19" i="14"/>
  <c r="S19" i="14"/>
  <c r="Z18" i="14"/>
  <c r="Y18" i="14"/>
  <c r="X18" i="14"/>
  <c r="W18" i="14"/>
  <c r="V18" i="14"/>
  <c r="U18" i="14"/>
  <c r="T18" i="14"/>
  <c r="S18" i="14"/>
  <c r="Z17" i="14"/>
  <c r="Y17" i="14"/>
  <c r="X17" i="14"/>
  <c r="W17" i="14"/>
  <c r="V17" i="14"/>
  <c r="U17" i="14"/>
  <c r="T17" i="14"/>
  <c r="S17" i="14"/>
  <c r="Z16" i="14"/>
  <c r="Y16" i="14"/>
  <c r="X16" i="14"/>
  <c r="W16" i="14"/>
  <c r="V16" i="14"/>
  <c r="U16" i="14"/>
  <c r="T16" i="14"/>
  <c r="S16" i="14"/>
  <c r="Z15" i="14"/>
  <c r="Y15" i="14"/>
  <c r="X15" i="14"/>
  <c r="W15" i="14"/>
  <c r="V15" i="14"/>
  <c r="U15" i="14"/>
  <c r="T15" i="14"/>
  <c r="S15" i="14"/>
  <c r="Z14" i="14"/>
  <c r="Y14" i="14"/>
  <c r="X14" i="14"/>
  <c r="W14" i="14"/>
  <c r="V14" i="14"/>
  <c r="U14" i="14"/>
  <c r="T14" i="14"/>
  <c r="S14" i="14"/>
  <c r="Z13" i="14"/>
  <c r="Y13" i="14"/>
  <c r="X13" i="14"/>
  <c r="W13" i="14"/>
  <c r="V13" i="14"/>
  <c r="U13" i="14"/>
  <c r="T13" i="14"/>
  <c r="S13" i="14"/>
  <c r="Z12" i="14"/>
  <c r="Y12" i="14"/>
  <c r="X12" i="14"/>
  <c r="W12" i="14"/>
  <c r="V12" i="14"/>
  <c r="U12" i="14"/>
  <c r="T12" i="14"/>
  <c r="S12" i="14"/>
  <c r="Z11" i="14"/>
  <c r="Y11" i="14"/>
  <c r="X11" i="14"/>
  <c r="W11" i="14"/>
  <c r="V11" i="14"/>
  <c r="U11" i="14"/>
  <c r="T11" i="14"/>
  <c r="S11" i="14"/>
  <c r="Z10" i="14"/>
  <c r="Y10" i="14"/>
  <c r="X10" i="14"/>
  <c r="W10" i="14"/>
  <c r="V10" i="14"/>
  <c r="U10" i="14"/>
  <c r="T10" i="14"/>
  <c r="S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Z9" i="14"/>
  <c r="Y9" i="14"/>
  <c r="X9" i="14"/>
  <c r="W9" i="14"/>
  <c r="V9" i="14"/>
  <c r="U9" i="14"/>
  <c r="T9" i="14"/>
  <c r="S9" i="14"/>
  <c r="A9" i="14"/>
  <c r="Z8" i="14"/>
  <c r="Z39" i="14" s="1"/>
  <c r="Y8" i="14"/>
  <c r="Y39" i="14" s="1"/>
  <c r="Z40" i="14" s="1"/>
  <c r="X8" i="14"/>
  <c r="X39" i="14" s="1"/>
  <c r="W8" i="14"/>
  <c r="W39" i="14" s="1"/>
  <c r="V8" i="14"/>
  <c r="V39" i="14" s="1"/>
  <c r="U8" i="14"/>
  <c r="U39" i="14" s="1"/>
  <c r="T8" i="14"/>
  <c r="T39" i="14" s="1"/>
  <c r="S8" i="14"/>
  <c r="S39" i="14" s="1"/>
  <c r="R7" i="14"/>
  <c r="P7" i="14"/>
  <c r="N7" i="14"/>
  <c r="L7" i="14"/>
  <c r="J7" i="14"/>
  <c r="H7" i="14"/>
  <c r="F7" i="14"/>
  <c r="D7" i="14"/>
  <c r="P5" i="14"/>
  <c r="H5" i="14"/>
  <c r="D5" i="14"/>
  <c r="R39" i="16"/>
  <c r="R40" i="16" s="1"/>
  <c r="Q39" i="16"/>
  <c r="Q40" i="16" s="1"/>
  <c r="P39" i="16"/>
  <c r="P40" i="16" s="1"/>
  <c r="O39" i="16"/>
  <c r="O40" i="16" s="1"/>
  <c r="N39" i="16"/>
  <c r="N40" i="16" s="1"/>
  <c r="M39" i="16"/>
  <c r="M40" i="16" s="1"/>
  <c r="L39" i="16"/>
  <c r="L40" i="16" s="1"/>
  <c r="K39" i="16"/>
  <c r="K40" i="16" s="1"/>
  <c r="J39" i="16"/>
  <c r="J40" i="16" s="1"/>
  <c r="I39" i="16"/>
  <c r="I40" i="16" s="1"/>
  <c r="H39" i="16"/>
  <c r="H40" i="16" s="1"/>
  <c r="G39" i="16"/>
  <c r="H5" i="16" s="1"/>
  <c r="F39" i="16"/>
  <c r="F40" i="16" s="1"/>
  <c r="E39" i="16"/>
  <c r="E40" i="16" s="1"/>
  <c r="D39" i="16"/>
  <c r="D40" i="16" s="1"/>
  <c r="C39" i="16"/>
  <c r="C40" i="16" s="1"/>
  <c r="X38" i="16"/>
  <c r="W38" i="16"/>
  <c r="V38" i="16"/>
  <c r="U38" i="16"/>
  <c r="T38" i="16"/>
  <c r="S38" i="16"/>
  <c r="X37" i="16"/>
  <c r="W37" i="16"/>
  <c r="V37" i="16"/>
  <c r="U37" i="16"/>
  <c r="T37" i="16"/>
  <c r="S37" i="16"/>
  <c r="X36" i="16"/>
  <c r="W36" i="16"/>
  <c r="V36" i="16"/>
  <c r="U36" i="16"/>
  <c r="T36" i="16"/>
  <c r="S36" i="16"/>
  <c r="X35" i="16"/>
  <c r="W35" i="16"/>
  <c r="V35" i="16"/>
  <c r="U35" i="16"/>
  <c r="T35" i="16"/>
  <c r="S35" i="16"/>
  <c r="X34" i="16"/>
  <c r="W34" i="16"/>
  <c r="V34" i="16"/>
  <c r="U34" i="16"/>
  <c r="T34" i="16"/>
  <c r="S34" i="16"/>
  <c r="X33" i="16"/>
  <c r="W33" i="16"/>
  <c r="V33" i="16"/>
  <c r="U33" i="16"/>
  <c r="T33" i="16"/>
  <c r="S33" i="16"/>
  <c r="X32" i="16"/>
  <c r="W32" i="16"/>
  <c r="V32" i="16"/>
  <c r="U32" i="16"/>
  <c r="T32" i="16"/>
  <c r="S32" i="16"/>
  <c r="X31" i="16"/>
  <c r="W31" i="16"/>
  <c r="V31" i="16"/>
  <c r="U31" i="16"/>
  <c r="T31" i="16"/>
  <c r="S31" i="16"/>
  <c r="X30" i="16"/>
  <c r="W30" i="16"/>
  <c r="V30" i="16"/>
  <c r="U30" i="16"/>
  <c r="T30" i="16"/>
  <c r="S30" i="16"/>
  <c r="X29" i="16"/>
  <c r="W29" i="16"/>
  <c r="V29" i="16"/>
  <c r="U29" i="16"/>
  <c r="T29" i="16"/>
  <c r="S29" i="16"/>
  <c r="X28" i="16"/>
  <c r="W28" i="16"/>
  <c r="V28" i="16"/>
  <c r="U28" i="16"/>
  <c r="T28" i="16"/>
  <c r="S28" i="16"/>
  <c r="X27" i="16"/>
  <c r="W27" i="16"/>
  <c r="V27" i="16"/>
  <c r="U27" i="16"/>
  <c r="T27" i="16"/>
  <c r="S27" i="16"/>
  <c r="X26" i="16"/>
  <c r="W26" i="16"/>
  <c r="V26" i="16"/>
  <c r="U26" i="16"/>
  <c r="T26" i="16"/>
  <c r="S26" i="16"/>
  <c r="X25" i="16"/>
  <c r="W25" i="16"/>
  <c r="V25" i="16"/>
  <c r="U25" i="16"/>
  <c r="T25" i="16"/>
  <c r="S25" i="16"/>
  <c r="X24" i="16"/>
  <c r="W24" i="16"/>
  <c r="V24" i="16"/>
  <c r="U24" i="16"/>
  <c r="T24" i="16"/>
  <c r="S24" i="16"/>
  <c r="X23" i="16"/>
  <c r="W23" i="16"/>
  <c r="V23" i="16"/>
  <c r="U23" i="16"/>
  <c r="T23" i="16"/>
  <c r="S23" i="16"/>
  <c r="X22" i="16"/>
  <c r="W22" i="16"/>
  <c r="V22" i="16"/>
  <c r="U22" i="16"/>
  <c r="T22" i="16"/>
  <c r="S22" i="16"/>
  <c r="X21" i="16"/>
  <c r="W21" i="16"/>
  <c r="V21" i="16"/>
  <c r="U21" i="16"/>
  <c r="T21" i="16"/>
  <c r="S21" i="16"/>
  <c r="X20" i="16"/>
  <c r="W20" i="16"/>
  <c r="V20" i="16"/>
  <c r="U20" i="16"/>
  <c r="T20" i="16"/>
  <c r="S20" i="16"/>
  <c r="X19" i="16"/>
  <c r="W19" i="16"/>
  <c r="V19" i="16"/>
  <c r="U19" i="16"/>
  <c r="T19" i="16"/>
  <c r="S19" i="16"/>
  <c r="X18" i="16"/>
  <c r="W18" i="16"/>
  <c r="V18" i="16"/>
  <c r="U18" i="16"/>
  <c r="T18" i="16"/>
  <c r="S18" i="16"/>
  <c r="X17" i="16"/>
  <c r="W17" i="16"/>
  <c r="V17" i="16"/>
  <c r="U17" i="16"/>
  <c r="T17" i="16"/>
  <c r="S17" i="16"/>
  <c r="X16" i="16"/>
  <c r="W16" i="16"/>
  <c r="V16" i="16"/>
  <c r="U16" i="16"/>
  <c r="T16" i="16"/>
  <c r="S16" i="16"/>
  <c r="X15" i="16"/>
  <c r="W15" i="16"/>
  <c r="V15" i="16"/>
  <c r="U15" i="16"/>
  <c r="T15" i="16"/>
  <c r="S15" i="16"/>
  <c r="X14" i="16"/>
  <c r="W14" i="16"/>
  <c r="V14" i="16"/>
  <c r="U14" i="16"/>
  <c r="T14" i="16"/>
  <c r="S14" i="16"/>
  <c r="X13" i="16"/>
  <c r="W13" i="16"/>
  <c r="V13" i="16"/>
  <c r="U13" i="16"/>
  <c r="T13" i="16"/>
  <c r="S13" i="16"/>
  <c r="X12" i="16"/>
  <c r="W12" i="16"/>
  <c r="V12" i="16"/>
  <c r="U12" i="16"/>
  <c r="T12" i="16"/>
  <c r="S12" i="16"/>
  <c r="X11" i="16"/>
  <c r="W11" i="16"/>
  <c r="V11" i="16"/>
  <c r="U11" i="16"/>
  <c r="T11" i="16"/>
  <c r="S11" i="16"/>
  <c r="X10" i="16"/>
  <c r="W10" i="16"/>
  <c r="V10" i="16"/>
  <c r="U10" i="16"/>
  <c r="T10" i="16"/>
  <c r="S10" i="16"/>
  <c r="X9" i="16"/>
  <c r="W9" i="16"/>
  <c r="V9" i="16"/>
  <c r="U9" i="16"/>
  <c r="T9" i="16"/>
  <c r="S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X8" i="16"/>
  <c r="X39" i="16" s="1"/>
  <c r="W8" i="16"/>
  <c r="W39" i="16" s="1"/>
  <c r="X41" i="16" s="1"/>
  <c r="V8" i="16"/>
  <c r="V39" i="16" s="1"/>
  <c r="U8" i="16"/>
  <c r="U39" i="16" s="1"/>
  <c r="V41" i="16" s="1"/>
  <c r="Y41" i="16" s="1"/>
  <c r="T8" i="16"/>
  <c r="T39" i="16" s="1"/>
  <c r="S8" i="16"/>
  <c r="S39" i="16" s="1"/>
  <c r="T5" i="16" s="1"/>
  <c r="R7" i="16"/>
  <c r="P7" i="16"/>
  <c r="N7" i="16"/>
  <c r="L7" i="16"/>
  <c r="J7" i="16"/>
  <c r="H7" i="16"/>
  <c r="F7" i="16"/>
  <c r="D7" i="16"/>
  <c r="R5" i="16"/>
  <c r="J5" i="16"/>
  <c r="F5" i="16"/>
  <c r="T5" i="14" l="1"/>
  <c r="X40" i="14"/>
  <c r="AA39" i="14"/>
  <c r="V40" i="14"/>
  <c r="AA40" i="14" s="1"/>
  <c r="J5" i="14"/>
  <c r="F5" i="14"/>
  <c r="R5" i="14"/>
  <c r="D5" i="16"/>
  <c r="P5" i="16"/>
  <c r="G40" i="16"/>
  <c r="I257" i="6" l="1"/>
  <c r="F254" i="6" l="1"/>
  <c r="F253" i="6"/>
  <c r="C254" i="6"/>
  <c r="C253" i="6"/>
  <c r="J292" i="6" l="1"/>
  <c r="I292" i="6"/>
  <c r="H292" i="6"/>
  <c r="G292" i="6"/>
  <c r="J286" i="6"/>
  <c r="I286" i="6"/>
  <c r="H286" i="6"/>
  <c r="G286" i="6"/>
  <c r="Q40" i="15" l="1"/>
  <c r="O40" i="15"/>
  <c r="M40" i="15"/>
  <c r="K40" i="15"/>
  <c r="I40" i="15"/>
  <c r="G40" i="15"/>
  <c r="E40" i="15"/>
  <c r="C40" i="15"/>
  <c r="R39" i="15"/>
  <c r="R40" i="15" s="1"/>
  <c r="Q39" i="15"/>
  <c r="P39" i="15"/>
  <c r="P4" i="15" s="1"/>
  <c r="O39" i="15"/>
  <c r="N39" i="15"/>
  <c r="N40" i="15" s="1"/>
  <c r="M39" i="15"/>
  <c r="L39" i="15"/>
  <c r="L40" i="15" s="1"/>
  <c r="K39" i="15"/>
  <c r="J39" i="15"/>
  <c r="J40" i="15" s="1"/>
  <c r="I39" i="15"/>
  <c r="H39" i="15"/>
  <c r="H40" i="15" s="1"/>
  <c r="G39" i="15"/>
  <c r="F39" i="15"/>
  <c r="F40" i="15" s="1"/>
  <c r="E39" i="15"/>
  <c r="D39" i="15"/>
  <c r="D4" i="15" s="1"/>
  <c r="C39" i="15"/>
  <c r="Y38" i="15"/>
  <c r="X38" i="15"/>
  <c r="W38" i="15"/>
  <c r="V38" i="15"/>
  <c r="U38" i="15"/>
  <c r="T38" i="15"/>
  <c r="S38" i="15"/>
  <c r="Y37" i="15"/>
  <c r="X37" i="15"/>
  <c r="W37" i="15"/>
  <c r="V37" i="15"/>
  <c r="U37" i="15"/>
  <c r="T37" i="15"/>
  <c r="S37" i="15"/>
  <c r="Y36" i="15"/>
  <c r="X36" i="15"/>
  <c r="W36" i="15"/>
  <c r="V36" i="15"/>
  <c r="U36" i="15"/>
  <c r="T36" i="15"/>
  <c r="S36" i="15"/>
  <c r="Y35" i="15"/>
  <c r="X35" i="15"/>
  <c r="X39" i="15" s="1"/>
  <c r="W35" i="15"/>
  <c r="V35" i="15"/>
  <c r="V39" i="15" s="1"/>
  <c r="U35" i="15"/>
  <c r="T35" i="15"/>
  <c r="T39" i="15" s="1"/>
  <c r="S35" i="15"/>
  <c r="Y34" i="15"/>
  <c r="X34" i="15"/>
  <c r="W34" i="15"/>
  <c r="V34" i="15"/>
  <c r="U34" i="15"/>
  <c r="T34" i="15"/>
  <c r="S34" i="15"/>
  <c r="Y33" i="15"/>
  <c r="X33" i="15"/>
  <c r="W33" i="15"/>
  <c r="V33" i="15"/>
  <c r="U33" i="15"/>
  <c r="T33" i="15"/>
  <c r="S33" i="15"/>
  <c r="Y32" i="15"/>
  <c r="X32" i="15"/>
  <c r="W32" i="15"/>
  <c r="V32" i="15"/>
  <c r="U32" i="15"/>
  <c r="T32" i="15"/>
  <c r="S32" i="15"/>
  <c r="Y31" i="15"/>
  <c r="X31" i="15"/>
  <c r="W31" i="15"/>
  <c r="V31" i="15"/>
  <c r="U31" i="15"/>
  <c r="T31" i="15"/>
  <c r="S31" i="15"/>
  <c r="Y30" i="15"/>
  <c r="X30" i="15"/>
  <c r="W30" i="15"/>
  <c r="V30" i="15"/>
  <c r="U30" i="15"/>
  <c r="T30" i="15"/>
  <c r="S30" i="15"/>
  <c r="Y29" i="15"/>
  <c r="X29" i="15"/>
  <c r="W29" i="15"/>
  <c r="V29" i="15"/>
  <c r="U29" i="15"/>
  <c r="T29" i="15"/>
  <c r="S29" i="15"/>
  <c r="Y28" i="15"/>
  <c r="X28" i="15"/>
  <c r="W28" i="15"/>
  <c r="V28" i="15"/>
  <c r="U28" i="15"/>
  <c r="T28" i="15"/>
  <c r="S28" i="15"/>
  <c r="Y27" i="15"/>
  <c r="X27" i="15"/>
  <c r="W27" i="15"/>
  <c r="V27" i="15"/>
  <c r="U27" i="15"/>
  <c r="T27" i="15"/>
  <c r="S27" i="15"/>
  <c r="Y26" i="15"/>
  <c r="X26" i="15"/>
  <c r="W26" i="15"/>
  <c r="V26" i="15"/>
  <c r="U26" i="15"/>
  <c r="T26" i="15"/>
  <c r="S26" i="15"/>
  <c r="Y25" i="15"/>
  <c r="X25" i="15"/>
  <c r="W25" i="15"/>
  <c r="V25" i="15"/>
  <c r="U25" i="15"/>
  <c r="T25" i="15"/>
  <c r="S25" i="15"/>
  <c r="Y24" i="15"/>
  <c r="X24" i="15"/>
  <c r="W24" i="15"/>
  <c r="V24" i="15"/>
  <c r="U24" i="15"/>
  <c r="T24" i="15"/>
  <c r="S24" i="15"/>
  <c r="Y23" i="15"/>
  <c r="X23" i="15"/>
  <c r="W23" i="15"/>
  <c r="V23" i="15"/>
  <c r="U23" i="15"/>
  <c r="T23" i="15"/>
  <c r="S23" i="15"/>
  <c r="Y22" i="15"/>
  <c r="X22" i="15"/>
  <c r="W22" i="15"/>
  <c r="V22" i="15"/>
  <c r="U22" i="15"/>
  <c r="T22" i="15"/>
  <c r="S22" i="15"/>
  <c r="Y21" i="15"/>
  <c r="X21" i="15"/>
  <c r="W21" i="15"/>
  <c r="V21" i="15"/>
  <c r="U21" i="15"/>
  <c r="T21" i="15"/>
  <c r="S21" i="15"/>
  <c r="Y20" i="15"/>
  <c r="X20" i="15"/>
  <c r="W20" i="15"/>
  <c r="V20" i="15"/>
  <c r="U20" i="15"/>
  <c r="T20" i="15"/>
  <c r="S20" i="15"/>
  <c r="Y19" i="15"/>
  <c r="X19" i="15"/>
  <c r="W19" i="15"/>
  <c r="V19" i="15"/>
  <c r="U19" i="15"/>
  <c r="T19" i="15"/>
  <c r="S19" i="15"/>
  <c r="Y18" i="15"/>
  <c r="X18" i="15"/>
  <c r="W18" i="15"/>
  <c r="V18" i="15"/>
  <c r="U18" i="15"/>
  <c r="T18" i="15"/>
  <c r="S18" i="15"/>
  <c r="Y17" i="15"/>
  <c r="X17" i="15"/>
  <c r="W17" i="15"/>
  <c r="V17" i="15"/>
  <c r="U17" i="15"/>
  <c r="T17" i="15"/>
  <c r="S17" i="15"/>
  <c r="Y16" i="15"/>
  <c r="X16" i="15"/>
  <c r="W16" i="15"/>
  <c r="V16" i="15"/>
  <c r="U16" i="15"/>
  <c r="T16" i="15"/>
  <c r="S16" i="15"/>
  <c r="Y15" i="15"/>
  <c r="X15" i="15"/>
  <c r="W15" i="15"/>
  <c r="V15" i="15"/>
  <c r="U15" i="15"/>
  <c r="T15" i="15"/>
  <c r="S15" i="15"/>
  <c r="Y14" i="15"/>
  <c r="X14" i="15"/>
  <c r="W14" i="15"/>
  <c r="V14" i="15"/>
  <c r="U14" i="15"/>
  <c r="T14" i="15"/>
  <c r="S14" i="15"/>
  <c r="Y13" i="15"/>
  <c r="X13" i="15"/>
  <c r="W13" i="15"/>
  <c r="V13" i="15"/>
  <c r="U13" i="15"/>
  <c r="T13" i="15"/>
  <c r="S13" i="15"/>
  <c r="Y12" i="15"/>
  <c r="X12" i="15"/>
  <c r="W12" i="15"/>
  <c r="V12" i="15"/>
  <c r="U12" i="15"/>
  <c r="T12" i="15"/>
  <c r="S12" i="15"/>
  <c r="Y11" i="15"/>
  <c r="X11" i="15"/>
  <c r="W11" i="15"/>
  <c r="V11" i="15"/>
  <c r="U11" i="15"/>
  <c r="T11" i="15"/>
  <c r="S11" i="15"/>
  <c r="Y10" i="15"/>
  <c r="X10" i="15"/>
  <c r="W10" i="15"/>
  <c r="V10" i="15"/>
  <c r="U10" i="15"/>
  <c r="T10" i="15"/>
  <c r="S10" i="15"/>
  <c r="Y9" i="15"/>
  <c r="X9" i="15"/>
  <c r="W9" i="15"/>
  <c r="V9" i="15"/>
  <c r="U9" i="15"/>
  <c r="T9" i="15"/>
  <c r="S9" i="15"/>
  <c r="Y8" i="15"/>
  <c r="X8" i="15"/>
  <c r="W8" i="15"/>
  <c r="V8" i="15"/>
  <c r="U8" i="15"/>
  <c r="T8" i="15"/>
  <c r="S8" i="15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Y7" i="15"/>
  <c r="Y39" i="15" s="1"/>
  <c r="X7" i="15"/>
  <c r="W7" i="15"/>
  <c r="W39" i="15" s="1"/>
  <c r="V7" i="15"/>
  <c r="U7" i="15"/>
  <c r="U39" i="15" s="1"/>
  <c r="T7" i="15"/>
  <c r="S7" i="15"/>
  <c r="S39" i="15" s="1"/>
  <c r="T4" i="15" s="1"/>
  <c r="R6" i="15"/>
  <c r="P6" i="15"/>
  <c r="N6" i="15"/>
  <c r="L6" i="15"/>
  <c r="J6" i="15"/>
  <c r="H6" i="15"/>
  <c r="F6" i="15"/>
  <c r="D6" i="15"/>
  <c r="R4" i="15"/>
  <c r="J4" i="15"/>
  <c r="F4" i="15"/>
  <c r="Y41" i="15" l="1"/>
  <c r="V40" i="15"/>
  <c r="Y40" i="15"/>
  <c r="X40" i="15"/>
  <c r="H4" i="15"/>
  <c r="D40" i="15"/>
  <c r="P40" i="15"/>
  <c r="R264" i="6" l="1"/>
  <c r="Q264" i="6"/>
  <c r="O264" i="6"/>
  <c r="N264" i="6"/>
  <c r="M264" i="6"/>
  <c r="L264" i="6"/>
  <c r="I264" i="6"/>
  <c r="R260" i="6"/>
  <c r="R266" i="6" s="1"/>
  <c r="R267" i="6" s="1"/>
  <c r="R268" i="6" s="1"/>
  <c r="R270" i="6" s="1"/>
  <c r="Q260" i="6"/>
  <c r="Q266" i="6" s="1"/>
  <c r="Q267" i="6" s="1"/>
  <c r="Q268" i="6" s="1"/>
  <c r="Q270" i="6" s="1"/>
  <c r="O260" i="6"/>
  <c r="N260" i="6"/>
  <c r="N266" i="6" s="1"/>
  <c r="N267" i="6" s="1"/>
  <c r="N268" i="6" s="1"/>
  <c r="N270" i="6" s="1"/>
  <c r="M260" i="6"/>
  <c r="M266" i="6" s="1"/>
  <c r="M267" i="6" s="1"/>
  <c r="M268" i="6" s="1"/>
  <c r="M270" i="6" s="1"/>
  <c r="L260" i="6"/>
  <c r="L267" i="6" s="1"/>
  <c r="L268" i="6" s="1"/>
  <c r="L270" i="6" s="1"/>
  <c r="I260" i="6"/>
  <c r="O266" i="6" l="1"/>
  <c r="O267" i="6" s="1"/>
  <c r="O268" i="6" s="1"/>
  <c r="O270" i="6" s="1"/>
  <c r="N256" i="6"/>
  <c r="N259" i="6" s="1"/>
  <c r="L259" i="6"/>
  <c r="R262" i="6"/>
  <c r="Q262" i="6"/>
  <c r="O262" i="6"/>
  <c r="N262" i="6"/>
  <c r="M262" i="6"/>
  <c r="L262" i="6"/>
  <c r="I262" i="6"/>
  <c r="Q259" i="6"/>
  <c r="O259" i="6"/>
  <c r="M259" i="6"/>
  <c r="O257" i="6"/>
  <c r="J257" i="6"/>
  <c r="R259" i="6"/>
  <c r="O263" i="6" l="1"/>
  <c r="O265" i="6" s="1"/>
  <c r="Q263" i="6"/>
  <c r="Q265" i="6" s="1"/>
  <c r="N263" i="6"/>
  <c r="N265" i="6" s="1"/>
  <c r="R263" i="6"/>
  <c r="R265" i="6" s="1"/>
  <c r="M263" i="6"/>
  <c r="M265" i="6" s="1"/>
  <c r="I259" i="6"/>
  <c r="I263" i="6" s="1"/>
  <c r="I265" i="6" s="1"/>
  <c r="L263" i="6"/>
  <c r="L265" i="6" s="1"/>
  <c r="I228" i="6" l="1"/>
  <c r="I224" i="6"/>
  <c r="R223" i="6"/>
  <c r="R226" i="6" s="1"/>
  <c r="N223" i="6"/>
  <c r="N226" i="6" s="1"/>
  <c r="I223" i="6"/>
  <c r="L234" i="6"/>
  <c r="R231" i="6"/>
  <c r="Q231" i="6"/>
  <c r="O231" i="6"/>
  <c r="N231" i="6"/>
  <c r="M231" i="6"/>
  <c r="L231" i="6"/>
  <c r="I231" i="6"/>
  <c r="R227" i="6"/>
  <c r="R229" i="6" s="1"/>
  <c r="Q227" i="6"/>
  <c r="Q229" i="6" s="1"/>
  <c r="O227" i="6"/>
  <c r="O229" i="6" s="1"/>
  <c r="N227" i="6"/>
  <c r="N229" i="6" s="1"/>
  <c r="M227" i="6"/>
  <c r="M229" i="6" s="1"/>
  <c r="L227" i="6"/>
  <c r="L229" i="6" s="1"/>
  <c r="I227" i="6"/>
  <c r="Q226" i="6"/>
  <c r="O226" i="6"/>
  <c r="M226" i="6"/>
  <c r="O224" i="6"/>
  <c r="L223" i="6"/>
  <c r="L226" i="6" s="1"/>
  <c r="M234" i="6" l="1"/>
  <c r="N234" i="6" s="1"/>
  <c r="O230" i="6"/>
  <c r="O232" i="6" s="1"/>
  <c r="I229" i="6"/>
  <c r="J224" i="6"/>
  <c r="L230" i="6"/>
  <c r="L232" i="6" s="1"/>
  <c r="Q230" i="6"/>
  <c r="Q232" i="6" s="1"/>
  <c r="M230" i="6"/>
  <c r="M232" i="6" s="1"/>
  <c r="R230" i="6"/>
  <c r="R232" i="6" s="1"/>
  <c r="N230" i="6"/>
  <c r="N232" i="6" s="1"/>
  <c r="I226" i="6"/>
  <c r="I230" i="6" l="1"/>
  <c r="I232" i="6" s="1"/>
  <c r="H5" i="13" l="1"/>
  <c r="D7" i="13"/>
  <c r="F7" i="13"/>
  <c r="H7" i="13"/>
  <c r="J7" i="13"/>
  <c r="L7" i="13"/>
  <c r="N7" i="13"/>
  <c r="P7" i="13"/>
  <c r="R7" i="13"/>
  <c r="S8" i="13"/>
  <c r="S40" i="13" s="1"/>
  <c r="T8" i="13"/>
  <c r="A9" i="13"/>
  <c r="S9" i="13"/>
  <c r="T9" i="13"/>
  <c r="T40" i="13" s="1"/>
  <c r="U9" i="13"/>
  <c r="V9" i="13"/>
  <c r="W9" i="13"/>
  <c r="W40" i="13" s="1"/>
  <c r="X9" i="13"/>
  <c r="X40" i="13" s="1"/>
  <c r="Y9" i="13"/>
  <c r="A10" i="13"/>
  <c r="S10" i="13"/>
  <c r="T10" i="13"/>
  <c r="U10" i="13"/>
  <c r="V10" i="13"/>
  <c r="W10" i="13"/>
  <c r="X10" i="13"/>
  <c r="Y10" i="13"/>
  <c r="A11" i="13"/>
  <c r="S11" i="13"/>
  <c r="T11" i="13"/>
  <c r="U11" i="13"/>
  <c r="V11" i="13"/>
  <c r="W11" i="13"/>
  <c r="X11" i="13"/>
  <c r="Y11" i="13"/>
  <c r="A12" i="13"/>
  <c r="S12" i="13"/>
  <c r="T12" i="13"/>
  <c r="U12" i="13"/>
  <c r="V12" i="13"/>
  <c r="W12" i="13"/>
  <c r="X12" i="13"/>
  <c r="Y12" i="13"/>
  <c r="A13" i="13"/>
  <c r="S13" i="13"/>
  <c r="T13" i="13"/>
  <c r="U13" i="13"/>
  <c r="V13" i="13"/>
  <c r="W13" i="13"/>
  <c r="X13" i="13"/>
  <c r="Y13" i="13"/>
  <c r="A14" i="13"/>
  <c r="S14" i="13"/>
  <c r="T14" i="13"/>
  <c r="U14" i="13"/>
  <c r="V14" i="13"/>
  <c r="W14" i="13"/>
  <c r="X14" i="13"/>
  <c r="Y14" i="13"/>
  <c r="A15" i="13"/>
  <c r="S15" i="13"/>
  <c r="T15" i="13"/>
  <c r="U15" i="13"/>
  <c r="V15" i="13"/>
  <c r="W15" i="13"/>
  <c r="X15" i="13"/>
  <c r="Y15" i="13"/>
  <c r="A16" i="13"/>
  <c r="S16" i="13"/>
  <c r="T16" i="13"/>
  <c r="U16" i="13"/>
  <c r="V16" i="13"/>
  <c r="W16" i="13"/>
  <c r="X16" i="13"/>
  <c r="Y16" i="13"/>
  <c r="A17" i="13"/>
  <c r="S17" i="13"/>
  <c r="T17" i="13"/>
  <c r="U17" i="13"/>
  <c r="V17" i="13"/>
  <c r="W17" i="13"/>
  <c r="X17" i="13"/>
  <c r="Y17" i="13"/>
  <c r="A18" i="13"/>
  <c r="S18" i="13"/>
  <c r="T18" i="13"/>
  <c r="U18" i="13"/>
  <c r="V18" i="13"/>
  <c r="W18" i="13"/>
  <c r="X18" i="13"/>
  <c r="Y18" i="13"/>
  <c r="A19" i="13"/>
  <c r="S19" i="13"/>
  <c r="T19" i="13"/>
  <c r="U19" i="13"/>
  <c r="V19" i="13"/>
  <c r="W19" i="13"/>
  <c r="X19" i="13"/>
  <c r="Y19" i="13"/>
  <c r="A20" i="13"/>
  <c r="S20" i="13"/>
  <c r="T20" i="13"/>
  <c r="U20" i="13"/>
  <c r="V20" i="13"/>
  <c r="W20" i="13"/>
  <c r="X20" i="13"/>
  <c r="Y20" i="13"/>
  <c r="A21" i="13"/>
  <c r="S21" i="13"/>
  <c r="T21" i="13"/>
  <c r="U21" i="13"/>
  <c r="V21" i="13"/>
  <c r="W21" i="13"/>
  <c r="X21" i="13"/>
  <c r="Y21" i="13"/>
  <c r="A22" i="13"/>
  <c r="S22" i="13"/>
  <c r="T22" i="13"/>
  <c r="U22" i="13"/>
  <c r="V22" i="13"/>
  <c r="W22" i="13"/>
  <c r="X22" i="13"/>
  <c r="Y22" i="13"/>
  <c r="A23" i="13"/>
  <c r="S23" i="13"/>
  <c r="T23" i="13"/>
  <c r="U23" i="13"/>
  <c r="V23" i="13"/>
  <c r="W23" i="13"/>
  <c r="X23" i="13"/>
  <c r="Y23" i="13"/>
  <c r="A24" i="13"/>
  <c r="S24" i="13"/>
  <c r="T24" i="13"/>
  <c r="U24" i="13"/>
  <c r="V24" i="13"/>
  <c r="W24" i="13"/>
  <c r="X24" i="13"/>
  <c r="Y24" i="13"/>
  <c r="A25" i="13"/>
  <c r="S25" i="13"/>
  <c r="T25" i="13"/>
  <c r="U25" i="13"/>
  <c r="V25" i="13"/>
  <c r="W25" i="13"/>
  <c r="X25" i="13"/>
  <c r="Y25" i="13"/>
  <c r="A26" i="13"/>
  <c r="S26" i="13"/>
  <c r="T26" i="13"/>
  <c r="U26" i="13"/>
  <c r="V26" i="13"/>
  <c r="W26" i="13"/>
  <c r="X26" i="13"/>
  <c r="Y26" i="13"/>
  <c r="A27" i="13"/>
  <c r="S27" i="13"/>
  <c r="T27" i="13"/>
  <c r="U27" i="13"/>
  <c r="V27" i="13"/>
  <c r="W27" i="13"/>
  <c r="X27" i="13"/>
  <c r="Y27" i="13"/>
  <c r="A28" i="13"/>
  <c r="S28" i="13"/>
  <c r="T28" i="13"/>
  <c r="U28" i="13"/>
  <c r="V28" i="13"/>
  <c r="W28" i="13"/>
  <c r="X28" i="13"/>
  <c r="Y28" i="13"/>
  <c r="A29" i="13"/>
  <c r="S29" i="13"/>
  <c r="T29" i="13"/>
  <c r="U29" i="13"/>
  <c r="V29" i="13"/>
  <c r="W29" i="13"/>
  <c r="X29" i="13"/>
  <c r="Y29" i="13"/>
  <c r="A30" i="13"/>
  <c r="S30" i="13"/>
  <c r="T30" i="13"/>
  <c r="U30" i="13"/>
  <c r="V30" i="13"/>
  <c r="W30" i="13"/>
  <c r="X30" i="13"/>
  <c r="Y30" i="13"/>
  <c r="A31" i="13"/>
  <c r="S31" i="13"/>
  <c r="T31" i="13"/>
  <c r="U31" i="13"/>
  <c r="V31" i="13"/>
  <c r="W31" i="13"/>
  <c r="X31" i="13"/>
  <c r="Y31" i="13"/>
  <c r="A32" i="13"/>
  <c r="S32" i="13"/>
  <c r="T32" i="13"/>
  <c r="U32" i="13"/>
  <c r="V32" i="13"/>
  <c r="W32" i="13"/>
  <c r="X32" i="13"/>
  <c r="Y32" i="13"/>
  <c r="A33" i="13"/>
  <c r="S33" i="13"/>
  <c r="T33" i="13"/>
  <c r="U33" i="13"/>
  <c r="V33" i="13"/>
  <c r="W33" i="13"/>
  <c r="X33" i="13"/>
  <c r="Y33" i="13"/>
  <c r="A34" i="13"/>
  <c r="S34" i="13"/>
  <c r="T34" i="13"/>
  <c r="U34" i="13"/>
  <c r="V34" i="13"/>
  <c r="W34" i="13"/>
  <c r="X34" i="13"/>
  <c r="Y34" i="13"/>
  <c r="A35" i="13"/>
  <c r="S35" i="13"/>
  <c r="T35" i="13"/>
  <c r="U35" i="13"/>
  <c r="V35" i="13"/>
  <c r="W35" i="13"/>
  <c r="X35" i="13"/>
  <c r="Y35" i="13"/>
  <c r="S36" i="13"/>
  <c r="T36" i="13"/>
  <c r="U36" i="13"/>
  <c r="U40" i="13" s="1"/>
  <c r="V36" i="13"/>
  <c r="W36" i="13"/>
  <c r="X36" i="13"/>
  <c r="Y36" i="13"/>
  <c r="Y40" i="13" s="1"/>
  <c r="Y41" i="13" s="1"/>
  <c r="S37" i="13"/>
  <c r="T37" i="13"/>
  <c r="U37" i="13"/>
  <c r="V37" i="13"/>
  <c r="W37" i="13"/>
  <c r="X37" i="13"/>
  <c r="Y37" i="13"/>
  <c r="S38" i="13"/>
  <c r="T38" i="13"/>
  <c r="U38" i="13"/>
  <c r="V38" i="13"/>
  <c r="W38" i="13"/>
  <c r="X38" i="13"/>
  <c r="Y38" i="13"/>
  <c r="S39" i="13"/>
  <c r="T39" i="13"/>
  <c r="V39" i="13"/>
  <c r="W39" i="13"/>
  <c r="X39" i="13"/>
  <c r="Y39" i="13"/>
  <c r="C40" i="13"/>
  <c r="D5" i="13" s="1"/>
  <c r="D40" i="13"/>
  <c r="E40" i="13"/>
  <c r="F5" i="13" s="1"/>
  <c r="F40" i="13"/>
  <c r="G40" i="13"/>
  <c r="H40" i="13"/>
  <c r="I40" i="13"/>
  <c r="J40" i="13"/>
  <c r="J5" i="13" s="1"/>
  <c r="K40" i="13"/>
  <c r="L40" i="13"/>
  <c r="M40" i="13"/>
  <c r="N40" i="13"/>
  <c r="O40" i="13"/>
  <c r="P5" i="13" s="1"/>
  <c r="P40" i="13"/>
  <c r="Q40" i="13"/>
  <c r="R5" i="13" s="1"/>
  <c r="R40" i="13"/>
  <c r="V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V41" i="13" l="1"/>
  <c r="Z40" i="13"/>
  <c r="T5" i="13"/>
  <c r="X41" i="13"/>
  <c r="N191" i="6"/>
  <c r="L202" i="6"/>
  <c r="I192" i="6" l="1"/>
  <c r="I191" i="6"/>
  <c r="I194" i="6" s="1"/>
  <c r="L191" i="6"/>
  <c r="M202" i="6" s="1"/>
  <c r="N202" i="6" s="1"/>
  <c r="R196" i="6"/>
  <c r="Q196" i="6"/>
  <c r="O196" i="6"/>
  <c r="N196" i="6"/>
  <c r="M196" i="6"/>
  <c r="L196" i="6"/>
  <c r="I196" i="6"/>
  <c r="R199" i="6"/>
  <c r="Q199" i="6"/>
  <c r="O199" i="6"/>
  <c r="N199" i="6"/>
  <c r="M199" i="6"/>
  <c r="L199" i="6"/>
  <c r="I199" i="6"/>
  <c r="R195" i="6"/>
  <c r="Q195" i="6"/>
  <c r="O195" i="6"/>
  <c r="N195" i="6"/>
  <c r="M195" i="6"/>
  <c r="L195" i="6"/>
  <c r="I195" i="6"/>
  <c r="R194" i="6"/>
  <c r="Q194" i="6"/>
  <c r="O194" i="6"/>
  <c r="N194" i="6"/>
  <c r="M194" i="6"/>
  <c r="O192" i="6"/>
  <c r="V15" i="12"/>
  <c r="R40" i="12"/>
  <c r="N40" i="12"/>
  <c r="J40" i="12"/>
  <c r="F40" i="12"/>
  <c r="Y39" i="12"/>
  <c r="Y40" i="12" s="1"/>
  <c r="U39" i="12"/>
  <c r="R39" i="12"/>
  <c r="Q39" i="12"/>
  <c r="Q40" i="12" s="1"/>
  <c r="P39" i="12"/>
  <c r="P40" i="12" s="1"/>
  <c r="O39" i="12"/>
  <c r="O40" i="12" s="1"/>
  <c r="N39" i="12"/>
  <c r="M39" i="12"/>
  <c r="M40" i="12" s="1"/>
  <c r="L39" i="12"/>
  <c r="L40" i="12" s="1"/>
  <c r="K39" i="12"/>
  <c r="K40" i="12" s="1"/>
  <c r="J39" i="12"/>
  <c r="I39" i="12"/>
  <c r="I40" i="12" s="1"/>
  <c r="H39" i="12"/>
  <c r="H40" i="12" s="1"/>
  <c r="G39" i="12"/>
  <c r="G40" i="12" s="1"/>
  <c r="F39" i="12"/>
  <c r="E39" i="12"/>
  <c r="E40" i="12" s="1"/>
  <c r="D39" i="12"/>
  <c r="D40" i="12" s="1"/>
  <c r="C39" i="12"/>
  <c r="C40" i="12" s="1"/>
  <c r="T38" i="12"/>
  <c r="S38" i="12"/>
  <c r="T37" i="12"/>
  <c r="S37" i="12"/>
  <c r="T36" i="12"/>
  <c r="S36" i="12"/>
  <c r="Y35" i="12"/>
  <c r="X35" i="12"/>
  <c r="W35" i="12"/>
  <c r="V35" i="12"/>
  <c r="U35" i="12"/>
  <c r="T35" i="12"/>
  <c r="S35" i="12"/>
  <c r="Y34" i="12"/>
  <c r="X34" i="12"/>
  <c r="W34" i="12"/>
  <c r="V34" i="12"/>
  <c r="U34" i="12"/>
  <c r="T34" i="12"/>
  <c r="S34" i="12"/>
  <c r="Y33" i="12"/>
  <c r="X33" i="12"/>
  <c r="W33" i="12"/>
  <c r="V33" i="12"/>
  <c r="U33" i="12"/>
  <c r="T33" i="12"/>
  <c r="S33" i="12"/>
  <c r="Y32" i="12"/>
  <c r="X32" i="12"/>
  <c r="W32" i="12"/>
  <c r="V32" i="12"/>
  <c r="U32" i="12"/>
  <c r="T32" i="12"/>
  <c r="S32" i="12"/>
  <c r="Y31" i="12"/>
  <c r="X31" i="12"/>
  <c r="W31" i="12"/>
  <c r="V31" i="12"/>
  <c r="U31" i="12"/>
  <c r="T31" i="12"/>
  <c r="S31" i="12"/>
  <c r="Y30" i="12"/>
  <c r="X30" i="12"/>
  <c r="W30" i="12"/>
  <c r="V30" i="12"/>
  <c r="U30" i="12"/>
  <c r="T30" i="12"/>
  <c r="S30" i="12"/>
  <c r="Y29" i="12"/>
  <c r="X29" i="12"/>
  <c r="W29" i="12"/>
  <c r="V29" i="12"/>
  <c r="U29" i="12"/>
  <c r="T29" i="12"/>
  <c r="S29" i="12"/>
  <c r="Y28" i="12"/>
  <c r="X28" i="12"/>
  <c r="W28" i="12"/>
  <c r="V28" i="12"/>
  <c r="U28" i="12"/>
  <c r="T28" i="12"/>
  <c r="S28" i="12"/>
  <c r="Y27" i="12"/>
  <c r="X27" i="12"/>
  <c r="W27" i="12"/>
  <c r="V27" i="12"/>
  <c r="U27" i="12"/>
  <c r="T27" i="12"/>
  <c r="S27" i="12"/>
  <c r="Y26" i="12"/>
  <c r="X26" i="12"/>
  <c r="W26" i="12"/>
  <c r="V26" i="12"/>
  <c r="U26" i="12"/>
  <c r="T26" i="12"/>
  <c r="S26" i="12"/>
  <c r="Y25" i="12"/>
  <c r="X25" i="12"/>
  <c r="W25" i="12"/>
  <c r="V25" i="12"/>
  <c r="U25" i="12"/>
  <c r="T25" i="12"/>
  <c r="S25" i="12"/>
  <c r="Y24" i="12"/>
  <c r="X24" i="12"/>
  <c r="W24" i="12"/>
  <c r="V24" i="12"/>
  <c r="U24" i="12"/>
  <c r="T24" i="12"/>
  <c r="S24" i="12"/>
  <c r="Y23" i="12"/>
  <c r="X23" i="12"/>
  <c r="W23" i="12"/>
  <c r="V23" i="12"/>
  <c r="U23" i="12"/>
  <c r="T23" i="12"/>
  <c r="S23" i="12"/>
  <c r="Y22" i="12"/>
  <c r="X22" i="12"/>
  <c r="W22" i="12"/>
  <c r="V22" i="12"/>
  <c r="U22" i="12"/>
  <c r="T22" i="12"/>
  <c r="S22" i="12"/>
  <c r="Y21" i="12"/>
  <c r="X21" i="12"/>
  <c r="W21" i="12"/>
  <c r="V21" i="12"/>
  <c r="U21" i="12"/>
  <c r="T21" i="12"/>
  <c r="S21" i="12"/>
  <c r="Y20" i="12"/>
  <c r="X20" i="12"/>
  <c r="W20" i="12"/>
  <c r="V20" i="12"/>
  <c r="U20" i="12"/>
  <c r="T20" i="12"/>
  <c r="S20" i="12"/>
  <c r="Y19" i="12"/>
  <c r="X19" i="12"/>
  <c r="W19" i="12"/>
  <c r="V19" i="12"/>
  <c r="U19" i="12"/>
  <c r="T19" i="12"/>
  <c r="S19" i="12"/>
  <c r="Y18" i="12"/>
  <c r="X18" i="12"/>
  <c r="W18" i="12"/>
  <c r="V18" i="12"/>
  <c r="U18" i="12"/>
  <c r="T18" i="12"/>
  <c r="S18" i="12"/>
  <c r="Y17" i="12"/>
  <c r="X17" i="12"/>
  <c r="W17" i="12"/>
  <c r="V17" i="12"/>
  <c r="U17" i="12"/>
  <c r="T17" i="12"/>
  <c r="S17" i="12"/>
  <c r="Y16" i="12"/>
  <c r="X16" i="12"/>
  <c r="W16" i="12"/>
  <c r="V16" i="12"/>
  <c r="U16" i="12"/>
  <c r="T16" i="12"/>
  <c r="S16" i="12"/>
  <c r="Y15" i="12"/>
  <c r="X15" i="12"/>
  <c r="W15" i="12"/>
  <c r="U15" i="12"/>
  <c r="T15" i="12"/>
  <c r="S15" i="12"/>
  <c r="Y14" i="12"/>
  <c r="X14" i="12"/>
  <c r="W14" i="12"/>
  <c r="V14" i="12"/>
  <c r="U14" i="12"/>
  <c r="T14" i="12"/>
  <c r="S14" i="12"/>
  <c r="Y13" i="12"/>
  <c r="X13" i="12"/>
  <c r="W13" i="12"/>
  <c r="V13" i="12"/>
  <c r="U13" i="12"/>
  <c r="T13" i="12"/>
  <c r="S13" i="12"/>
  <c r="Y12" i="12"/>
  <c r="X12" i="12"/>
  <c r="W12" i="12"/>
  <c r="V12" i="12"/>
  <c r="U12" i="12"/>
  <c r="T12" i="12"/>
  <c r="S12" i="12"/>
  <c r="Y11" i="12"/>
  <c r="X11" i="12"/>
  <c r="W11" i="12"/>
  <c r="V11" i="12"/>
  <c r="U11" i="12"/>
  <c r="T11" i="12"/>
  <c r="S11" i="12"/>
  <c r="Y10" i="12"/>
  <c r="X10" i="12"/>
  <c r="W10" i="12"/>
  <c r="V10" i="12"/>
  <c r="U10" i="12"/>
  <c r="T10" i="12"/>
  <c r="S10" i="12"/>
  <c r="Y9" i="12"/>
  <c r="X9" i="12"/>
  <c r="W9" i="12"/>
  <c r="V9" i="12"/>
  <c r="U9" i="12"/>
  <c r="T9" i="12"/>
  <c r="S9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Y8" i="12"/>
  <c r="X8" i="12"/>
  <c r="X39" i="12" s="1"/>
  <c r="W8" i="12"/>
  <c r="W39" i="12" s="1"/>
  <c r="X40" i="12" s="1"/>
  <c r="V8" i="12"/>
  <c r="V39" i="12" s="1"/>
  <c r="U8" i="12"/>
  <c r="T8" i="12"/>
  <c r="T39" i="12" s="1"/>
  <c r="S8" i="12"/>
  <c r="S39" i="12" s="1"/>
  <c r="R7" i="12"/>
  <c r="P7" i="12"/>
  <c r="N7" i="12"/>
  <c r="L7" i="12"/>
  <c r="J7" i="12"/>
  <c r="H7" i="12"/>
  <c r="F7" i="12"/>
  <c r="D7" i="12"/>
  <c r="R5" i="12"/>
  <c r="P5" i="12"/>
  <c r="H5" i="12"/>
  <c r="F5" i="12"/>
  <c r="D5" i="12"/>
  <c r="L197" i="6" l="1"/>
  <c r="L194" i="6"/>
  <c r="N197" i="6"/>
  <c r="N198" i="6" s="1"/>
  <c r="N200" i="6" s="1"/>
  <c r="I197" i="6"/>
  <c r="I198" i="6" s="1"/>
  <c r="I200" i="6" s="1"/>
  <c r="O197" i="6"/>
  <c r="O198" i="6" s="1"/>
  <c r="O200" i="6" s="1"/>
  <c r="M197" i="6"/>
  <c r="M198" i="6" s="1"/>
  <c r="M200" i="6" s="1"/>
  <c r="Q197" i="6"/>
  <c r="Q198" i="6" s="1"/>
  <c r="Q200" i="6" s="1"/>
  <c r="R197" i="6"/>
  <c r="R198" i="6" s="1"/>
  <c r="R200" i="6" s="1"/>
  <c r="J192" i="6"/>
  <c r="V40" i="12"/>
  <c r="J5" i="12"/>
  <c r="I158" i="6"/>
  <c r="L157" i="6"/>
  <c r="N160" i="6"/>
  <c r="R162" i="6"/>
  <c r="Q162" i="6"/>
  <c r="O162" i="6"/>
  <c r="N162" i="6"/>
  <c r="M162" i="6"/>
  <c r="L162" i="6"/>
  <c r="I162" i="6"/>
  <c r="R161" i="6"/>
  <c r="Q161" i="6"/>
  <c r="O161" i="6"/>
  <c r="N161" i="6"/>
  <c r="M161" i="6"/>
  <c r="L161" i="6"/>
  <c r="I161" i="6"/>
  <c r="I157" i="6"/>
  <c r="X34" i="10"/>
  <c r="Y32" i="10"/>
  <c r="W28" i="10"/>
  <c r="Y29" i="10"/>
  <c r="Y28" i="10"/>
  <c r="Y27" i="10"/>
  <c r="Y26" i="10"/>
  <c r="Y25" i="10"/>
  <c r="Q40" i="10"/>
  <c r="P40" i="10"/>
  <c r="M40" i="10"/>
  <c r="L40" i="10"/>
  <c r="I40" i="10"/>
  <c r="H40" i="10"/>
  <c r="E40" i="10"/>
  <c r="D40" i="10"/>
  <c r="R39" i="10"/>
  <c r="R40" i="10" s="1"/>
  <c r="Q39" i="10"/>
  <c r="P39" i="10"/>
  <c r="O39" i="10"/>
  <c r="O40" i="10" s="1"/>
  <c r="N39" i="10"/>
  <c r="N40" i="10" s="1"/>
  <c r="M39" i="10"/>
  <c r="L39" i="10"/>
  <c r="K39" i="10"/>
  <c r="K40" i="10" s="1"/>
  <c r="J39" i="10"/>
  <c r="J40" i="10" s="1"/>
  <c r="I39" i="10"/>
  <c r="H39" i="10"/>
  <c r="G39" i="10"/>
  <c r="H5" i="10" s="1"/>
  <c r="F39" i="10"/>
  <c r="F40" i="10" s="1"/>
  <c r="E39" i="10"/>
  <c r="D39" i="10"/>
  <c r="C39" i="10"/>
  <c r="C40" i="10" s="1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X29" i="10"/>
  <c r="W29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V19" i="10"/>
  <c r="U19" i="10"/>
  <c r="T19" i="10"/>
  <c r="S19" i="10"/>
  <c r="V18" i="10"/>
  <c r="U18" i="10"/>
  <c r="U32" i="10" s="1"/>
  <c r="T18" i="10"/>
  <c r="S18" i="10"/>
  <c r="V17" i="10"/>
  <c r="V32" i="10" s="1"/>
  <c r="U17" i="10"/>
  <c r="T17" i="10"/>
  <c r="S17" i="10"/>
  <c r="V16" i="10"/>
  <c r="U16" i="10"/>
  <c r="T16" i="10"/>
  <c r="S16" i="10"/>
  <c r="V15" i="10"/>
  <c r="U15" i="10"/>
  <c r="T15" i="10"/>
  <c r="S15" i="10"/>
  <c r="X14" i="10"/>
  <c r="W14" i="10"/>
  <c r="T14" i="10"/>
  <c r="S14" i="10"/>
  <c r="X13" i="10"/>
  <c r="W13" i="10"/>
  <c r="T13" i="10"/>
  <c r="S13" i="10"/>
  <c r="X12" i="10"/>
  <c r="W12" i="10"/>
  <c r="T12" i="10"/>
  <c r="S12" i="10"/>
  <c r="X11" i="10"/>
  <c r="W11" i="10"/>
  <c r="T11" i="10"/>
  <c r="S11" i="10"/>
  <c r="X10" i="10"/>
  <c r="W10" i="10"/>
  <c r="T10" i="10"/>
  <c r="S10" i="10"/>
  <c r="X9" i="10"/>
  <c r="X32" i="10" s="1"/>
  <c r="W9" i="10"/>
  <c r="T9" i="10"/>
  <c r="S9" i="10"/>
  <c r="S39" i="10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T8" i="10"/>
  <c r="T39" i="10" s="1"/>
  <c r="S8" i="10"/>
  <c r="R7" i="10"/>
  <c r="P7" i="10"/>
  <c r="N7" i="10"/>
  <c r="L7" i="10"/>
  <c r="J7" i="10"/>
  <c r="H7" i="10"/>
  <c r="F7" i="10"/>
  <c r="D7" i="10"/>
  <c r="P5" i="10"/>
  <c r="D5" i="10"/>
  <c r="Q40" i="11"/>
  <c r="P40" i="11"/>
  <c r="M40" i="11"/>
  <c r="L40" i="11"/>
  <c r="I40" i="11"/>
  <c r="H40" i="11"/>
  <c r="E40" i="11"/>
  <c r="D40" i="11"/>
  <c r="R39" i="11"/>
  <c r="R40" i="11" s="1"/>
  <c r="Q39" i="11"/>
  <c r="P39" i="11"/>
  <c r="O39" i="11"/>
  <c r="O40" i="11" s="1"/>
  <c r="N39" i="11"/>
  <c r="N40" i="11" s="1"/>
  <c r="M39" i="11"/>
  <c r="L39" i="11"/>
  <c r="K39" i="11"/>
  <c r="K40" i="11" s="1"/>
  <c r="J39" i="11"/>
  <c r="J40" i="11" s="1"/>
  <c r="I39" i="11"/>
  <c r="H39" i="11"/>
  <c r="G39" i="11"/>
  <c r="G40" i="11" s="1"/>
  <c r="F39" i="11"/>
  <c r="F40" i="11" s="1"/>
  <c r="E39" i="11"/>
  <c r="D39" i="11"/>
  <c r="C39" i="11"/>
  <c r="C40" i="11" s="1"/>
  <c r="T38" i="11"/>
  <c r="S38" i="11"/>
  <c r="T37" i="11"/>
  <c r="S37" i="11"/>
  <c r="T36" i="11"/>
  <c r="S36" i="11"/>
  <c r="T35" i="11"/>
  <c r="S35" i="11"/>
  <c r="T34" i="11"/>
  <c r="S34" i="11"/>
  <c r="T33" i="11"/>
  <c r="S33" i="11"/>
  <c r="T32" i="11"/>
  <c r="S32" i="11"/>
  <c r="T31" i="11"/>
  <c r="S31" i="11"/>
  <c r="T30" i="11"/>
  <c r="S30" i="11"/>
  <c r="T29" i="11"/>
  <c r="S29" i="11"/>
  <c r="T28" i="11"/>
  <c r="S28" i="11"/>
  <c r="U27" i="11"/>
  <c r="T27" i="11"/>
  <c r="S27" i="11"/>
  <c r="U26" i="11"/>
  <c r="T26" i="11"/>
  <c r="S26" i="11"/>
  <c r="U25" i="11"/>
  <c r="T25" i="11"/>
  <c r="S25" i="11"/>
  <c r="T24" i="11"/>
  <c r="S24" i="11"/>
  <c r="T23" i="11"/>
  <c r="S23" i="11"/>
  <c r="T22" i="11"/>
  <c r="S22" i="11"/>
  <c r="T21" i="11"/>
  <c r="S21" i="11"/>
  <c r="X20" i="11"/>
  <c r="W20" i="11"/>
  <c r="T20" i="11"/>
  <c r="S20" i="11"/>
  <c r="X19" i="11"/>
  <c r="W19" i="11"/>
  <c r="T19" i="11"/>
  <c r="S19" i="11"/>
  <c r="X18" i="11"/>
  <c r="W18" i="11"/>
  <c r="T18" i="11"/>
  <c r="S18" i="11"/>
  <c r="X17" i="11"/>
  <c r="W17" i="11"/>
  <c r="W30" i="11" s="1"/>
  <c r="X32" i="11" s="1"/>
  <c r="T17" i="11"/>
  <c r="S17" i="11"/>
  <c r="X16" i="11"/>
  <c r="X30" i="11" s="1"/>
  <c r="W16" i="11"/>
  <c r="T16" i="11"/>
  <c r="S16" i="11"/>
  <c r="X15" i="11"/>
  <c r="W15" i="11"/>
  <c r="T15" i="11"/>
  <c r="S15" i="11"/>
  <c r="V14" i="11"/>
  <c r="U14" i="11"/>
  <c r="T14" i="11"/>
  <c r="S14" i="11"/>
  <c r="V13" i="11"/>
  <c r="U13" i="11"/>
  <c r="T13" i="11"/>
  <c r="S13" i="11"/>
  <c r="V12" i="11"/>
  <c r="U12" i="11"/>
  <c r="T12" i="11"/>
  <c r="S12" i="11"/>
  <c r="V11" i="11"/>
  <c r="U11" i="11"/>
  <c r="T11" i="11"/>
  <c r="S11" i="11"/>
  <c r="S39" i="11" s="1"/>
  <c r="V10" i="11"/>
  <c r="U10" i="11"/>
  <c r="T10" i="11"/>
  <c r="S10" i="11"/>
  <c r="V9" i="11"/>
  <c r="V30" i="11" s="1"/>
  <c r="U9" i="11"/>
  <c r="U30" i="11" s="1"/>
  <c r="V32" i="11" s="1"/>
  <c r="T9" i="11"/>
  <c r="S9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T8" i="11"/>
  <c r="T39" i="11" s="1"/>
  <c r="S8" i="11"/>
  <c r="R7" i="11"/>
  <c r="P7" i="11"/>
  <c r="N7" i="11"/>
  <c r="L7" i="11"/>
  <c r="J7" i="11"/>
  <c r="H7" i="11"/>
  <c r="F7" i="11"/>
  <c r="D7" i="11"/>
  <c r="P5" i="11"/>
  <c r="J5" i="11"/>
  <c r="H5" i="11"/>
  <c r="D5" i="11"/>
  <c r="L198" i="6" l="1"/>
  <c r="L200" i="6" s="1"/>
  <c r="L163" i="6"/>
  <c r="Q163" i="6"/>
  <c r="O163" i="6"/>
  <c r="N163" i="6"/>
  <c r="N164" i="6" s="1"/>
  <c r="M163" i="6"/>
  <c r="R163" i="6"/>
  <c r="I163" i="6"/>
  <c r="W32" i="10"/>
  <c r="X33" i="10" s="1"/>
  <c r="V33" i="10"/>
  <c r="F5" i="10"/>
  <c r="J5" i="10"/>
  <c r="G40" i="10"/>
  <c r="R5" i="10"/>
  <c r="F5" i="11"/>
  <c r="R5" i="11"/>
  <c r="R157" i="6" l="1"/>
  <c r="R160" i="6" s="1"/>
  <c r="R164" i="6" s="1"/>
  <c r="I160" i="6"/>
  <c r="I164" i="6" s="1"/>
  <c r="R165" i="6"/>
  <c r="Q165" i="6"/>
  <c r="O165" i="6"/>
  <c r="N165" i="6"/>
  <c r="N166" i="6" s="1"/>
  <c r="M165" i="6"/>
  <c r="L165" i="6"/>
  <c r="I165" i="6"/>
  <c r="Q160" i="6"/>
  <c r="Q164" i="6" s="1"/>
  <c r="O160" i="6"/>
  <c r="O164" i="6" s="1"/>
  <c r="M160" i="6"/>
  <c r="M164" i="6" s="1"/>
  <c r="L160" i="6"/>
  <c r="L164" i="6" s="1"/>
  <c r="O158" i="6"/>
  <c r="O166" i="6" l="1"/>
  <c r="I166" i="6"/>
  <c r="L166" i="6"/>
  <c r="Q166" i="6"/>
  <c r="M166" i="6"/>
  <c r="R166" i="6"/>
  <c r="J158" i="6"/>
  <c r="I133" i="6"/>
  <c r="N132" i="6"/>
  <c r="R133" i="6"/>
  <c r="Q133" i="6"/>
  <c r="R129" i="6"/>
  <c r="R132" i="6" s="1"/>
  <c r="I129" i="6"/>
  <c r="I132" i="6" s="1"/>
  <c r="P135" i="6"/>
  <c r="R134" i="6"/>
  <c r="Q134" i="6"/>
  <c r="O134" i="6"/>
  <c r="N134" i="6"/>
  <c r="M134" i="6"/>
  <c r="L134" i="6"/>
  <c r="I134" i="6"/>
  <c r="O133" i="6"/>
  <c r="N133" i="6"/>
  <c r="M133" i="6"/>
  <c r="L133" i="6"/>
  <c r="Q132" i="6"/>
  <c r="O132" i="6"/>
  <c r="M132" i="6"/>
  <c r="L132" i="6"/>
  <c r="O130" i="6"/>
  <c r="I130" i="6"/>
  <c r="D47" i="9"/>
  <c r="E43" i="9"/>
  <c r="E44" i="9" s="1"/>
  <c r="C43" i="9"/>
  <c r="C44" i="9" s="1"/>
  <c r="E40" i="9"/>
  <c r="D40" i="9"/>
  <c r="R39" i="9"/>
  <c r="R5" i="9" s="1"/>
  <c r="Q39" i="9"/>
  <c r="Q40" i="9" s="1"/>
  <c r="P39" i="9"/>
  <c r="P40" i="9" s="1"/>
  <c r="O39" i="9"/>
  <c r="O40" i="9" s="1"/>
  <c r="N39" i="9"/>
  <c r="N40" i="9" s="1"/>
  <c r="M39" i="9"/>
  <c r="M40" i="9" s="1"/>
  <c r="L39" i="9"/>
  <c r="L40" i="9" s="1"/>
  <c r="K39" i="9"/>
  <c r="K40" i="9" s="1"/>
  <c r="J39" i="9"/>
  <c r="J5" i="9" s="1"/>
  <c r="I39" i="9"/>
  <c r="H39" i="9"/>
  <c r="H40" i="9" s="1"/>
  <c r="G39" i="9"/>
  <c r="G44" i="9" s="1"/>
  <c r="F39" i="9"/>
  <c r="F5" i="9" s="1"/>
  <c r="E39" i="9"/>
  <c r="D39" i="9"/>
  <c r="C39" i="9"/>
  <c r="C40" i="9" s="1"/>
  <c r="T38" i="9"/>
  <c r="S38" i="9"/>
  <c r="T37" i="9"/>
  <c r="S37" i="9"/>
  <c r="T36" i="9"/>
  <c r="S36" i="9"/>
  <c r="T35" i="9"/>
  <c r="S35" i="9"/>
  <c r="T34" i="9"/>
  <c r="S34" i="9"/>
  <c r="T33" i="9"/>
  <c r="S33" i="9"/>
  <c r="T32" i="9"/>
  <c r="S32" i="9"/>
  <c r="T31" i="9"/>
  <c r="S31" i="9"/>
  <c r="T30" i="9"/>
  <c r="S30" i="9"/>
  <c r="T29" i="9"/>
  <c r="S29" i="9"/>
  <c r="T28" i="9"/>
  <c r="S28" i="9"/>
  <c r="T27" i="9"/>
  <c r="S27" i="9"/>
  <c r="T26" i="9"/>
  <c r="S26" i="9"/>
  <c r="T25" i="9"/>
  <c r="S25" i="9"/>
  <c r="T24" i="9"/>
  <c r="S24" i="9"/>
  <c r="T23" i="9"/>
  <c r="S23" i="9"/>
  <c r="T22" i="9"/>
  <c r="S22" i="9"/>
  <c r="T21" i="9"/>
  <c r="S21" i="9"/>
  <c r="T20" i="9"/>
  <c r="S20" i="9"/>
  <c r="AB19" i="9"/>
  <c r="AA19" i="9"/>
  <c r="T19" i="9"/>
  <c r="S19" i="9"/>
  <c r="AB18" i="9"/>
  <c r="AA18" i="9"/>
  <c r="T18" i="9"/>
  <c r="S18" i="9"/>
  <c r="AB17" i="9"/>
  <c r="AA17" i="9"/>
  <c r="T17" i="9"/>
  <c r="S17" i="9"/>
  <c r="AB16" i="9"/>
  <c r="AA16" i="9"/>
  <c r="T16" i="9"/>
  <c r="S16" i="9"/>
  <c r="AB15" i="9"/>
  <c r="AB21" i="9" s="1"/>
  <c r="AA15" i="9"/>
  <c r="T15" i="9"/>
  <c r="S15" i="9"/>
  <c r="Z14" i="9"/>
  <c r="Y14" i="9"/>
  <c r="T14" i="9"/>
  <c r="S14" i="9"/>
  <c r="Z13" i="9"/>
  <c r="Y13" i="9"/>
  <c r="T13" i="9"/>
  <c r="S13" i="9"/>
  <c r="Z12" i="9"/>
  <c r="Y12" i="9"/>
  <c r="T12" i="9"/>
  <c r="S12" i="9"/>
  <c r="Z11" i="9"/>
  <c r="Y11" i="9"/>
  <c r="T11" i="9"/>
  <c r="S11" i="9"/>
  <c r="Z10" i="9"/>
  <c r="Y10" i="9"/>
  <c r="T10" i="9"/>
  <c r="S10" i="9"/>
  <c r="Z9" i="9"/>
  <c r="Y9" i="9"/>
  <c r="Y21" i="9" s="1"/>
  <c r="T9" i="9"/>
  <c r="S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T8" i="9"/>
  <c r="T39" i="9" s="1"/>
  <c r="S8" i="9"/>
  <c r="R7" i="9"/>
  <c r="P7" i="9"/>
  <c r="N7" i="9"/>
  <c r="L7" i="9"/>
  <c r="J7" i="9"/>
  <c r="H7" i="9"/>
  <c r="F7" i="9"/>
  <c r="D7" i="9"/>
  <c r="J130" i="6" l="1"/>
  <c r="L135" i="6"/>
  <c r="L136" i="6" s="1"/>
  <c r="M135" i="6"/>
  <c r="N135" i="6"/>
  <c r="N136" i="6" s="1"/>
  <c r="O135" i="6"/>
  <c r="R135" i="6"/>
  <c r="R136" i="6" s="1"/>
  <c r="D5" i="9"/>
  <c r="AA21" i="9"/>
  <c r="AB22" i="9" s="1"/>
  <c r="P5" i="9"/>
  <c r="I44" i="9"/>
  <c r="H5" i="9"/>
  <c r="Z21" i="9"/>
  <c r="Z22" i="9" s="1"/>
  <c r="S39" i="9"/>
  <c r="I40" i="9"/>
  <c r="I135" i="6"/>
  <c r="Q135" i="6"/>
  <c r="F40" i="9"/>
  <c r="J40" i="9"/>
  <c r="R40" i="9"/>
  <c r="G40" i="9"/>
  <c r="I107" i="6"/>
  <c r="I106" i="6"/>
  <c r="I102" i="6"/>
  <c r="R106" i="6" l="1"/>
  <c r="Q106" i="6"/>
  <c r="I103" i="6" l="1"/>
  <c r="O106" i="6"/>
  <c r="N106" i="6"/>
  <c r="M106" i="6"/>
  <c r="L106" i="6"/>
  <c r="R102" i="6" l="1"/>
  <c r="R107" i="6"/>
  <c r="Q107" i="6"/>
  <c r="O107" i="6"/>
  <c r="N107" i="6"/>
  <c r="L107" i="6"/>
  <c r="M107" i="6"/>
  <c r="J103" i="6" l="1"/>
  <c r="P108" i="6"/>
  <c r="R105" i="6"/>
  <c r="R108" i="6" s="1"/>
  <c r="Q105" i="6"/>
  <c r="Q108" i="6" s="1"/>
  <c r="O105" i="6"/>
  <c r="O108" i="6" s="1"/>
  <c r="M105" i="6"/>
  <c r="M108" i="6" s="1"/>
  <c r="L105" i="6"/>
  <c r="L108" i="6" s="1"/>
  <c r="O103" i="6"/>
  <c r="N105" i="6"/>
  <c r="N108" i="6" s="1"/>
  <c r="I105" i="6"/>
  <c r="I108" i="6" s="1"/>
  <c r="L3" i="7" l="1"/>
  <c r="L4" i="7"/>
  <c r="L5" i="7"/>
  <c r="L6" i="7"/>
  <c r="I77" i="6" l="1"/>
  <c r="I87" i="6" s="1"/>
  <c r="P82" i="6"/>
  <c r="L81" i="6"/>
  <c r="R80" i="6"/>
  <c r="Q80" i="6"/>
  <c r="O80" i="6"/>
  <c r="M80" i="6"/>
  <c r="L80" i="6"/>
  <c r="I78" i="6"/>
  <c r="O78" i="6"/>
  <c r="L78" i="6"/>
  <c r="N77" i="6"/>
  <c r="N80" i="6" s="1"/>
  <c r="F73" i="6"/>
  <c r="F72" i="6"/>
  <c r="C72" i="6"/>
  <c r="G70" i="6"/>
  <c r="O81" i="6" s="1"/>
  <c r="C70" i="6"/>
  <c r="Q81" i="6" s="1"/>
  <c r="Q82" i="6" s="1"/>
  <c r="F29" i="7"/>
  <c r="F28" i="7"/>
  <c r="C28" i="7"/>
  <c r="G26" i="7"/>
  <c r="C26" i="7"/>
  <c r="F25" i="7"/>
  <c r="C24" i="7"/>
  <c r="C21" i="7"/>
  <c r="C20" i="7"/>
  <c r="O10" i="7"/>
  <c r="N10" i="7"/>
  <c r="M10" i="7"/>
  <c r="L10" i="7"/>
  <c r="O6" i="7"/>
  <c r="N6" i="7"/>
  <c r="M6" i="7"/>
  <c r="O5" i="7"/>
  <c r="N5" i="7"/>
  <c r="M5" i="7"/>
  <c r="O4" i="7"/>
  <c r="N4" i="7"/>
  <c r="M4" i="7"/>
  <c r="H4" i="7"/>
  <c r="O3" i="7"/>
  <c r="N3" i="7"/>
  <c r="M3" i="7"/>
  <c r="I80" i="6" l="1"/>
  <c r="O82" i="6"/>
  <c r="L82" i="6"/>
  <c r="R81" i="6"/>
  <c r="R82" i="6" s="1"/>
  <c r="N81" i="6"/>
  <c r="N82" i="6" s="1"/>
  <c r="I82" i="6"/>
  <c r="M81" i="6"/>
  <c r="M82" i="6" s="1"/>
  <c r="J78" i="6"/>
  <c r="O59" i="6"/>
  <c r="L59" i="6"/>
  <c r="I59" i="6"/>
  <c r="N58" i="6"/>
  <c r="I58" i="6"/>
  <c r="F54" i="6"/>
  <c r="F53" i="6"/>
  <c r="C53" i="6"/>
  <c r="C52" i="6"/>
  <c r="G51" i="6"/>
  <c r="F51" i="6"/>
  <c r="C51" i="6"/>
  <c r="F50" i="6"/>
  <c r="C49" i="6"/>
  <c r="R48" i="6"/>
  <c r="Q48" i="6"/>
  <c r="O48" i="6"/>
  <c r="N48" i="6"/>
  <c r="L48" i="6"/>
  <c r="H48" i="6"/>
  <c r="I48" i="6" s="1"/>
  <c r="H47" i="6"/>
  <c r="I47" i="6" s="1"/>
  <c r="O46" i="6"/>
  <c r="N46" i="6"/>
  <c r="L46" i="6"/>
  <c r="C46" i="6"/>
  <c r="H46" i="6" s="1"/>
  <c r="I46" i="6" s="1"/>
  <c r="C45" i="6"/>
  <c r="R46" i="6" s="1"/>
  <c r="R44" i="6"/>
  <c r="Q44" i="6"/>
  <c r="O44" i="6"/>
  <c r="N44" i="6"/>
  <c r="L44" i="6"/>
  <c r="H44" i="6"/>
  <c r="I44" i="6" s="1"/>
  <c r="H43" i="6"/>
  <c r="I43" i="6" s="1"/>
  <c r="H45" i="6" l="1"/>
  <c r="I45" i="6" s="1"/>
  <c r="J46" i="6" s="1"/>
  <c r="K46" i="6" s="1"/>
  <c r="J44" i="6"/>
  <c r="K44" i="6" s="1"/>
  <c r="J48" i="6"/>
  <c r="K48" i="6" s="1"/>
  <c r="J59" i="6"/>
  <c r="Q46" i="6"/>
  <c r="M27" i="6"/>
  <c r="S25" i="6" l="1"/>
  <c r="T25" i="6" s="1"/>
  <c r="R27" i="6"/>
  <c r="S27" i="6" s="1"/>
  <c r="L30" i="6" l="1"/>
  <c r="L28" i="6"/>
  <c r="R28" i="6"/>
  <c r="Q28" i="6"/>
  <c r="O28" i="6"/>
  <c r="M28" i="6"/>
  <c r="I25" i="6"/>
  <c r="I24" i="6"/>
  <c r="O25" i="6"/>
  <c r="L25" i="6"/>
  <c r="N24" i="6"/>
  <c r="N28" i="6" s="1"/>
  <c r="F16" i="6"/>
  <c r="L29" i="6" s="1"/>
  <c r="C15" i="6"/>
  <c r="C18" i="6" l="1"/>
  <c r="C17" i="6"/>
  <c r="C19" i="6"/>
  <c r="F20" i="6"/>
  <c r="F19" i="6"/>
  <c r="G17" i="6"/>
  <c r="L33" i="6" s="1"/>
  <c r="F17" i="6"/>
  <c r="L32" i="6" s="1"/>
  <c r="J25" i="6"/>
  <c r="R14" i="6"/>
  <c r="Q14" i="6"/>
  <c r="O14" i="6"/>
  <c r="N14" i="6"/>
  <c r="L14" i="6"/>
  <c r="H14" i="6"/>
  <c r="I14" i="6" s="1"/>
  <c r="H13" i="6"/>
  <c r="I13" i="6" s="1"/>
  <c r="O12" i="6"/>
  <c r="N12" i="6"/>
  <c r="L12" i="6"/>
  <c r="C12" i="6"/>
  <c r="H12" i="6" s="1"/>
  <c r="I12" i="6" s="1"/>
  <c r="C11" i="6"/>
  <c r="H11" i="6" s="1"/>
  <c r="I11" i="6" s="1"/>
  <c r="R10" i="6"/>
  <c r="Q10" i="6"/>
  <c r="O10" i="6"/>
  <c r="N10" i="6"/>
  <c r="L10" i="6"/>
  <c r="H10" i="6"/>
  <c r="I10" i="6" s="1"/>
  <c r="H9" i="6"/>
  <c r="I9" i="6" s="1"/>
  <c r="R12" i="6" l="1"/>
  <c r="J10" i="6"/>
  <c r="K10" i="6" s="1"/>
  <c r="J12" i="6"/>
  <c r="K12" i="6" s="1"/>
  <c r="J14" i="6"/>
  <c r="K14" i="6" s="1"/>
  <c r="Q12" i="6"/>
  <c r="H24" i="1" l="1"/>
  <c r="I22" i="1"/>
  <c r="H22" i="1"/>
  <c r="H23" i="1"/>
  <c r="F23" i="1"/>
  <c r="M23" i="1"/>
  <c r="N16" i="1" l="1"/>
  <c r="Q16" i="1"/>
  <c r="K14" i="1"/>
  <c r="K12" i="1"/>
  <c r="I16" i="1"/>
  <c r="J17" i="1" s="1"/>
  <c r="L17" i="1"/>
  <c r="O18" i="1"/>
  <c r="O19" i="1" s="1"/>
  <c r="N18" i="1"/>
  <c r="N19" i="1" s="1"/>
  <c r="L18" i="1"/>
  <c r="L19" i="1" s="1"/>
  <c r="M14" i="1"/>
  <c r="M12" i="1"/>
  <c r="Q14" i="1"/>
  <c r="Q10" i="1"/>
  <c r="Q18" i="1" s="1"/>
  <c r="P14" i="1"/>
  <c r="P10" i="1"/>
  <c r="P18" i="1" s="1"/>
  <c r="N14" i="1"/>
  <c r="N12" i="1"/>
  <c r="N10" i="1"/>
  <c r="M10" i="1"/>
  <c r="M18" i="1" s="1"/>
  <c r="M19" i="1" s="1"/>
  <c r="L14" i="1"/>
  <c r="L12" i="1"/>
  <c r="L10" i="1"/>
  <c r="I17" i="1"/>
  <c r="H10" i="1"/>
  <c r="I10" i="1" s="1"/>
  <c r="C12" i="1"/>
  <c r="C11" i="1"/>
  <c r="H11" i="1" s="1"/>
  <c r="I11" i="1" s="1"/>
  <c r="H14" i="1"/>
  <c r="I14" i="1" s="1"/>
  <c r="H13" i="1"/>
  <c r="I13" i="1" s="1"/>
  <c r="H12" i="1"/>
  <c r="I12" i="1" s="1"/>
  <c r="H9" i="1"/>
  <c r="I9" i="1" s="1"/>
  <c r="Q19" i="1" l="1"/>
  <c r="P19" i="1"/>
  <c r="P12" i="1"/>
  <c r="Q12" i="1"/>
  <c r="J14" i="1"/>
  <c r="J12" i="1"/>
  <c r="J10" i="1"/>
  <c r="K10" i="1" s="1"/>
</calcChain>
</file>

<file path=xl/comments1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CA7D6=12250 Nos.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CA7D6=11060 Nos.
CB7D6=17500 Nos.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CC7D6=4800 Nos.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CB7D6=5810 Nos.
CD7D6=7070 Nos.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CC7D6=1080 Nos.
CD7D6=4152 Nos.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CA7D6=7875 Nos.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CA7D6=15400 Nos.
CB7D6=14000 Nos.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CB7D6=09275 Nos.
CC7D6=21000 Nos.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CC7D6=02275 Nos.
CD7D6=23275 Nos.
CE7D6=05775 Nos.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CE7D6=17500 Nos.
CF7D6=14875 Nos.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CF7D6=08400 Nos.
CG7D6=10500 Nos.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CG7D6=12775 Nos.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CH7D6=23275 Nos.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CL7D6=600 Nos.
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CH7D6=5952 Nos.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CL7D6  = 5352 Nos.
CM7D6 = 6000 Nos.
CN7D6 = 1920 Nos.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CA7D6=12250 Nos.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CA7D6=11060 Nos.
CB7D6=17500 Nos.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CC7D6=4800 Nos.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CB7D6=5810 Nos.
CD7D6=7070 Nos.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CC7D6=1080 Nos.
CD7D6=4152 Nos.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CA7D6=7875 Nos.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CA7D6=15400 Nos.
CB7D6=14000 Nos.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CB7D6=09275 Nos.
CC7D6=21000 Nos.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CC7D6=02275 Nos.
CD7D6=23275 Nos.
CE7D6=05775 Nos.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5950 NOS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17290 NOS
BC7D6 = 07105 NOS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6000 NOS
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BD7D6 = 23170 NOS
BF7D6 = 03500 NOS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4032 NOS
BE7D6 = 5976 NOS
BG7D6 = 1440 NOS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BF7D6 = 19775 NOS
BH7D6 = 07000 NOS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4560 NOS
BK7D6 = 6096 NOS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09800 NOS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1680 NOS
BL7D6 = 3912 NOS
BM7D6 = 3288 NOS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6580 NOS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BL7D6 = 2088 NOS
BM7D6 = 2712 NOS
BN7D6 = 4368 NOS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12950 NOS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3840 NOS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10325 NOS
BC7D6 = 17500 NOS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2160 NOS
BD7D6 = 6000 NOS
BE7D6 = 0240 NOS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05600 NOS
BF7D6 = 23100 NOS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BE7D6 = 5760 NOS
BG7D6 = 3600 NOS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21875 NOS
BK7D6 = 09625 NOS
BL7D6 = 07875 NOS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2400 NOS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BK7D6 = 12460 NOS
BL7D6 = 21875 NOS
BM7D6 = 14000 NOS
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16345 NOS
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07105 NOS
BR7D6 = 19670 NOS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03780 NOS
BS7D6 = 23450 NOS
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5250 Nos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BT7D6 = 22750 Nos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17745 Nos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4848 Nos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BY7D6 = 20020 Nos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1176 Nos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BY7D6 = 03430 Nos
BZ7D6 = 16310 Nos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6230 Nos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BZ7D6 = 2765 Nos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BZ7D6 = 3920 Nos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17045 Nos
BP7D6 = 10500 Nos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12775 Nos
BR7D6 = 17500 Nos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05775 Nos
BS7D6 = 23275 Nos
BT7D6 = 05775 Nos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BT7D6 = 17500 Nos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5950 NOS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17290 NOS
BC7D6 = 07105 NOS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6000 NOS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BD7D6 = 23170 NOS
BF7D6 = 03500 NOS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4032 NOS
BE7D6 = 5976 NOS
BG7D6 = 1440 NOS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BF7D6 = 19775 NOS
BH7D6 = 07000 NOS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4560 NOS
BK7D6 = 6096 NOS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09800 NOS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1680 NOS
BL7D6 = 3912 NOS
BM7D6 = 3288 NOS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6580 NOS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BL7D6 = 2088 NOS
BM7D6 = 2712 NOS
BN7D6 = 4368 NOS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12950 NOS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3840 NOS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10325 NOS
BC7D6 = 17500 NOS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2160 NOS
BD7D6 = 6000 NOS
BE7D6 = 0240 NOS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05600 NOS
BF7D6 = 23100 NOS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BE7D6 = 5760 NOS
BG7D6 = 3600 NOS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21875 NOS
BK7D6 = 09625 NOS
BL7D6 = 07875 NOS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2400 NOS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BK7D6 = 12460 NOS
BL7D6 = 21875 NOS
BM7D6 = 14000 NOS
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16345 NOS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07105 NOS
BR7D6 = 19670 NOS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03780 NOS
BS7D6 = 23450 NOS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5250 Nos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BT7D6 = 22750 Nos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17745 Nos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4848 Nos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BY7D6 = 20020 Nos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1176 Nos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BY7D6 = 03430 Nos
BZ7D6 = 16310 Nos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6230 Nos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BZ7D6 = 2765 Nos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BZ7D6 = 3920 Nos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17045 Nos
BP7D6 = 10500 Nos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12775 Nos
BR7D6 = 17500 Nos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05775 Nos
BS7D6 = 23275 Nos
BT7D6 = 05775 Nos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BT7D6 = 17500 Nos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5950 NOS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17290 NOS
BC7D6 = 07105 NOS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6000 NOS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BD7D6 = 23170 NOS
BF7D6 = 03500 NOS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4032 NOS
BE7D6 = 5976 NOS
BG7D6 = 1440 NOS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BF7D6 = 19775 NOS
BH7D6 = 07000 NOS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4560 NOS
BK7D6 = 6096 NOS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09800 NOS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1680 NOS
BL7D6 = 3912 NOS
BM7D6 = 3288 NOS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6580 NOS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BL7D6 = 2088 NOS
BM7D6 = 2712 NOS
BN7D6 = 4368 NOS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12950 NOS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3840 NOS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10325 NOS
BC7D6 = 17500 NOS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2160 NOS
BD7D6 = 6000 NOS
BE7D6 = 0240 NOS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05600 NOS
BF7D6 = 23100 NOS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BE7D6 = 5760 NOS
BG7D6 = 3600 NOS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21875 NOS
BK7D6 = 09625 NOS
BL7D6 = 07875 NOS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2400 NOS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BK7D6 = 12460 NOS
BL7D6 = 21875 NOS
BM7D6 = 14000 NOS
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16345 NOS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07105 NOS
BR7D6 = 19670 NOS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03780 NOS
BS7D6 = 23450 NOS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5250 Nos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BT7D6 = 22750 Nos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17745 Nos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4848 Nos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BY7D6 = 20020 Nos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1176 Nos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BY7D6 = 03430 Nos
BZ7D6 = 16310 Nos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6230 Nos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BZ7D6 = 2765 Nos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BZ7D6 = 3920 Nos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17045 Nos
BP7D6 = 10500 Nos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12775 Nos
BR7D6 = 17500 Nos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5950 NOS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17290 NOS
BC7D6 = 07105 NOS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6000 NOS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BD7D6 = 23170 NOS
BF7D6 = 03500 NOS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4032 NOS
BE7D6 = 5976 NOS
BG7D6 = 1440 NOS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BF7D6 = 19775 NOS
BH7D6 = 07000 NOS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4560 NOS
BK7D6 = 6096 NOS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09800 NOS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1680 NOS
BL7D6 = 3912 NOS
BM7D6 = 3288 NOS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6580 NOS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BL7D6 = 2088 NOS
BM7D6 = 2712 NOS
BN7D6 = 4368 NOS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12950 NOS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3840 NOS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10325 NOS
BC7D6 = 17500 NOS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2160 NOS
BD7D6 = 6000 NOS
BE7D6 = 0240 NOS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05600 NOS
BF7D6 = 23100 NOS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BE7D6 = 5760 NOS
BG7D6 = 3600 NOS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21875 NOS
BK7D6 = 09625 NOS
BL7D6 = 07875 NOS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2400 NOS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BK7D6 = 12460 NOS
BL7D6 = 21875 NOS
BM7D6 = 14000 NOS
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16345 NOS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07105 NOS
BR7D6 = 19670 NOS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03780 NOS
BS7D6 = 23450 NOS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5250 Nos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BT7D6 = 22750 Nos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BW7D6 = 17745 Nos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BX7D6 = 4848 Nos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5950 NOS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17290 NOS
BC7D6 = 07105 NOS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6000 NOS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BD7D6 = 23170 NOS
BF7D6 = 03500 NOS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4032 NOS
BE7D6 = 5976 NOS
BG7D6 = 1440 NOS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BF7D6 = 19775 NOS
BH7D6 = 07000 NOS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4560 NOS
BK7D6 = 6096 NOS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09800 NOS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1680 NOS
BL7D6 = 3912 NOS
BM7D6 = 3288 NOS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6580 NOS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BL7D6 = 2088 NOS
BM7D6 = 2712 NOS
BN7D6 = 4368 NOS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12950 NOS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3840 NOS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10325 NOS
BC7D6 = 17500 NOS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2160 NOS
BD7D6 = 6000 NOS
BE7D6 = 0240 NOS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05600 NOS
BF7D6 = 23100 NOS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BE7D6 = 5760 NOS
BG7D6 = 3600 NOS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21875 NOS
BK7D6 = 09625 NOS
BL7D6 = 07875 NOS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2400 NOS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BK7D6 = 12460 NOS
BL7D6 = 21875 NOS
BM7D6 = 14000 NOS
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16345 NOS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BP7D6 = 07105 NOS
BR7D6 = 19670 NOS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BR7D6 = 03780 NOS
BS7D6 = 23450 NOS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5950 NOS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17290 NOS
BC7D6 = 07105 NOS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6000 NOS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BD7D6 = 23170 NOS
BF7D6 = 03500 NOS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4032 NOS
BE7D6 = 5976 NOS
BG7D6 = 1440 NOS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BF7D6 = 19775 NOS
BH7D6 = 07000 NOS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4560 NOS
BK7D6 = 6096 NOS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09800 NOS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1680 NOS
BL7D6 = 3912 NOS
BM7D6 = 3288 NOS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BN7D6 = 6580 NOS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BL7D6 = 2088 NOS
BM7D6 = 2712 NOS
BN7D6 = 4368 NOS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12950 NOS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3840 NOS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BA7D6 = 10325 NOS
BC7D6 = 17500 NOS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BB7D6 = 2160 NOS
BD7D6 = 6000 NOS
BE7D6 = 0240 NOS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BC7D6 = 05600 NOS
BF7D6 = 23100 NOS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BE7D6 = 5760 NOS
BG7D6 = 3600 NOS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BH7D6 = 21875 NOS
BK7D6 = 09625 NOS
BL7D6 = 07875 NOS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BG7D6 = 2400 NOS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BK7D6 = 12460 NOS
BL7D6 = 21875 NOS
BM7D6 = 14000 NOS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 xml:space="preserve">Sudden requirement as on 11th Jan 2017, VVF has to confirm 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Already produced will despatch before 18th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Already produced will despatch before 17th Jan 2017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Already produced will despatch before 15thJan</t>
        </r>
      </text>
    </comment>
  </commentList>
</comments>
</file>

<file path=xl/sharedStrings.xml><?xml version="1.0" encoding="utf-8"?>
<sst xmlns="http://schemas.openxmlformats.org/spreadsheetml/2006/main" count="1157" uniqueCount="200">
  <si>
    <t>Nov'16</t>
  </si>
  <si>
    <t>Dec'16</t>
  </si>
  <si>
    <t>Cooling Bridge</t>
  </si>
  <si>
    <t>100 gm</t>
  </si>
  <si>
    <t>400 gm</t>
  </si>
  <si>
    <t>Floral Bouquet</t>
  </si>
  <si>
    <t>Total</t>
  </si>
  <si>
    <t>Talc requirement</t>
  </si>
  <si>
    <t>Total (MT)</t>
  </si>
  <si>
    <t>Export (MT)</t>
  </si>
  <si>
    <t>Domestic (MT)</t>
  </si>
  <si>
    <t>LMC</t>
  </si>
  <si>
    <t>FrescolatML</t>
  </si>
  <si>
    <t>Sident22S</t>
  </si>
  <si>
    <t>Essential Oil</t>
  </si>
  <si>
    <t>Norms</t>
  </si>
  <si>
    <t>10kg/MT</t>
  </si>
  <si>
    <t>20Kg/MT</t>
  </si>
  <si>
    <t>10Kg/MT</t>
  </si>
  <si>
    <t>5Kg/MT</t>
  </si>
  <si>
    <t>20kg/MT</t>
  </si>
  <si>
    <t>970kg/MT</t>
  </si>
  <si>
    <t>Stock of Talc as of 19/10/16</t>
  </si>
  <si>
    <t>Open PO as of 19/10/16</t>
  </si>
  <si>
    <t>Revised &amp; latest Production plan for Oriflame Talc as of 19/10/16</t>
  </si>
  <si>
    <t>** October data is remaining quantity</t>
  </si>
  <si>
    <t>Oct'16**</t>
  </si>
  <si>
    <t>MT</t>
  </si>
  <si>
    <t>Nov'16 Requirement</t>
  </si>
  <si>
    <t>Op stock of Nov'16</t>
  </si>
  <si>
    <t>Requirement of Talc</t>
  </si>
  <si>
    <t>in transit</t>
  </si>
  <si>
    <t>To be shipped by 4th week of Oct'16</t>
  </si>
  <si>
    <t>Remarks</t>
  </si>
  <si>
    <t>Frag.Mint Nature (Firmenich)</t>
  </si>
  <si>
    <t>Jan'17</t>
  </si>
  <si>
    <t>Feb'17</t>
  </si>
  <si>
    <t>Mar'17</t>
  </si>
  <si>
    <t>Apr'17</t>
  </si>
  <si>
    <t>Stock of Talc as of 24/01/17</t>
  </si>
  <si>
    <t>LMC- REACH</t>
  </si>
  <si>
    <t>Open PO as of 24/01/17</t>
  </si>
  <si>
    <t>Jan</t>
  </si>
  <si>
    <t>Dom</t>
  </si>
  <si>
    <t>Exp</t>
  </si>
  <si>
    <t>Feb</t>
  </si>
  <si>
    <t>REVISED ON 27/01/17</t>
  </si>
  <si>
    <t>S.No.</t>
  </si>
  <si>
    <t>Destination</t>
  </si>
  <si>
    <t>Code</t>
  </si>
  <si>
    <t>DESCRIPTION</t>
  </si>
  <si>
    <t>Dec Pendin</t>
  </si>
  <si>
    <t>Jan plan</t>
  </si>
  <si>
    <t>Feb Plan from Oriflame</t>
  </si>
  <si>
    <t>Mar Plan</t>
  </si>
  <si>
    <t>April Plan</t>
  </si>
  <si>
    <t>Actual Despatch</t>
  </si>
  <si>
    <t>Our production plan</t>
  </si>
  <si>
    <t>Talc Domestic</t>
  </si>
  <si>
    <t>INDIA</t>
  </si>
  <si>
    <t>Nature Secrets Talc Floral Bouquet 100g Domestic</t>
  </si>
  <si>
    <t>Nature Secrets Talc Floral Bouquet 400g Domestic</t>
  </si>
  <si>
    <t>Nature Secrets Talc Cooling Breeze100g Domestic</t>
  </si>
  <si>
    <t>Nature Secrets Talc Cooling Breeze 400g Domestic</t>
  </si>
  <si>
    <t>Talc Export</t>
  </si>
  <si>
    <t>Nature Secrets Talc Floral Bouquet 100g Export</t>
  </si>
  <si>
    <t>Nature Secrets Talc Floral Bouquet 400g Export</t>
  </si>
  <si>
    <t>Nature Secrets Talc Cooling Breeze100g Export</t>
  </si>
  <si>
    <t>Nature Secrets Talc Cooling Breeze 400g Export</t>
  </si>
  <si>
    <t>Revised plan as of 01/02/17 given by Debasishs</t>
  </si>
  <si>
    <t>REVISED ON 01/02/17</t>
  </si>
  <si>
    <t>Revised &amp; latest Production plan for Oriflame Talc as of 01/02/17</t>
  </si>
  <si>
    <t>Stock of Talc as of 01/02/17</t>
  </si>
  <si>
    <t>Open PO as of 01/02/17</t>
  </si>
  <si>
    <t>RM for FM in MT</t>
  </si>
  <si>
    <t>Shortage / Excess</t>
  </si>
  <si>
    <t>Remarks:</t>
  </si>
  <si>
    <t>a) 300 kg Essential Oil dispatch on 31/1/17 which will connect Baddi by 6/2/17</t>
  </si>
  <si>
    <t>b) Vishal has to inform Golcha for balance qty</t>
  </si>
  <si>
    <t>Cooling Breeze</t>
  </si>
  <si>
    <t>c) as of 7/2/17 cooling breeze produced 28.48 MT</t>
  </si>
  <si>
    <t>Export Reqt</t>
  </si>
  <si>
    <t>Month Feb-17</t>
  </si>
  <si>
    <t>ORIFLAME TALC</t>
  </si>
  <si>
    <t xml:space="preserve">Daily Production Report </t>
  </si>
  <si>
    <t xml:space="preserve">ORIFLAME - Nature Secrets Talc </t>
  </si>
  <si>
    <t>Domestic Demand</t>
  </si>
  <si>
    <t>Export demand</t>
  </si>
  <si>
    <t>Balance</t>
  </si>
  <si>
    <t xml:space="preserve">PLAN </t>
  </si>
  <si>
    <t xml:space="preserve">ACTUAL </t>
  </si>
  <si>
    <t>Date</t>
  </si>
  <si>
    <t xml:space="preserve">Day </t>
  </si>
  <si>
    <t>Floral Bouquet 100 GM</t>
  </si>
  <si>
    <t>Floral Bouquet 400 GM</t>
  </si>
  <si>
    <t>Cooling Breeze 100 GM</t>
  </si>
  <si>
    <t>Cooling Breeze 400 GM</t>
  </si>
  <si>
    <t>Floral Bouquet 100 GM - Export</t>
  </si>
  <si>
    <t>Floral Bouquet 400 GM - Export</t>
  </si>
  <si>
    <t>Cooling Breeze 100 GM Export</t>
  </si>
  <si>
    <t>Cooling Breeze 400 GM Export</t>
  </si>
  <si>
    <t>Target mt</t>
  </si>
  <si>
    <t>Actual Mt</t>
  </si>
  <si>
    <t>Wed</t>
  </si>
  <si>
    <t>Thu</t>
  </si>
  <si>
    <t>Fri</t>
  </si>
  <si>
    <t>Sat</t>
  </si>
  <si>
    <t>Sun</t>
  </si>
  <si>
    <t>Mon</t>
  </si>
  <si>
    <t>Sleeved Container Shortage.</t>
  </si>
  <si>
    <t>Tue</t>
  </si>
  <si>
    <t>Total Qty in Nos.</t>
  </si>
  <si>
    <t>Total Qty in MT.</t>
  </si>
  <si>
    <t>Mar'17 Plan</t>
  </si>
  <si>
    <t>Stock of Talc as of 10/02/17</t>
  </si>
  <si>
    <t>Open PO as of 10/02/17</t>
  </si>
  <si>
    <t>Revised &amp; latest Production plan for Oriflame Talc as of 10/02/17</t>
  </si>
  <si>
    <t>a) 300 kg Essential Oil under QM lot</t>
  </si>
  <si>
    <t>RM Equivalent FG/MT</t>
  </si>
  <si>
    <t>Feb'17 Plan (including already produced up to 9/2/17)</t>
  </si>
  <si>
    <t>400 GM Container Quality Issue</t>
  </si>
  <si>
    <t>Plan Completed. C/o to Non Oriflame</t>
  </si>
  <si>
    <t>Revised &amp; latest Production plan for Oriflame Talc as of 14/02/17</t>
  </si>
  <si>
    <t>Stock of Talc as of 14/02/17</t>
  </si>
  <si>
    <t>Open PO as of 14/02/17</t>
  </si>
  <si>
    <t>Feb'17 Plan (including already produced up to 12/2/17)</t>
  </si>
  <si>
    <t>CB-100</t>
  </si>
  <si>
    <t>CB-400</t>
  </si>
  <si>
    <t>FB-100</t>
  </si>
  <si>
    <t>FB-400</t>
  </si>
  <si>
    <t>5.35Kg/MT</t>
  </si>
  <si>
    <t>c) Production data considered till 12/2/17</t>
  </si>
  <si>
    <t>CB 100</t>
  </si>
  <si>
    <t>CB 400</t>
  </si>
  <si>
    <t>FB100</t>
  </si>
  <si>
    <t>FB 400</t>
  </si>
  <si>
    <t>FB 100</t>
  </si>
  <si>
    <t>CB100</t>
  </si>
  <si>
    <t>CB400</t>
  </si>
  <si>
    <t>CB100 - Export</t>
  </si>
  <si>
    <t>Stock of Talc as of 23/02/17</t>
  </si>
  <si>
    <t>Open PO as of 23/02/17</t>
  </si>
  <si>
    <t>Revised &amp; latest Production plan for Oriflame Talc as of 23/02/17</t>
  </si>
  <si>
    <t>RM required</t>
  </si>
  <si>
    <t>Shortage / Excess - Feb'17</t>
  </si>
  <si>
    <t>Shortage / Excess - Mar'17</t>
  </si>
  <si>
    <t>Plan Feb'17</t>
  </si>
  <si>
    <t>Produced as of 22/2/17</t>
  </si>
  <si>
    <t>5 Kg/MT</t>
  </si>
  <si>
    <t>Bal Production for Feb'17</t>
  </si>
  <si>
    <t>RM stock Equivalent FG/MT as of 23/2/17</t>
  </si>
  <si>
    <t>c) Production data considered till 22/2/17</t>
  </si>
  <si>
    <t>d) 250 kg Essential oil dispatched on 22/2/17</t>
  </si>
  <si>
    <t>e) 30 Kg Frescolat to be delivered end of Feb'17</t>
  </si>
  <si>
    <t>CB 100 - Ex</t>
  </si>
  <si>
    <t>Revised &amp; latest Production plan for Oriflame Talc as of 27/02/17</t>
  </si>
  <si>
    <t>Stock of Talc as of 27/02/17</t>
  </si>
  <si>
    <t>Open PO as of 27/02/17</t>
  </si>
  <si>
    <t>Produced as of 27/2/17</t>
  </si>
  <si>
    <t>RM stock Equivalent FG/MT as of 27/2/17</t>
  </si>
  <si>
    <t>Shortage / Excess for Mar'17</t>
  </si>
  <si>
    <t>a) Vishal has to inform Golcha for balance qty</t>
  </si>
  <si>
    <t>c) 250 kg Essential oil dispatched on 22/2/17</t>
  </si>
  <si>
    <t>b) Production data considered till 27/2/17</t>
  </si>
  <si>
    <t>d) 30 Kg Frescolat dispached on 23/2/17.</t>
  </si>
  <si>
    <t>CB-100 EX</t>
  </si>
  <si>
    <t>Revised &amp; latest Production plan for Oriflame Talc as of 08/03/17</t>
  </si>
  <si>
    <t>Stock of Talc as of 08/03/17</t>
  </si>
  <si>
    <t>Open PO as of 08/03/17</t>
  </si>
  <si>
    <t>RM stock Equivalent FG/MT as of 01/03/17</t>
  </si>
  <si>
    <t>Produced as of 01/03/17</t>
  </si>
  <si>
    <t>b) Production data considered till 01/03/17</t>
  </si>
  <si>
    <t>Plan Mar'17</t>
  </si>
  <si>
    <t>Bal Production for Mar'17</t>
  </si>
  <si>
    <t>Apr'17 Plan</t>
  </si>
  <si>
    <t>Shortage / Excess - Apr'17</t>
  </si>
  <si>
    <t>Month Mar-17</t>
  </si>
  <si>
    <t>c) As per Debashish, due to shortage of labour, production is slow, also CB 9.70 MT will not produce in Mar'17 and FB total production will be 25 MT agst 50 MT</t>
  </si>
  <si>
    <t>100 gm - Dom</t>
  </si>
  <si>
    <t>400 gm - Dom</t>
  </si>
  <si>
    <t>100 gm - Exp</t>
  </si>
  <si>
    <t>400 gm - Exp</t>
  </si>
  <si>
    <t>Bal.to be produced</t>
  </si>
  <si>
    <t>Qty : MT</t>
  </si>
  <si>
    <t>Plan (Mar'17)</t>
  </si>
  <si>
    <t>Actual Prod 21/3/17</t>
  </si>
  <si>
    <t>May'17</t>
  </si>
  <si>
    <t>b) Production data considered till 28/03/17</t>
  </si>
  <si>
    <t>e) 100 Kg &amp; 650 kg of Essential oil in transit also 150 kg Frescolat disptched on 27/3 and another lot of 210 kg will be dispatched 29/3/17</t>
  </si>
  <si>
    <t>d) 900 Kg LMC in transit, dispatched on 21/3/17 thru Patel rd.</t>
  </si>
  <si>
    <t>a) Vishal/Riju has to inform Golcha for balance qty</t>
  </si>
  <si>
    <t>FB-100 EX</t>
  </si>
  <si>
    <t>Mar+apr plan</t>
  </si>
  <si>
    <t>Less in transit</t>
  </si>
  <si>
    <t>After consider Cl.Stock</t>
  </si>
  <si>
    <t>Shortage / Excess for Apr</t>
  </si>
  <si>
    <t>Stock of Talc as of 31/03/17</t>
  </si>
  <si>
    <t>Open PO as of 31/03/17</t>
  </si>
  <si>
    <t>Produced as of 30/03/17</t>
  </si>
  <si>
    <t>Revised &amp; latest Production plan for Oriflame Talc as of 31/03/17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</si>
</sst>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/mm/yyyy;@"/>
    <numFmt numFmtId="166" formatCode="0_);[Red]\(0\)"/>
    <numFmt numFmtId="167" formatCode="0.0"/>
  </numFmts>
  <fonts count="2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2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Fill="1" applyBorder="1"/>
    <xf numFmtId="0" fontId="0" fillId="0" borderId="2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3" xfId="0" applyFill="1" applyBorder="1"/>
    <xf numFmtId="2" fontId="0" fillId="0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2" borderId="2" xfId="0" applyFill="1" applyBorder="1"/>
    <xf numFmtId="2" fontId="0" fillId="2" borderId="2" xfId="0" applyNumberFormat="1" applyFill="1" applyBorder="1"/>
    <xf numFmtId="2" fontId="0" fillId="0" borderId="0" xfId="0" applyNumberFormat="1"/>
    <xf numFmtId="2" fontId="0" fillId="0" borderId="0" xfId="0" applyNumberFormat="1" applyFill="1"/>
    <xf numFmtId="0" fontId="0" fillId="0" borderId="2" xfId="0" applyFill="1" applyBorder="1" applyAlignment="1">
      <alignment wrapText="1"/>
    </xf>
    <xf numFmtId="2" fontId="0" fillId="0" borderId="0" xfId="0" applyNumberFormat="1" applyFill="1" applyBorder="1"/>
    <xf numFmtId="0" fontId="1" fillId="0" borderId="1" xfId="0" applyFont="1" applyBorder="1"/>
    <xf numFmtId="2" fontId="0" fillId="5" borderId="2" xfId="0" applyNumberFormat="1" applyFill="1" applyBorder="1"/>
    <xf numFmtId="0" fontId="0" fillId="5" borderId="2" xfId="0" applyFill="1" applyBorder="1"/>
    <xf numFmtId="2" fontId="0" fillId="3" borderId="2" xfId="0" applyNumberFormat="1" applyFill="1" applyBorder="1"/>
    <xf numFmtId="0" fontId="0" fillId="2" borderId="0" xfId="0" applyFill="1" applyBorder="1"/>
    <xf numFmtId="0" fontId="0" fillId="0" borderId="1" xfId="0" applyFill="1" applyBorder="1" applyAlignment="1">
      <alignment wrapText="1"/>
    </xf>
    <xf numFmtId="164" fontId="0" fillId="0" borderId="0" xfId="0" applyNumberFormat="1"/>
    <xf numFmtId="2" fontId="0" fillId="0" borderId="3" xfId="0" applyNumberFormat="1" applyFill="1" applyBorder="1"/>
    <xf numFmtId="0" fontId="4" fillId="0" borderId="0" xfId="0" applyFont="1"/>
    <xf numFmtId="0" fontId="0" fillId="8" borderId="5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0" fontId="8" fillId="9" borderId="1" xfId="0" applyFont="1" applyFill="1" applyBorder="1"/>
    <xf numFmtId="3" fontId="6" fillId="9" borderId="1" xfId="0" applyNumberFormat="1" applyFont="1" applyFill="1" applyBorder="1" applyAlignment="1">
      <alignment horizontal="center"/>
    </xf>
    <xf numFmtId="3" fontId="6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3" fontId="9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9" borderId="0" xfId="0" applyFill="1" applyBorder="1"/>
    <xf numFmtId="0" fontId="0" fillId="8" borderId="0" xfId="0" applyFill="1" applyBorder="1"/>
    <xf numFmtId="0" fontId="7" fillId="0" borderId="2" xfId="0" applyFont="1" applyFill="1" applyBorder="1" applyAlignment="1">
      <alignment horizontal="left"/>
    </xf>
    <xf numFmtId="2" fontId="3" fillId="0" borderId="1" xfId="0" applyNumberFormat="1" applyFont="1" applyBorder="1"/>
    <xf numFmtId="2" fontId="3" fillId="5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66" fontId="17" fillId="0" borderId="6" xfId="0" applyNumberFormat="1" applyFont="1" applyBorder="1" applyAlignment="1">
      <alignment horizontal="left" vertical="center"/>
    </xf>
    <xf numFmtId="1" fontId="18" fillId="0" borderId="3" xfId="0" applyNumberFormat="1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1" fontId="18" fillId="0" borderId="5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2" fillId="10" borderId="1" xfId="0" applyNumberFormat="1" applyFont="1" applyFill="1" applyBorder="1" applyAlignment="1">
      <alignment horizontal="left" vertical="center"/>
    </xf>
    <xf numFmtId="166" fontId="13" fillId="10" borderId="1" xfId="0" applyNumberFormat="1" applyFont="1" applyFill="1" applyBorder="1" applyAlignment="1">
      <alignment horizontal="left" vertical="center"/>
    </xf>
    <xf numFmtId="166" fontId="12" fillId="5" borderId="1" xfId="0" applyNumberFormat="1" applyFont="1" applyFill="1" applyBorder="1" applyAlignment="1">
      <alignment horizontal="left" vertical="center"/>
    </xf>
    <xf numFmtId="166" fontId="13" fillId="5" borderId="1" xfId="0" applyNumberFormat="1" applyFont="1" applyFill="1" applyBorder="1" applyAlignment="1">
      <alignment horizontal="left" vertical="center"/>
    </xf>
    <xf numFmtId="165" fontId="1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19" fillId="11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5" fontId="7" fillId="0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1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164" fontId="14" fillId="13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23" fillId="0" borderId="0" xfId="0" applyFont="1"/>
    <xf numFmtId="2" fontId="0" fillId="0" borderId="2" xfId="0" applyNumberFormat="1" applyBorder="1"/>
    <xf numFmtId="0" fontId="24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/>
    <xf numFmtId="0" fontId="0" fillId="0" borderId="0" xfId="0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167" fontId="18" fillId="0" borderId="5" xfId="0" applyNumberFormat="1" applyFont="1" applyFill="1" applyBorder="1" applyAlignment="1">
      <alignment horizontal="left"/>
    </xf>
    <xf numFmtId="0" fontId="0" fillId="0" borderId="0" xfId="0" applyFill="1" applyBorder="1"/>
    <xf numFmtId="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4" fillId="0" borderId="0" xfId="0" applyFont="1" applyFill="1" applyBorder="1"/>
    <xf numFmtId="0" fontId="2" fillId="0" borderId="0" xfId="0" applyFont="1" applyFill="1" applyBorder="1"/>
    <xf numFmtId="0" fontId="24" fillId="0" borderId="0" xfId="0" applyFont="1" applyFill="1" applyBorder="1"/>
    <xf numFmtId="0" fontId="2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0" fillId="0" borderId="0" xfId="0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right" vertical="center"/>
    </xf>
    <xf numFmtId="0" fontId="1" fillId="14" borderId="1" xfId="0" applyFont="1" applyFill="1" applyBorder="1"/>
    <xf numFmtId="0" fontId="1" fillId="0" borderId="0" xfId="0" applyFont="1"/>
    <xf numFmtId="0" fontId="24" fillId="2" borderId="1" xfId="0" applyFont="1" applyFill="1" applyBorder="1"/>
    <xf numFmtId="2" fontId="0" fillId="2" borderId="0" xfId="0" applyNumberFormat="1" applyFill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66" fontId="16" fillId="0" borderId="7" xfId="0" applyNumberFormat="1" applyFont="1" applyBorder="1" applyAlignment="1">
      <alignment horizontal="center"/>
    </xf>
    <xf numFmtId="166" fontId="16" fillId="0" borderId="8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166" fontId="16" fillId="0" borderId="10" xfId="0" applyNumberFormat="1" applyFont="1" applyBorder="1" applyAlignment="1">
      <alignment horizontal="center"/>
    </xf>
    <xf numFmtId="166" fontId="16" fillId="0" borderId="4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3" fontId="6" fillId="0" borderId="5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4"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0070C0"/>
      </font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4"/>
  <sheetViews>
    <sheetView topLeftCell="A2" zoomScaleNormal="100" workbookViewId="0">
      <selection activeCell="F9" sqref="F9"/>
    </sheetView>
  </sheetViews>
  <sheetFormatPr defaultRowHeight="15" x14ac:dyDescent="0.25"/>
  <cols>
    <col min="3" max="3" width="9.28515625" bestFit="1" customWidth="1"/>
    <col min="4" max="4" width="11.28515625" bestFit="1" customWidth="1"/>
    <col min="5" max="5" width="1.28515625" customWidth="1"/>
    <col min="6" max="6" width="14" bestFit="1" customWidth="1"/>
    <col min="7" max="7" width="11.28515625" bestFit="1" customWidth="1"/>
    <col min="8" max="8" width="10" bestFit="1" customWidth="1"/>
    <col min="9" max="9" width="16.42578125" bestFit="1" customWidth="1"/>
    <col min="10" max="10" width="9.5703125" bestFit="1" customWidth="1"/>
    <col min="11" max="11" width="12.5703125" customWidth="1"/>
    <col min="12" max="12" width="8" bestFit="1" customWidth="1"/>
    <col min="13" max="13" width="11.5703125" bestFit="1" customWidth="1"/>
    <col min="14" max="14" width="16" bestFit="1" customWidth="1"/>
    <col min="15" max="15" width="1.28515625" customWidth="1"/>
    <col min="16" max="16" width="9.7109375" bestFit="1" customWidth="1"/>
    <col min="17" max="17" width="11.85546875" bestFit="1" customWidth="1"/>
  </cols>
  <sheetData>
    <row r="4" spans="1:17" x14ac:dyDescent="0.25">
      <c r="B4" t="s">
        <v>24</v>
      </c>
      <c r="D4" s="1"/>
      <c r="E4" s="1"/>
    </row>
    <row r="5" spans="1:17" x14ac:dyDescent="0.25">
      <c r="A5" s="2"/>
      <c r="B5" s="2"/>
      <c r="C5" s="2"/>
      <c r="D5" s="3"/>
      <c r="E5" s="3"/>
      <c r="F5" s="2"/>
      <c r="G5" s="2"/>
      <c r="H5" s="2"/>
      <c r="I5" s="2"/>
      <c r="J5" s="2"/>
      <c r="K5" s="2"/>
      <c r="L5" s="121" t="s">
        <v>2</v>
      </c>
      <c r="M5" s="121"/>
      <c r="N5" s="121"/>
      <c r="O5" s="2"/>
      <c r="P5" s="120" t="s">
        <v>5</v>
      </c>
      <c r="Q5" s="120"/>
    </row>
    <row r="6" spans="1:17" ht="30" x14ac:dyDescent="0.25">
      <c r="A6" s="2"/>
      <c r="B6" s="2"/>
      <c r="C6" s="120" t="s">
        <v>5</v>
      </c>
      <c r="D6" s="120"/>
      <c r="E6" s="11"/>
      <c r="F6" s="121" t="s">
        <v>2</v>
      </c>
      <c r="G6" s="121"/>
      <c r="H6" s="2" t="s">
        <v>8</v>
      </c>
      <c r="I6" s="2" t="s">
        <v>7</v>
      </c>
      <c r="J6" s="2" t="s">
        <v>6</v>
      </c>
      <c r="K6" s="20" t="s">
        <v>30</v>
      </c>
      <c r="L6" s="7" t="s">
        <v>11</v>
      </c>
      <c r="M6" s="7" t="s">
        <v>12</v>
      </c>
      <c r="N6" s="7" t="s">
        <v>34</v>
      </c>
      <c r="O6" s="2"/>
      <c r="P6" s="2" t="s">
        <v>13</v>
      </c>
      <c r="Q6" s="2" t="s">
        <v>14</v>
      </c>
    </row>
    <row r="7" spans="1:17" x14ac:dyDescent="0.25">
      <c r="A7" s="2"/>
      <c r="B7" s="2"/>
      <c r="C7" s="2" t="s">
        <v>10</v>
      </c>
      <c r="D7" s="3" t="s">
        <v>9</v>
      </c>
      <c r="E7" s="3"/>
      <c r="F7" s="2" t="s">
        <v>10</v>
      </c>
      <c r="G7" s="3" t="s">
        <v>9</v>
      </c>
      <c r="H7" s="2"/>
      <c r="I7" s="2">
        <v>1101024</v>
      </c>
      <c r="J7" s="2"/>
      <c r="K7" s="8" t="s">
        <v>27</v>
      </c>
      <c r="L7" s="2">
        <v>1101021</v>
      </c>
      <c r="M7" s="2">
        <v>1101022</v>
      </c>
      <c r="N7" s="2">
        <v>1101023</v>
      </c>
      <c r="O7" s="2"/>
      <c r="P7" s="2">
        <v>1101019</v>
      </c>
      <c r="Q7" s="2">
        <v>1101018</v>
      </c>
    </row>
    <row r="8" spans="1:17" x14ac:dyDescent="0.25">
      <c r="A8" s="2"/>
      <c r="B8" s="2" t="s">
        <v>15</v>
      </c>
      <c r="C8" s="2"/>
      <c r="D8" s="3"/>
      <c r="E8" s="3"/>
      <c r="F8" s="2"/>
      <c r="G8" s="3"/>
      <c r="H8" s="2"/>
      <c r="I8" s="2" t="s">
        <v>21</v>
      </c>
      <c r="J8" s="2"/>
      <c r="K8" s="8"/>
      <c r="L8" s="2" t="s">
        <v>20</v>
      </c>
      <c r="M8" s="2" t="s">
        <v>19</v>
      </c>
      <c r="N8" s="2" t="s">
        <v>18</v>
      </c>
      <c r="O8" s="2"/>
      <c r="P8" s="2" t="s">
        <v>17</v>
      </c>
      <c r="Q8" s="2" t="s">
        <v>16</v>
      </c>
    </row>
    <row r="9" spans="1:17" x14ac:dyDescent="0.25">
      <c r="A9" s="9" t="s">
        <v>26</v>
      </c>
      <c r="B9" s="9" t="s">
        <v>3</v>
      </c>
      <c r="C9" s="10">
        <v>1.64</v>
      </c>
      <c r="D9" s="10">
        <v>0</v>
      </c>
      <c r="E9" s="10"/>
      <c r="F9" s="10">
        <v>4</v>
      </c>
      <c r="G9" s="10">
        <v>0</v>
      </c>
      <c r="H9" s="10">
        <f t="shared" ref="H9:H14" si="0">SUM(C9:G9)</f>
        <v>5.64</v>
      </c>
      <c r="I9" s="10">
        <f t="shared" ref="I9:I14" si="1">(H9*1067)/1000</f>
        <v>6.0178799999999999</v>
      </c>
      <c r="J9" s="10"/>
      <c r="K9" s="16"/>
      <c r="L9" s="9"/>
      <c r="M9" s="9"/>
      <c r="N9" s="9"/>
      <c r="O9" s="9"/>
      <c r="P9" s="9"/>
      <c r="Q9" s="9"/>
    </row>
    <row r="10" spans="1:17" x14ac:dyDescent="0.25">
      <c r="A10" s="9"/>
      <c r="B10" s="9" t="s">
        <v>4</v>
      </c>
      <c r="C10" s="10">
        <v>15.38</v>
      </c>
      <c r="D10" s="10">
        <v>0</v>
      </c>
      <c r="E10" s="10"/>
      <c r="F10" s="10">
        <v>4</v>
      </c>
      <c r="G10" s="10">
        <v>0</v>
      </c>
      <c r="H10" s="10">
        <f t="shared" si="0"/>
        <v>19.380000000000003</v>
      </c>
      <c r="I10" s="10">
        <f t="shared" si="1"/>
        <v>20.678460000000001</v>
      </c>
      <c r="J10" s="10">
        <f>I9+I10</f>
        <v>26.696339999999999</v>
      </c>
      <c r="K10" s="17">
        <f>J10-I16</f>
        <v>19.736339999999998</v>
      </c>
      <c r="L10" s="10">
        <f>(F9+F10+G9+G10)*22</f>
        <v>176</v>
      </c>
      <c r="M10" s="10">
        <f>(F9+F10+G9+G10)*5</f>
        <v>40</v>
      </c>
      <c r="N10" s="10">
        <f>(F9+F10+G9+G10)*11</f>
        <v>88</v>
      </c>
      <c r="O10" s="10"/>
      <c r="P10" s="10">
        <f>(C9+C10+D9+D10)*22</f>
        <v>374.44</v>
      </c>
      <c r="Q10" s="10">
        <f>(C9+C10+D9+D10)*11</f>
        <v>187.22</v>
      </c>
    </row>
    <row r="11" spans="1:17" x14ac:dyDescent="0.25">
      <c r="A11" s="5" t="s">
        <v>0</v>
      </c>
      <c r="B11" s="5" t="s">
        <v>3</v>
      </c>
      <c r="C11" s="6">
        <f>(30000*100/1000/1000)</f>
        <v>3</v>
      </c>
      <c r="D11" s="6">
        <v>38.799999999999997</v>
      </c>
      <c r="E11" s="6"/>
      <c r="F11" s="6">
        <v>7.1</v>
      </c>
      <c r="G11" s="6">
        <v>0</v>
      </c>
      <c r="H11" s="6">
        <f t="shared" si="0"/>
        <v>48.9</v>
      </c>
      <c r="I11" s="6">
        <f t="shared" si="1"/>
        <v>52.176299999999998</v>
      </c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5"/>
      <c r="B12" s="5" t="s">
        <v>4</v>
      </c>
      <c r="C12" s="6">
        <f>(10000*400/1000/1000)</f>
        <v>4</v>
      </c>
      <c r="D12" s="6">
        <v>27.03</v>
      </c>
      <c r="E12" s="6"/>
      <c r="F12" s="6">
        <v>22</v>
      </c>
      <c r="G12" s="6">
        <v>0</v>
      </c>
      <c r="H12" s="6">
        <f t="shared" si="0"/>
        <v>53.03</v>
      </c>
      <c r="I12" s="6">
        <f t="shared" si="1"/>
        <v>56.583010000000002</v>
      </c>
      <c r="J12" s="6">
        <f>I11+I12</f>
        <v>108.75931</v>
      </c>
      <c r="K12" s="6">
        <f>J12</f>
        <v>108.75931</v>
      </c>
      <c r="L12" s="6">
        <f>(F11+F12+G11+G12)*22</f>
        <v>640.20000000000005</v>
      </c>
      <c r="M12" s="6">
        <f>(F11+F12+G11+G12)*5</f>
        <v>145.5</v>
      </c>
      <c r="N12" s="6">
        <f>(F11+F12+G11+G12)*11</f>
        <v>320.10000000000002</v>
      </c>
      <c r="O12" s="6"/>
      <c r="P12" s="6">
        <f>(C11+C12+D11+D12)*22</f>
        <v>1602.26</v>
      </c>
      <c r="Q12" s="6">
        <f>(C11+C12+D11+D12)*11</f>
        <v>801.13</v>
      </c>
    </row>
    <row r="13" spans="1:17" x14ac:dyDescent="0.25">
      <c r="A13" s="14" t="s">
        <v>1</v>
      </c>
      <c r="B13" s="14" t="s">
        <v>3</v>
      </c>
      <c r="C13" s="15">
        <v>3.4</v>
      </c>
      <c r="D13" s="15">
        <v>0</v>
      </c>
      <c r="E13" s="15"/>
      <c r="F13" s="15">
        <v>2.4</v>
      </c>
      <c r="G13" s="15">
        <v>29.1</v>
      </c>
      <c r="H13" s="15">
        <f t="shared" si="0"/>
        <v>34.9</v>
      </c>
      <c r="I13" s="15">
        <f t="shared" si="1"/>
        <v>37.238299999999995</v>
      </c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14"/>
      <c r="B14" s="14" t="s">
        <v>4</v>
      </c>
      <c r="C14" s="15">
        <v>7.2</v>
      </c>
      <c r="D14" s="15">
        <v>0</v>
      </c>
      <c r="E14" s="15"/>
      <c r="F14" s="15">
        <v>16</v>
      </c>
      <c r="G14" s="15">
        <v>13.51</v>
      </c>
      <c r="H14" s="15">
        <f t="shared" si="0"/>
        <v>36.71</v>
      </c>
      <c r="I14" s="15">
        <f t="shared" si="1"/>
        <v>39.16957</v>
      </c>
      <c r="J14" s="15">
        <f>I13+I14</f>
        <v>76.407870000000003</v>
      </c>
      <c r="K14" s="15">
        <f>J14</f>
        <v>76.407870000000003</v>
      </c>
      <c r="L14" s="15">
        <f>(F13+F14+G13+G14)*22</f>
        <v>1342.22</v>
      </c>
      <c r="M14" s="15">
        <f>(F13+F14+G13+G14)*5</f>
        <v>305.05</v>
      </c>
      <c r="N14" s="15">
        <f>(F13+F14+G13+G14)*11</f>
        <v>671.11</v>
      </c>
      <c r="O14" s="15"/>
      <c r="P14" s="15">
        <f>(C13+C14+D13+D14)*22</f>
        <v>233.2</v>
      </c>
      <c r="Q14" s="15">
        <f>(C13+C14+D13+D14)*11</f>
        <v>116.6</v>
      </c>
    </row>
    <row r="15" spans="1:17" x14ac:dyDescent="0.25">
      <c r="A15" s="2"/>
      <c r="B15" s="2"/>
      <c r="C15" s="4"/>
      <c r="D15" s="4"/>
      <c r="E15" s="4"/>
      <c r="F15" s="4"/>
      <c r="G15" s="4"/>
      <c r="H15" s="4"/>
      <c r="I15" s="4"/>
      <c r="J15" s="4"/>
      <c r="K15" s="8"/>
      <c r="L15" s="4"/>
      <c r="M15" s="4"/>
      <c r="N15" s="4"/>
      <c r="O15" s="13"/>
      <c r="P15" s="4"/>
      <c r="Q15" s="4"/>
    </row>
    <row r="16" spans="1:17" x14ac:dyDescent="0.25">
      <c r="A16" s="2" t="s">
        <v>22</v>
      </c>
      <c r="B16" s="2"/>
      <c r="C16" s="4"/>
      <c r="D16" s="4"/>
      <c r="E16" s="4"/>
      <c r="F16" s="4"/>
      <c r="G16" s="4"/>
      <c r="H16" s="4"/>
      <c r="I16" s="4">
        <f>6960/1000</f>
        <v>6.96</v>
      </c>
      <c r="J16" s="4"/>
      <c r="K16" s="8"/>
      <c r="L16" s="4">
        <v>360.78</v>
      </c>
      <c r="M16" s="4">
        <v>67.650000000000006</v>
      </c>
      <c r="N16" s="4">
        <f>75.34+125.34</f>
        <v>200.68</v>
      </c>
      <c r="O16" s="4"/>
      <c r="P16" s="4">
        <v>1012.8</v>
      </c>
      <c r="Q16" s="13">
        <f>277.9+300</f>
        <v>577.9</v>
      </c>
    </row>
    <row r="17" spans="1:17" x14ac:dyDescent="0.25">
      <c r="A17" s="2" t="s">
        <v>23</v>
      </c>
      <c r="B17" s="2"/>
      <c r="C17" s="4"/>
      <c r="D17" s="4"/>
      <c r="E17" s="4"/>
      <c r="F17" s="4"/>
      <c r="G17" s="4"/>
      <c r="H17" s="4"/>
      <c r="I17" s="4">
        <f>(191790/1000)</f>
        <v>191.79</v>
      </c>
      <c r="J17" s="4">
        <f>SUM(I16:I17)</f>
        <v>198.75</v>
      </c>
      <c r="K17" s="8"/>
      <c r="L17" s="4">
        <f>1000+20+45</f>
        <v>1065</v>
      </c>
      <c r="M17" s="4">
        <v>195</v>
      </c>
      <c r="N17" s="4">
        <v>775</v>
      </c>
      <c r="O17" s="4"/>
      <c r="P17" s="4">
        <v>1335</v>
      </c>
      <c r="Q17" s="4">
        <v>970</v>
      </c>
    </row>
    <row r="18" spans="1:17" x14ac:dyDescent="0.25">
      <c r="A18" s="12" t="s">
        <v>25</v>
      </c>
      <c r="G18" t="s">
        <v>29</v>
      </c>
      <c r="L18" s="19">
        <f>L16-L10</f>
        <v>184.77999999999997</v>
      </c>
      <c r="M18" s="19">
        <f t="shared" ref="M18:Q18" si="2">M16-M10</f>
        <v>27.650000000000006</v>
      </c>
      <c r="N18" s="19">
        <f t="shared" si="2"/>
        <v>112.68</v>
      </c>
      <c r="O18" s="19">
        <f t="shared" si="2"/>
        <v>0</v>
      </c>
      <c r="P18" s="19">
        <f t="shared" si="2"/>
        <v>638.3599999999999</v>
      </c>
      <c r="Q18" s="19">
        <f t="shared" si="2"/>
        <v>390.67999999999995</v>
      </c>
    </row>
    <row r="19" spans="1:17" x14ac:dyDescent="0.25">
      <c r="G19" t="s">
        <v>28</v>
      </c>
      <c r="L19" s="19">
        <f>L18-L12</f>
        <v>-455.42000000000007</v>
      </c>
      <c r="M19" s="19">
        <f t="shared" ref="M19:Q19" si="3">M18-M12</f>
        <v>-117.85</v>
      </c>
      <c r="N19" s="19">
        <f t="shared" si="3"/>
        <v>-207.42000000000002</v>
      </c>
      <c r="O19" s="19">
        <f t="shared" si="3"/>
        <v>0</v>
      </c>
      <c r="P19" s="19">
        <f t="shared" si="3"/>
        <v>-963.90000000000009</v>
      </c>
      <c r="Q19" s="19">
        <f t="shared" si="3"/>
        <v>-410.45000000000005</v>
      </c>
    </row>
    <row r="20" spans="1:17" x14ac:dyDescent="0.25">
      <c r="G20" t="s">
        <v>31</v>
      </c>
      <c r="L20" s="18"/>
      <c r="N20">
        <v>125</v>
      </c>
      <c r="P20">
        <v>780</v>
      </c>
      <c r="Q20">
        <v>300</v>
      </c>
    </row>
    <row r="21" spans="1:17" x14ac:dyDescent="0.25">
      <c r="G21" t="s">
        <v>32</v>
      </c>
      <c r="L21">
        <v>1065</v>
      </c>
      <c r="M21">
        <v>90</v>
      </c>
      <c r="N21">
        <v>100</v>
      </c>
      <c r="P21" s="21">
        <v>415</v>
      </c>
      <c r="Q21">
        <v>125</v>
      </c>
    </row>
    <row r="22" spans="1:17" x14ac:dyDescent="0.25">
      <c r="F22">
        <v>5</v>
      </c>
      <c r="H22">
        <f>F22*5</f>
        <v>25</v>
      </c>
      <c r="I22">
        <f>100-H22</f>
        <v>75</v>
      </c>
    </row>
    <row r="23" spans="1:17" x14ac:dyDescent="0.25">
      <c r="F23" s="18">
        <f>SUM(F9:G14)</f>
        <v>98.11</v>
      </c>
      <c r="H23">
        <f>F23*5</f>
        <v>490.55</v>
      </c>
      <c r="M23" s="18">
        <f>SUM(M10:M14)</f>
        <v>490.55</v>
      </c>
    </row>
    <row r="24" spans="1:17" x14ac:dyDescent="0.25">
      <c r="F24">
        <v>98.11</v>
      </c>
      <c r="H24">
        <f>F24*3</f>
        <v>294.33</v>
      </c>
    </row>
  </sheetData>
  <mergeCells count="4">
    <mergeCell ref="C6:D6"/>
    <mergeCell ref="F6:G6"/>
    <mergeCell ref="L5:N5"/>
    <mergeCell ref="P5:Q5"/>
  </mergeCells>
  <pageMargins left="0.7" right="0.7" top="0.75" bottom="0.75" header="0.3" footer="0.3"/>
  <pageSetup paperSize="9"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7"/>
  <sheetViews>
    <sheetView topLeftCell="A7" workbookViewId="0">
      <selection activeCell="Z22" sqref="Z22"/>
    </sheetView>
  </sheetViews>
  <sheetFormatPr defaultRowHeight="15" x14ac:dyDescent="0.25"/>
  <cols>
    <col min="1" max="1" width="12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0" width="9" style="51" customWidth="1"/>
    <col min="11" max="14" width="9" style="51" hidden="1" customWidth="1"/>
    <col min="15" max="18" width="9.140625" style="51" hidden="1" customWidth="1"/>
    <col min="19" max="16384" width="9.140625" style="51"/>
  </cols>
  <sheetData>
    <row r="1" spans="1:28" x14ac:dyDescent="0.25">
      <c r="P1" s="52" t="s">
        <v>81</v>
      </c>
    </row>
    <row r="2" spans="1:28" ht="15.75" thickBot="1" x14ac:dyDescent="0.3">
      <c r="A2" s="53" t="s">
        <v>82</v>
      </c>
      <c r="C2" s="54" t="s">
        <v>83</v>
      </c>
      <c r="G2" s="54"/>
    </row>
    <row r="3" spans="1:28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8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8" x14ac:dyDescent="0.25">
      <c r="A5" s="59"/>
      <c r="B5" s="60" t="s">
        <v>88</v>
      </c>
      <c r="C5" s="61"/>
      <c r="D5" s="62">
        <f>C39-D39</f>
        <v>-47185</v>
      </c>
      <c r="E5" s="62"/>
      <c r="F5" s="62">
        <f>E39-F39</f>
        <v>11000</v>
      </c>
      <c r="G5" s="61"/>
      <c r="H5" s="62">
        <f>G39-H39</f>
        <v>-170</v>
      </c>
      <c r="I5" s="62"/>
      <c r="J5" s="62">
        <f>I39-J39</f>
        <v>848</v>
      </c>
      <c r="K5" s="62"/>
      <c r="L5" s="62"/>
      <c r="M5" s="62"/>
      <c r="N5" s="62"/>
      <c r="O5" s="61"/>
      <c r="P5" s="62">
        <f>O39-P39</f>
        <v>0</v>
      </c>
      <c r="Q5" s="61"/>
      <c r="R5" s="62">
        <f>Q39-R39</f>
        <v>0</v>
      </c>
      <c r="S5" s="63"/>
      <c r="T5" s="64"/>
    </row>
    <row r="6" spans="1:28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8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33</v>
      </c>
      <c r="Y7" s="76" t="s">
        <v>126</v>
      </c>
      <c r="Z7" s="76" t="s">
        <v>127</v>
      </c>
      <c r="AA7" s="76" t="s">
        <v>128</v>
      </c>
      <c r="AB7" s="76" t="s">
        <v>129</v>
      </c>
    </row>
    <row r="8" spans="1:28" x14ac:dyDescent="0.25">
      <c r="A8" s="77">
        <v>42767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>((C8*0.1)+(E8*0.4)+(G8*0.1)+(I8*0.4)+(K8*0.1)+(M8*0.4)+(O8*0.1)+(Q8*0.4))/1000</f>
        <v>0</v>
      </c>
      <c r="T8" s="84">
        <f>((D8*0.1)+(F8*0.4)+(H8*0.1)+(J8*0.4)+(L8*0.1)+(N8*0.4)+(P8*0.1)+(R8*0.4))/1000</f>
        <v>0</v>
      </c>
    </row>
    <row r="9" spans="1:28" x14ac:dyDescent="0.25">
      <c r="A9" s="59">
        <f t="shared" ref="A9:A14" si="0">A8+1</f>
        <v>42768</v>
      </c>
      <c r="B9" s="78" t="s">
        <v>104</v>
      </c>
      <c r="C9" s="79"/>
      <c r="D9" s="79"/>
      <c r="E9" s="79"/>
      <c r="F9" s="79"/>
      <c r="G9" s="79"/>
      <c r="H9" s="85">
        <v>5950</v>
      </c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ref="S9:T37" si="1">((C9*0.1)+(E9*0.4)+(G9*0.1)+(I9*0.4)+(K9*0.1)+(M9*0.4)+(O9*0.1)+(Q9*0.4))/1000</f>
        <v>0</v>
      </c>
      <c r="T9" s="84">
        <f t="shared" si="1"/>
        <v>0.59499999999999997</v>
      </c>
      <c r="Y9" s="51">
        <f>H9*100/1000/1000</f>
        <v>0.59499999999999997</v>
      </c>
      <c r="Z9" s="51">
        <f>J9*400/1000/1000</f>
        <v>0</v>
      </c>
    </row>
    <row r="10" spans="1:28" x14ac:dyDescent="0.25">
      <c r="A10" s="77">
        <f t="shared" si="0"/>
        <v>42769</v>
      </c>
      <c r="B10" s="78" t="s">
        <v>105</v>
      </c>
      <c r="C10" s="79"/>
      <c r="D10" s="79"/>
      <c r="E10" s="79"/>
      <c r="F10" s="79"/>
      <c r="G10" s="79">
        <v>10000</v>
      </c>
      <c r="H10" s="85">
        <v>24395</v>
      </c>
      <c r="I10" s="79">
        <v>7000</v>
      </c>
      <c r="J10" s="85">
        <v>6000</v>
      </c>
      <c r="K10" s="80"/>
      <c r="L10" s="80"/>
      <c r="M10" s="80"/>
      <c r="N10" s="80"/>
      <c r="O10" s="81"/>
      <c r="P10" s="82"/>
      <c r="Q10" s="81"/>
      <c r="R10" s="83"/>
      <c r="S10" s="84">
        <f t="shared" si="1"/>
        <v>3.8</v>
      </c>
      <c r="T10" s="84">
        <f t="shared" si="1"/>
        <v>4.8395000000000001</v>
      </c>
      <c r="Y10" s="51">
        <f t="shared" ref="Y10:Y14" si="2">H10*100/1000/1000</f>
        <v>2.4394999999999998</v>
      </c>
      <c r="Z10" s="51">
        <f t="shared" ref="Z10:Z14" si="3">J10*400/1000/1000</f>
        <v>2.4</v>
      </c>
    </row>
    <row r="11" spans="1:28" x14ac:dyDescent="0.25">
      <c r="A11" s="59">
        <f t="shared" si="0"/>
        <v>42770</v>
      </c>
      <c r="B11" s="78" t="s">
        <v>106</v>
      </c>
      <c r="C11" s="79"/>
      <c r="D11" s="79"/>
      <c r="E11" s="79"/>
      <c r="F11" s="79"/>
      <c r="G11" s="79">
        <v>15000</v>
      </c>
      <c r="H11" s="85">
        <v>26670</v>
      </c>
      <c r="I11" s="79">
        <v>10000</v>
      </c>
      <c r="J11" s="85">
        <v>11448</v>
      </c>
      <c r="K11" s="80"/>
      <c r="L11" s="80"/>
      <c r="M11" s="80"/>
      <c r="N11" s="86"/>
      <c r="O11" s="86"/>
      <c r="P11" s="86"/>
      <c r="Q11" s="86"/>
      <c r="R11" s="86"/>
      <c r="S11" s="87">
        <f>((C11*0.1)+(E11*0.4)+(G11*0.1)+(I11*0.4)+(K11*0.1)+(M11*0.4)+(O11*0.1)+(Q11*0.4))/1000</f>
        <v>5.5</v>
      </c>
      <c r="T11" s="87">
        <f t="shared" si="1"/>
        <v>7.2462</v>
      </c>
      <c r="Y11" s="51">
        <f t="shared" si="2"/>
        <v>2.6669999999999998</v>
      </c>
      <c r="Z11" s="51">
        <f t="shared" si="3"/>
        <v>4.5792000000000002</v>
      </c>
    </row>
    <row r="12" spans="1:28" x14ac:dyDescent="0.25">
      <c r="A12" s="59">
        <f>A11+1</f>
        <v>42771</v>
      </c>
      <c r="B12" s="78" t="s">
        <v>107</v>
      </c>
      <c r="C12" s="79"/>
      <c r="D12" s="79"/>
      <c r="E12" s="79"/>
      <c r="F12" s="79"/>
      <c r="G12" s="79">
        <v>25000</v>
      </c>
      <c r="H12" s="85">
        <v>26775</v>
      </c>
      <c r="I12" s="79">
        <v>10000</v>
      </c>
      <c r="J12" s="85">
        <v>10656</v>
      </c>
      <c r="K12" s="80"/>
      <c r="L12" s="80"/>
      <c r="M12" s="80"/>
      <c r="N12" s="86"/>
      <c r="O12" s="81"/>
      <c r="P12" s="83"/>
      <c r="Q12" s="81"/>
      <c r="R12" s="83"/>
      <c r="S12" s="84">
        <f t="shared" si="1"/>
        <v>6.5</v>
      </c>
      <c r="T12" s="84">
        <f t="shared" si="1"/>
        <v>6.9399000000000006</v>
      </c>
      <c r="Y12" s="51">
        <f t="shared" si="2"/>
        <v>2.6775000000000002</v>
      </c>
      <c r="Z12" s="51">
        <f t="shared" si="3"/>
        <v>4.2623999999999995</v>
      </c>
    </row>
    <row r="13" spans="1:28" x14ac:dyDescent="0.25">
      <c r="A13" s="77">
        <f t="shared" si="0"/>
        <v>42772</v>
      </c>
      <c r="B13" s="78" t="s">
        <v>108</v>
      </c>
      <c r="C13" s="79"/>
      <c r="D13" s="79"/>
      <c r="E13" s="79"/>
      <c r="F13" s="79"/>
      <c r="G13" s="79">
        <v>25000</v>
      </c>
      <c r="H13" s="85">
        <v>9800</v>
      </c>
      <c r="I13" s="79">
        <v>10000</v>
      </c>
      <c r="J13" s="85">
        <v>8880</v>
      </c>
      <c r="K13" s="80"/>
      <c r="L13" s="80"/>
      <c r="M13" s="80"/>
      <c r="N13" s="86"/>
      <c r="O13" s="83"/>
      <c r="P13" s="83"/>
      <c r="Q13" s="83"/>
      <c r="R13" s="83"/>
      <c r="S13" s="84">
        <f t="shared" si="1"/>
        <v>6.5</v>
      </c>
      <c r="T13" s="84">
        <f t="shared" si="1"/>
        <v>4.532</v>
      </c>
      <c r="U13" s="51" t="s">
        <v>109</v>
      </c>
      <c r="Y13" s="51">
        <f t="shared" si="2"/>
        <v>0.98</v>
      </c>
      <c r="Z13" s="51">
        <f t="shared" si="3"/>
        <v>3.552</v>
      </c>
    </row>
    <row r="14" spans="1:28" x14ac:dyDescent="0.25">
      <c r="A14" s="59">
        <f t="shared" si="0"/>
        <v>42773</v>
      </c>
      <c r="B14" s="78" t="s">
        <v>110</v>
      </c>
      <c r="C14" s="79"/>
      <c r="D14" s="79"/>
      <c r="E14" s="79"/>
      <c r="F14" s="79"/>
      <c r="G14" s="79">
        <v>25000</v>
      </c>
      <c r="H14" s="85">
        <v>6580</v>
      </c>
      <c r="I14" s="79">
        <v>10000</v>
      </c>
      <c r="J14" s="85">
        <v>9168</v>
      </c>
      <c r="K14" s="80"/>
      <c r="L14" s="80"/>
      <c r="M14" s="80"/>
      <c r="N14" s="86"/>
      <c r="O14" s="83"/>
      <c r="P14" s="83"/>
      <c r="Q14" s="83"/>
      <c r="R14" s="83"/>
      <c r="S14" s="84">
        <f t="shared" si="1"/>
        <v>6.5</v>
      </c>
      <c r="T14" s="84">
        <f t="shared" si="1"/>
        <v>4.3252000000000006</v>
      </c>
      <c r="U14" s="51" t="s">
        <v>109</v>
      </c>
      <c r="Y14" s="51">
        <f t="shared" si="2"/>
        <v>0.65800000000000003</v>
      </c>
      <c r="Z14" s="51">
        <f t="shared" si="3"/>
        <v>3.6671999999999998</v>
      </c>
    </row>
    <row r="15" spans="1:28" x14ac:dyDescent="0.25">
      <c r="A15" s="77">
        <f>A14+1</f>
        <v>42774</v>
      </c>
      <c r="B15" s="78" t="s">
        <v>103</v>
      </c>
      <c r="C15" s="79">
        <v>5000</v>
      </c>
      <c r="D15" s="85">
        <v>12950</v>
      </c>
      <c r="E15" s="79">
        <v>5000</v>
      </c>
      <c r="F15" s="85">
        <v>3840</v>
      </c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1"/>
        <v>2.5</v>
      </c>
      <c r="T15" s="84">
        <f t="shared" si="1"/>
        <v>2.831</v>
      </c>
      <c r="AA15" s="51">
        <f>D15*100/1000/1000</f>
        <v>1.2949999999999999</v>
      </c>
      <c r="AB15" s="51">
        <f>F15*400/1000/1000</f>
        <v>1.536</v>
      </c>
    </row>
    <row r="16" spans="1:28" x14ac:dyDescent="0.25">
      <c r="A16" s="59">
        <f t="shared" ref="A16:A21" si="4">A15+1</f>
        <v>42775</v>
      </c>
      <c r="B16" s="78" t="s">
        <v>104</v>
      </c>
      <c r="C16" s="79">
        <v>15000</v>
      </c>
      <c r="D16" s="85">
        <v>27825</v>
      </c>
      <c r="E16" s="79">
        <v>10000</v>
      </c>
      <c r="F16" s="85">
        <v>8400</v>
      </c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1"/>
        <v>5.5</v>
      </c>
      <c r="T16" s="84">
        <f t="shared" si="1"/>
        <v>6.1425000000000001</v>
      </c>
      <c r="U16" s="51" t="s">
        <v>120</v>
      </c>
      <c r="AA16" s="51">
        <f t="shared" ref="AA16:AA19" si="5">D16*100/1000/1000</f>
        <v>2.7825000000000002</v>
      </c>
      <c r="AB16" s="51">
        <f t="shared" ref="AB16:AB19" si="6">F16*400/1000/1000</f>
        <v>3.36</v>
      </c>
    </row>
    <row r="17" spans="1:28" x14ac:dyDescent="0.25">
      <c r="A17" s="77">
        <f>A16+1</f>
        <v>42776</v>
      </c>
      <c r="B17" s="78" t="s">
        <v>105</v>
      </c>
      <c r="C17" s="79">
        <v>25000</v>
      </c>
      <c r="D17" s="85">
        <v>28700</v>
      </c>
      <c r="E17" s="79">
        <v>10000</v>
      </c>
      <c r="F17" s="85">
        <v>9360</v>
      </c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1"/>
        <v>6.5</v>
      </c>
      <c r="T17" s="84">
        <f t="shared" si="1"/>
        <v>6.6139999999999999</v>
      </c>
      <c r="U17" s="51" t="s">
        <v>120</v>
      </c>
      <c r="AA17" s="51">
        <f t="shared" si="5"/>
        <v>2.87</v>
      </c>
      <c r="AB17" s="51">
        <f t="shared" si="6"/>
        <v>3.7440000000000002</v>
      </c>
    </row>
    <row r="18" spans="1:28" x14ac:dyDescent="0.25">
      <c r="A18" s="59">
        <f t="shared" si="4"/>
        <v>42777</v>
      </c>
      <c r="B18" s="78" t="s">
        <v>106</v>
      </c>
      <c r="C18" s="79">
        <v>25000</v>
      </c>
      <c r="D18" s="85">
        <v>39375</v>
      </c>
      <c r="E18" s="79">
        <v>10000</v>
      </c>
      <c r="F18" s="85">
        <v>2400</v>
      </c>
      <c r="G18" s="79"/>
      <c r="H18" s="79"/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1"/>
        <v>6.5</v>
      </c>
      <c r="T18" s="87">
        <f t="shared" si="1"/>
        <v>4.8975</v>
      </c>
      <c r="U18" s="51" t="s">
        <v>120</v>
      </c>
      <c r="AA18" s="51">
        <f t="shared" si="5"/>
        <v>3.9375</v>
      </c>
      <c r="AB18" s="51">
        <f t="shared" si="6"/>
        <v>0.96</v>
      </c>
    </row>
    <row r="19" spans="1:28" x14ac:dyDescent="0.25">
      <c r="A19" s="59">
        <f t="shared" si="4"/>
        <v>42778</v>
      </c>
      <c r="B19" s="78" t="s">
        <v>107</v>
      </c>
      <c r="C19" s="79">
        <v>40000</v>
      </c>
      <c r="D19" s="85">
        <v>48335</v>
      </c>
      <c r="E19" s="79"/>
      <c r="F19" s="85"/>
      <c r="G19" s="79"/>
      <c r="H19" s="79"/>
      <c r="I19" s="79"/>
      <c r="J19" s="79"/>
      <c r="K19" s="80"/>
      <c r="L19" s="80"/>
      <c r="M19" s="86"/>
      <c r="N19" s="86"/>
      <c r="O19" s="81"/>
      <c r="P19" s="81"/>
      <c r="Q19" s="81"/>
      <c r="R19" s="81"/>
      <c r="S19" s="84">
        <f t="shared" si="1"/>
        <v>4</v>
      </c>
      <c r="T19" s="84">
        <f t="shared" si="1"/>
        <v>4.8334999999999999</v>
      </c>
      <c r="U19" s="51" t="s">
        <v>120</v>
      </c>
      <c r="AA19" s="51">
        <f t="shared" si="5"/>
        <v>4.8334999999999999</v>
      </c>
      <c r="AB19" s="51">
        <f t="shared" si="6"/>
        <v>0</v>
      </c>
    </row>
    <row r="20" spans="1:28" x14ac:dyDescent="0.25">
      <c r="A20" s="77">
        <f t="shared" si="4"/>
        <v>42779</v>
      </c>
      <c r="B20" s="78" t="s">
        <v>108</v>
      </c>
      <c r="C20" s="79"/>
      <c r="D20" s="79"/>
      <c r="E20" s="79"/>
      <c r="F20" s="85"/>
      <c r="G20" s="79"/>
      <c r="H20" s="79"/>
      <c r="I20" s="79"/>
      <c r="J20" s="79"/>
      <c r="K20" s="80"/>
      <c r="L20" s="80"/>
      <c r="M20" s="86"/>
      <c r="N20" s="86"/>
      <c r="O20" s="81"/>
      <c r="P20" s="81"/>
      <c r="Q20" s="81"/>
      <c r="R20" s="81"/>
      <c r="S20" s="84">
        <f t="shared" si="1"/>
        <v>0</v>
      </c>
      <c r="T20" s="84">
        <f t="shared" si="1"/>
        <v>0</v>
      </c>
      <c r="U20" s="51" t="s">
        <v>121</v>
      </c>
    </row>
    <row r="21" spans="1:28" x14ac:dyDescent="0.25">
      <c r="A21" s="59">
        <f t="shared" si="4"/>
        <v>42780</v>
      </c>
      <c r="B21" s="78" t="s">
        <v>110</v>
      </c>
      <c r="C21" s="79"/>
      <c r="D21" s="85"/>
      <c r="E21" s="79"/>
      <c r="F21" s="85"/>
      <c r="G21" s="79"/>
      <c r="H21" s="79"/>
      <c r="I21" s="79"/>
      <c r="J21" s="79"/>
      <c r="K21" s="80"/>
      <c r="L21" s="80"/>
      <c r="M21" s="86"/>
      <c r="N21" s="86"/>
      <c r="O21" s="81"/>
      <c r="P21" s="86"/>
      <c r="Q21" s="81"/>
      <c r="R21" s="83"/>
      <c r="S21" s="84">
        <f t="shared" si="1"/>
        <v>0</v>
      </c>
      <c r="T21" s="84">
        <f t="shared" si="1"/>
        <v>0</v>
      </c>
      <c r="Y21" s="51">
        <f>SUM(Y9:Y20)</f>
        <v>10.016999999999999</v>
      </c>
      <c r="Z21" s="51">
        <f t="shared" ref="Z21:AB21" si="7">SUM(Z9:Z20)</f>
        <v>18.460799999999999</v>
      </c>
      <c r="AA21" s="51">
        <f t="shared" si="7"/>
        <v>15.718500000000002</v>
      </c>
      <c r="AB21" s="51">
        <f t="shared" si="7"/>
        <v>9.6000000000000014</v>
      </c>
    </row>
    <row r="22" spans="1:28" x14ac:dyDescent="0.25">
      <c r="A22" s="77">
        <f>A21+1</f>
        <v>42781</v>
      </c>
      <c r="B22" s="78" t="s">
        <v>103</v>
      </c>
      <c r="C22" s="88"/>
      <c r="D22" s="85"/>
      <c r="E22" s="85"/>
      <c r="F22" s="85"/>
      <c r="G22" s="88"/>
      <c r="H22" s="88"/>
      <c r="I22" s="88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1"/>
        <v>0</v>
      </c>
      <c r="T22" s="84">
        <f t="shared" si="1"/>
        <v>0</v>
      </c>
      <c r="Z22" s="51">
        <f>Y21+Z21</f>
        <v>28.477799999999998</v>
      </c>
      <c r="AB22" s="51">
        <f>AA21+AB21</f>
        <v>25.318500000000004</v>
      </c>
    </row>
    <row r="23" spans="1:28" x14ac:dyDescent="0.25">
      <c r="A23" s="59">
        <f t="shared" ref="A23:A28" si="8">A22+1</f>
        <v>42782</v>
      </c>
      <c r="B23" s="78" t="s">
        <v>104</v>
      </c>
      <c r="C23" s="88"/>
      <c r="D23" s="85"/>
      <c r="E23" s="85"/>
      <c r="F23" s="79"/>
      <c r="G23" s="88"/>
      <c r="H23" s="85"/>
      <c r="I23" s="88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1"/>
        <v>0</v>
      </c>
      <c r="T23" s="84">
        <f t="shared" si="1"/>
        <v>0</v>
      </c>
    </row>
    <row r="24" spans="1:28" x14ac:dyDescent="0.25">
      <c r="A24" s="77">
        <f t="shared" si="8"/>
        <v>42783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1"/>
        <v>0</v>
      </c>
      <c r="T24" s="84">
        <f t="shared" si="1"/>
        <v>0</v>
      </c>
    </row>
    <row r="25" spans="1:28" x14ac:dyDescent="0.25">
      <c r="A25" s="59">
        <f t="shared" si="8"/>
        <v>42784</v>
      </c>
      <c r="B25" s="78" t="s">
        <v>106</v>
      </c>
      <c r="C25" s="88"/>
      <c r="D25" s="88"/>
      <c r="E25" s="88"/>
      <c r="F25" s="88"/>
      <c r="G25" s="88"/>
      <c r="H25" s="85"/>
      <c r="I25" s="88"/>
      <c r="J25" s="88"/>
      <c r="K25" s="80"/>
      <c r="L25" s="86"/>
      <c r="M25" s="80"/>
      <c r="N25" s="81"/>
      <c r="O25" s="81"/>
      <c r="P25" s="81"/>
      <c r="Q25" s="81"/>
      <c r="R25" s="81"/>
      <c r="S25" s="87">
        <f t="shared" si="1"/>
        <v>0</v>
      </c>
      <c r="T25" s="87">
        <f t="shared" si="1"/>
        <v>0</v>
      </c>
    </row>
    <row r="26" spans="1:28" x14ac:dyDescent="0.25">
      <c r="A26" s="59">
        <f t="shared" si="8"/>
        <v>42785</v>
      </c>
      <c r="B26" s="78" t="s">
        <v>107</v>
      </c>
      <c r="C26" s="88"/>
      <c r="D26" s="88"/>
      <c r="E26" s="88"/>
      <c r="F26" s="88"/>
      <c r="G26" s="88"/>
      <c r="H26" s="85"/>
      <c r="I26" s="88"/>
      <c r="J26" s="88"/>
      <c r="K26" s="80"/>
      <c r="L26" s="86"/>
      <c r="M26" s="80"/>
      <c r="N26" s="81"/>
      <c r="O26" s="81"/>
      <c r="P26" s="81"/>
      <c r="Q26" s="81"/>
      <c r="R26" s="86"/>
      <c r="S26" s="87">
        <f t="shared" si="1"/>
        <v>0</v>
      </c>
      <c r="T26" s="87">
        <f t="shared" si="1"/>
        <v>0</v>
      </c>
    </row>
    <row r="27" spans="1:28" x14ac:dyDescent="0.25">
      <c r="A27" s="77">
        <f t="shared" si="8"/>
        <v>42786</v>
      </c>
      <c r="B27" s="78" t="s">
        <v>108</v>
      </c>
      <c r="C27" s="88"/>
      <c r="D27" s="88"/>
      <c r="E27" s="88"/>
      <c r="F27" s="88"/>
      <c r="G27" s="88"/>
      <c r="H27" s="88"/>
      <c r="I27" s="88"/>
      <c r="J27" s="88"/>
      <c r="K27" s="81"/>
      <c r="L27" s="86"/>
      <c r="M27" s="80"/>
      <c r="N27" s="81"/>
      <c r="O27" s="81"/>
      <c r="P27" s="81"/>
      <c r="Q27" s="81"/>
      <c r="R27" s="86"/>
      <c r="S27" s="87">
        <f t="shared" si="1"/>
        <v>0</v>
      </c>
      <c r="T27" s="87">
        <f t="shared" si="1"/>
        <v>0</v>
      </c>
    </row>
    <row r="28" spans="1:28" x14ac:dyDescent="0.25">
      <c r="A28" s="59">
        <f t="shared" si="8"/>
        <v>42787</v>
      </c>
      <c r="B28" s="78" t="s">
        <v>110</v>
      </c>
      <c r="C28" s="88"/>
      <c r="D28" s="88"/>
      <c r="E28" s="88"/>
      <c r="F28" s="88"/>
      <c r="G28" s="88"/>
      <c r="H28" s="88"/>
      <c r="I28" s="88"/>
      <c r="J28" s="88"/>
      <c r="K28" s="81"/>
      <c r="L28" s="86"/>
      <c r="M28" s="80"/>
      <c r="N28" s="81"/>
      <c r="O28" s="81"/>
      <c r="P28" s="81"/>
      <c r="Q28" s="81"/>
      <c r="R28" s="86"/>
      <c r="S28" s="87">
        <f t="shared" si="1"/>
        <v>0</v>
      </c>
      <c r="T28" s="87">
        <f t="shared" si="1"/>
        <v>0</v>
      </c>
    </row>
    <row r="29" spans="1:28" x14ac:dyDescent="0.25">
      <c r="A29" s="77">
        <f>A28+1</f>
        <v>42788</v>
      </c>
      <c r="B29" s="78" t="s">
        <v>103</v>
      </c>
      <c r="C29" s="88"/>
      <c r="D29" s="88"/>
      <c r="E29" s="88"/>
      <c r="F29" s="88"/>
      <c r="G29" s="88"/>
      <c r="H29" s="88"/>
      <c r="I29" s="88"/>
      <c r="J29" s="85"/>
      <c r="K29" s="80"/>
      <c r="L29" s="86"/>
      <c r="M29" s="80"/>
      <c r="N29" s="81"/>
      <c r="O29" s="81"/>
      <c r="P29" s="81"/>
      <c r="Q29" s="81"/>
      <c r="R29" s="81"/>
      <c r="S29" s="87">
        <f t="shared" si="1"/>
        <v>0</v>
      </c>
      <c r="T29" s="87">
        <f t="shared" si="1"/>
        <v>0</v>
      </c>
    </row>
    <row r="30" spans="1:28" x14ac:dyDescent="0.25">
      <c r="A30" s="59">
        <f t="shared" ref="A30:A35" si="9">A29+1</f>
        <v>42789</v>
      </c>
      <c r="B30" s="78" t="s">
        <v>104</v>
      </c>
      <c r="C30" s="88"/>
      <c r="D30" s="88"/>
      <c r="E30" s="88"/>
      <c r="F30" s="88"/>
      <c r="G30" s="88"/>
      <c r="H30" s="88"/>
      <c r="I30" s="88"/>
      <c r="J30" s="85"/>
      <c r="K30" s="80"/>
      <c r="L30" s="86"/>
      <c r="M30" s="80"/>
      <c r="N30" s="81"/>
      <c r="O30" s="81"/>
      <c r="P30" s="81"/>
      <c r="Q30" s="81"/>
      <c r="R30" s="81"/>
      <c r="S30" s="87">
        <f t="shared" si="1"/>
        <v>0</v>
      </c>
      <c r="T30" s="87">
        <f t="shared" si="1"/>
        <v>0</v>
      </c>
    </row>
    <row r="31" spans="1:28" x14ac:dyDescent="0.25">
      <c r="A31" s="77">
        <f t="shared" si="9"/>
        <v>42790</v>
      </c>
      <c r="B31" s="78" t="s">
        <v>105</v>
      </c>
      <c r="C31" s="88"/>
      <c r="D31" s="88"/>
      <c r="E31" s="88"/>
      <c r="F31" s="85"/>
      <c r="G31" s="88"/>
      <c r="H31" s="88"/>
      <c r="I31" s="88"/>
      <c r="J31" s="85"/>
      <c r="K31" s="80"/>
      <c r="L31" s="81"/>
      <c r="M31" s="81"/>
      <c r="N31" s="81"/>
      <c r="O31" s="81"/>
      <c r="P31" s="81"/>
      <c r="Q31" s="81"/>
      <c r="R31" s="81"/>
      <c r="S31" s="87">
        <f t="shared" si="1"/>
        <v>0</v>
      </c>
      <c r="T31" s="87">
        <f t="shared" si="1"/>
        <v>0</v>
      </c>
    </row>
    <row r="32" spans="1:28" x14ac:dyDescent="0.25">
      <c r="A32" s="59">
        <f t="shared" si="9"/>
        <v>42791</v>
      </c>
      <c r="B32" s="78" t="s">
        <v>106</v>
      </c>
      <c r="C32" s="88"/>
      <c r="D32" s="88"/>
      <c r="E32" s="88"/>
      <c r="F32" s="85"/>
      <c r="G32" s="88"/>
      <c r="H32" s="88"/>
      <c r="I32" s="88"/>
      <c r="J32" s="88"/>
      <c r="K32" s="80"/>
      <c r="L32" s="81"/>
      <c r="M32" s="81"/>
      <c r="N32" s="81"/>
      <c r="O32" s="81"/>
      <c r="P32" s="81"/>
      <c r="Q32" s="81"/>
      <c r="R32" s="81"/>
      <c r="S32" s="87">
        <f t="shared" si="1"/>
        <v>0</v>
      </c>
      <c r="T32" s="87">
        <f t="shared" si="1"/>
        <v>0</v>
      </c>
    </row>
    <row r="33" spans="1:20" x14ac:dyDescent="0.25">
      <c r="A33" s="59">
        <f t="shared" si="9"/>
        <v>42792</v>
      </c>
      <c r="B33" s="78" t="s">
        <v>107</v>
      </c>
      <c r="C33" s="88"/>
      <c r="D33" s="88"/>
      <c r="E33" s="88"/>
      <c r="F33" s="85"/>
      <c r="G33" s="88"/>
      <c r="H33" s="88"/>
      <c r="I33" s="88"/>
      <c r="J33" s="88"/>
      <c r="K33" s="80"/>
      <c r="L33" s="81"/>
      <c r="M33" s="81"/>
      <c r="N33" s="81"/>
      <c r="O33" s="81"/>
      <c r="P33" s="83"/>
      <c r="Q33" s="81"/>
      <c r="R33" s="83"/>
      <c r="S33" s="84">
        <f t="shared" si="1"/>
        <v>0</v>
      </c>
      <c r="T33" s="84">
        <f t="shared" si="1"/>
        <v>0</v>
      </c>
    </row>
    <row r="34" spans="1:20" x14ac:dyDescent="0.25">
      <c r="A34" s="77">
        <f t="shared" si="9"/>
        <v>42793</v>
      </c>
      <c r="B34" s="78" t="s">
        <v>108</v>
      </c>
      <c r="C34" s="88"/>
      <c r="D34" s="88"/>
      <c r="E34" s="88"/>
      <c r="F34" s="88"/>
      <c r="G34" s="88"/>
      <c r="H34" s="88"/>
      <c r="I34" s="88"/>
      <c r="J34" s="88"/>
      <c r="K34" s="80"/>
      <c r="L34" s="86"/>
      <c r="M34" s="80"/>
      <c r="N34" s="81"/>
      <c r="O34" s="81"/>
      <c r="P34" s="83"/>
      <c r="Q34" s="81"/>
      <c r="R34" s="83"/>
      <c r="S34" s="84">
        <f t="shared" si="1"/>
        <v>0</v>
      </c>
      <c r="T34" s="84">
        <f t="shared" si="1"/>
        <v>0</v>
      </c>
    </row>
    <row r="35" spans="1:20" x14ac:dyDescent="0.25">
      <c r="A35" s="59">
        <f t="shared" si="9"/>
        <v>42794</v>
      </c>
      <c r="B35" s="78" t="s">
        <v>110</v>
      </c>
      <c r="C35" s="88"/>
      <c r="D35" s="85"/>
      <c r="E35" s="88"/>
      <c r="F35" s="85"/>
      <c r="G35" s="88"/>
      <c r="H35" s="88"/>
      <c r="I35" s="88"/>
      <c r="J35" s="88"/>
      <c r="K35" s="80"/>
      <c r="L35" s="81"/>
      <c r="M35" s="81"/>
      <c r="N35" s="81"/>
      <c r="O35" s="81"/>
      <c r="P35" s="81"/>
      <c r="Q35" s="81"/>
      <c r="R35" s="83"/>
      <c r="S35" s="84">
        <f t="shared" si="1"/>
        <v>0</v>
      </c>
      <c r="T35" s="84">
        <f t="shared" si="1"/>
        <v>0</v>
      </c>
    </row>
    <row r="36" spans="1:20" x14ac:dyDescent="0.25">
      <c r="A36" s="77"/>
      <c r="B36" s="78"/>
      <c r="C36" s="88"/>
      <c r="D36" s="85"/>
      <c r="E36" s="88"/>
      <c r="F36" s="85"/>
      <c r="G36" s="88"/>
      <c r="H36" s="88"/>
      <c r="I36" s="88"/>
      <c r="J36" s="88"/>
      <c r="K36" s="80"/>
      <c r="L36" s="81"/>
      <c r="M36" s="81"/>
      <c r="N36" s="81"/>
      <c r="O36" s="81"/>
      <c r="P36" s="81"/>
      <c r="Q36" s="81"/>
      <c r="R36" s="83"/>
      <c r="S36" s="84">
        <f t="shared" si="1"/>
        <v>0</v>
      </c>
      <c r="T36" s="84">
        <f t="shared" si="1"/>
        <v>0</v>
      </c>
    </row>
    <row r="37" spans="1:20" x14ac:dyDescent="0.25">
      <c r="A37" s="59"/>
      <c r="B37" s="78"/>
      <c r="C37" s="88"/>
      <c r="D37" s="88"/>
      <c r="E37" s="88"/>
      <c r="F37" s="88"/>
      <c r="G37" s="88"/>
      <c r="H37" s="88"/>
      <c r="I37" s="88"/>
      <c r="J37" s="88"/>
      <c r="K37" s="80"/>
      <c r="L37" s="81"/>
      <c r="M37" s="81"/>
      <c r="N37" s="81"/>
      <c r="O37" s="81"/>
      <c r="P37" s="81"/>
      <c r="Q37" s="81"/>
      <c r="R37" s="81"/>
      <c r="S37" s="84">
        <f t="shared" si="1"/>
        <v>0</v>
      </c>
      <c r="T37" s="84">
        <f t="shared" si="1"/>
        <v>0</v>
      </c>
    </row>
    <row r="38" spans="1:20" x14ac:dyDescent="0.25">
      <c r="A38" s="59"/>
      <c r="B38" s="78"/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1"/>
      <c r="N38" s="81"/>
      <c r="O38" s="81"/>
      <c r="P38" s="81"/>
      <c r="Q38" s="81"/>
      <c r="R38" s="81"/>
      <c r="S38" s="84">
        <f t="shared" ref="S38:T38" si="10">((C38*0.1)+(E38*0.4)+(G38*0.1)+(I38*0.4)+(K38*0.1)+(M38*0.4)+(O38*0.1)+(Q38*0.4))/1000</f>
        <v>0</v>
      </c>
      <c r="T38" s="84">
        <f t="shared" si="10"/>
        <v>0</v>
      </c>
    </row>
    <row r="39" spans="1:20" x14ac:dyDescent="0.25">
      <c r="A39" s="124" t="s">
        <v>111</v>
      </c>
      <c r="B39" s="125"/>
      <c r="C39" s="89">
        <f>SUM(C8:C38)</f>
        <v>110000</v>
      </c>
      <c r="D39" s="89">
        <f t="shared" ref="D39:R39" si="11">SUM(D8:D38)</f>
        <v>157185</v>
      </c>
      <c r="E39" s="89">
        <f t="shared" si="11"/>
        <v>35000</v>
      </c>
      <c r="F39" s="89">
        <f t="shared" si="11"/>
        <v>24000</v>
      </c>
      <c r="G39" s="89">
        <f t="shared" si="11"/>
        <v>100000</v>
      </c>
      <c r="H39" s="89">
        <f t="shared" si="11"/>
        <v>100170</v>
      </c>
      <c r="I39" s="89">
        <f t="shared" si="11"/>
        <v>47000</v>
      </c>
      <c r="J39" s="89">
        <f t="shared" si="11"/>
        <v>46152</v>
      </c>
      <c r="K39" s="89">
        <f t="shared" si="11"/>
        <v>0</v>
      </c>
      <c r="L39" s="89">
        <f t="shared" si="11"/>
        <v>0</v>
      </c>
      <c r="M39" s="89">
        <f t="shared" si="11"/>
        <v>0</v>
      </c>
      <c r="N39" s="89">
        <f t="shared" si="11"/>
        <v>0</v>
      </c>
      <c r="O39" s="89">
        <f t="shared" si="11"/>
        <v>0</v>
      </c>
      <c r="P39" s="89">
        <f>SUM(P8:P38)</f>
        <v>0</v>
      </c>
      <c r="Q39" s="89">
        <f t="shared" si="11"/>
        <v>0</v>
      </c>
      <c r="R39" s="89">
        <f t="shared" si="11"/>
        <v>0</v>
      </c>
      <c r="S39" s="90">
        <f>SUM(S8:S38)</f>
        <v>53.8</v>
      </c>
      <c r="T39" s="89">
        <f t="shared" ref="T39" si="12">SUM(T8:T37)</f>
        <v>53.796300000000002</v>
      </c>
    </row>
    <row r="40" spans="1:20" x14ac:dyDescent="0.25">
      <c r="A40" s="124" t="s">
        <v>112</v>
      </c>
      <c r="B40" s="125"/>
      <c r="C40" s="91">
        <f>C39*0.1/1000</f>
        <v>11</v>
      </c>
      <c r="D40" s="91">
        <f t="shared" ref="D40" si="13">D39*0.1/1000</f>
        <v>15.718500000000001</v>
      </c>
      <c r="E40" s="91">
        <f t="shared" ref="E40:J40" si="14">E39*0.4/1000</f>
        <v>14</v>
      </c>
      <c r="F40" s="91">
        <f t="shared" si="14"/>
        <v>9.6</v>
      </c>
      <c r="G40" s="91">
        <f>G39*0.1/1000</f>
        <v>10</v>
      </c>
      <c r="H40" s="91">
        <f>H39*0.1/1000</f>
        <v>10.016999999999999</v>
      </c>
      <c r="I40" s="91">
        <f t="shared" si="14"/>
        <v>18.8</v>
      </c>
      <c r="J40" s="91">
        <f t="shared" si="14"/>
        <v>18.460799999999999</v>
      </c>
      <c r="K40" s="91">
        <f>K39*0.1/1000</f>
        <v>0</v>
      </c>
      <c r="L40" s="91">
        <f>L39*0.1/1000</f>
        <v>0</v>
      </c>
      <c r="M40" s="91">
        <f>M39*0.4/1000</f>
        <v>0</v>
      </c>
      <c r="N40" s="91">
        <f>N39*0.4/1000</f>
        <v>0</v>
      </c>
      <c r="O40" s="91">
        <f>O39*0.1/1000</f>
        <v>0</v>
      </c>
      <c r="P40" s="91">
        <f t="shared" ref="P40" si="15">P39*0.1/1000</f>
        <v>0</v>
      </c>
      <c r="Q40" s="91">
        <f>Q39*0.4/1000</f>
        <v>0</v>
      </c>
      <c r="R40" s="91">
        <f>R39*0.4/1000</f>
        <v>0</v>
      </c>
      <c r="S40" s="91"/>
      <c r="T40" s="91"/>
    </row>
    <row r="42" spans="1:20" x14ac:dyDescent="0.25">
      <c r="A42" s="52"/>
      <c r="C42" s="51">
        <v>110000</v>
      </c>
      <c r="E42" s="51">
        <v>35000</v>
      </c>
      <c r="G42" s="51">
        <v>30000</v>
      </c>
      <c r="I42" s="51">
        <v>31000</v>
      </c>
    </row>
    <row r="43" spans="1:20" x14ac:dyDescent="0.25">
      <c r="A43" s="52"/>
      <c r="C43" s="51">
        <f>C42/35</f>
        <v>3142.8571428571427</v>
      </c>
      <c r="E43" s="51">
        <f>E42/24</f>
        <v>1458.3333333333333</v>
      </c>
    </row>
    <row r="44" spans="1:20" x14ac:dyDescent="0.25">
      <c r="C44" s="51">
        <f>C43/650</f>
        <v>4.8351648351648349</v>
      </c>
      <c r="E44" s="51">
        <f>E43/245</f>
        <v>5.9523809523809517</v>
      </c>
      <c r="G44" s="51">
        <f>G39-H39</f>
        <v>-170</v>
      </c>
      <c r="I44" s="51">
        <f>I39-J39</f>
        <v>848</v>
      </c>
    </row>
    <row r="45" spans="1:20" x14ac:dyDescent="0.25">
      <c r="O45" s="52"/>
      <c r="P45" s="52"/>
      <c r="Q45" s="52"/>
      <c r="R45" s="52"/>
    </row>
    <row r="46" spans="1:20" x14ac:dyDescent="0.25">
      <c r="C46" s="51">
        <v>10.78</v>
      </c>
      <c r="D46" s="51">
        <v>11</v>
      </c>
    </row>
    <row r="47" spans="1:20" x14ac:dyDescent="0.25">
      <c r="D47" s="51">
        <f>D46*2.4</f>
        <v>26.4</v>
      </c>
    </row>
  </sheetData>
  <mergeCells count="6">
    <mergeCell ref="A40:B40"/>
    <mergeCell ref="C3:R3"/>
    <mergeCell ref="C4:J4"/>
    <mergeCell ref="K4:R4"/>
    <mergeCell ref="S6:T6"/>
    <mergeCell ref="A39:B39"/>
  </mergeCells>
  <conditionalFormatting sqref="F5">
    <cfRule type="cellIs" dxfId="15" priority="1" stopIfTrue="1" operator="greaterThan">
      <formula>0</formula>
    </cfRule>
    <cfRule type="cellIs" dxfId="14" priority="2" stopIfTrue="1" operator="lessThanOrEqual">
      <formula>0</formula>
    </cfRule>
  </conditionalFormatting>
  <conditionalFormatting sqref="T5">
    <cfRule type="cellIs" dxfId="13" priority="15" stopIfTrue="1" operator="greaterThan">
      <formula>0</formula>
    </cfRule>
    <cfRule type="cellIs" dxfId="12" priority="16" stopIfTrue="1" operator="lessThanOrEqual">
      <formula>0</formula>
    </cfRule>
  </conditionalFormatting>
  <conditionalFormatting sqref="O5">
    <cfRule type="cellIs" dxfId="11" priority="14" operator="lessThan">
      <formula>0</formula>
    </cfRule>
  </conditionalFormatting>
  <conditionalFormatting sqref="D5:E5">
    <cfRule type="cellIs" dxfId="10" priority="12" stopIfTrue="1" operator="greaterThan">
      <formula>0</formula>
    </cfRule>
    <cfRule type="cellIs" dxfId="9" priority="13" stopIfTrue="1" operator="lessThanOrEqual">
      <formula>0</formula>
    </cfRule>
  </conditionalFormatting>
  <conditionalFormatting sqref="G5">
    <cfRule type="cellIs" dxfId="8" priority="11" operator="lessThan">
      <formula>0</formula>
    </cfRule>
  </conditionalFormatting>
  <conditionalFormatting sqref="Q5">
    <cfRule type="cellIs" dxfId="7" priority="10" operator="lessThan">
      <formula>0</formula>
    </cfRule>
  </conditionalFormatting>
  <conditionalFormatting sqref="C5">
    <cfRule type="cellIs" dxfId="6" priority="9" operator="lessThan">
      <formula>0</formula>
    </cfRule>
  </conditionalFormatting>
  <conditionalFormatting sqref="H5:N5">
    <cfRule type="cellIs" dxfId="5" priority="7" stopIfTrue="1" operator="greaterThan">
      <formula>0</formula>
    </cfRule>
    <cfRule type="cellIs" dxfId="4" priority="8" stopIfTrue="1" operator="lessThanOrEqual">
      <formula>0</formula>
    </cfRule>
  </conditionalFormatting>
  <conditionalFormatting sqref="P5">
    <cfRule type="cellIs" dxfId="3" priority="5" stopIfTrue="1" operator="greaterThan">
      <formula>0</formula>
    </cfRule>
    <cfRule type="cellIs" dxfId="2" priority="6" stopIfTrue="1" operator="lessThanOrEqual">
      <formula>0</formula>
    </cfRule>
  </conditionalFormatting>
  <conditionalFormatting sqref="R5">
    <cfRule type="cellIs" dxfId="1" priority="3" stopIfTrue="1" operator="greaterThan">
      <formula>0</formula>
    </cfRule>
    <cfRule type="cellIs" dxfId="0" priority="4" stopIfTrue="1" operator="lessThanOrEqual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25"/>
  <cols>
    <col min="4" max="4" width="16.28515625" customWidth="1"/>
    <col min="7" max="7" width="11.5703125" customWidth="1"/>
    <col min="8" max="8" width="11.42578125" customWidth="1"/>
    <col min="9" max="9" width="10.5703125" customWidth="1"/>
  </cols>
  <sheetData>
    <row r="1" spans="1:15" x14ac:dyDescent="0.25">
      <c r="A1" s="140" t="s">
        <v>47</v>
      </c>
      <c r="B1" s="140" t="s">
        <v>48</v>
      </c>
      <c r="C1" s="140" t="s">
        <v>49</v>
      </c>
      <c r="D1" s="141" t="s">
        <v>50</v>
      </c>
      <c r="E1" s="138" t="s">
        <v>51</v>
      </c>
      <c r="F1" s="138" t="s">
        <v>52</v>
      </c>
      <c r="G1" s="31"/>
      <c r="H1" s="138" t="s">
        <v>53</v>
      </c>
      <c r="I1" s="31"/>
      <c r="J1" s="138" t="s">
        <v>54</v>
      </c>
      <c r="K1" s="138" t="s">
        <v>55</v>
      </c>
      <c r="L1" s="138" t="s">
        <v>53</v>
      </c>
      <c r="M1" s="31"/>
      <c r="N1" s="138" t="s">
        <v>54</v>
      </c>
      <c r="O1" s="138" t="s">
        <v>55</v>
      </c>
    </row>
    <row r="2" spans="1:15" ht="45" x14ac:dyDescent="0.25">
      <c r="A2" s="140"/>
      <c r="B2" s="140"/>
      <c r="C2" s="140"/>
      <c r="D2" s="141"/>
      <c r="E2" s="139"/>
      <c r="F2" s="139"/>
      <c r="G2" s="32" t="s">
        <v>56</v>
      </c>
      <c r="H2" s="139"/>
      <c r="I2" s="32" t="s">
        <v>57</v>
      </c>
      <c r="J2" s="139"/>
      <c r="K2" s="139"/>
      <c r="L2" s="139"/>
      <c r="M2" s="32" t="s">
        <v>57</v>
      </c>
      <c r="N2" s="139"/>
      <c r="O2" s="139"/>
    </row>
    <row r="3" spans="1:15" x14ac:dyDescent="0.25">
      <c r="A3" s="135" t="s">
        <v>58</v>
      </c>
      <c r="B3" s="33" t="s">
        <v>59</v>
      </c>
      <c r="C3" s="34">
        <v>25440</v>
      </c>
      <c r="D3" s="35" t="s">
        <v>60</v>
      </c>
      <c r="E3" s="36">
        <v>-9195</v>
      </c>
      <c r="F3" s="37">
        <v>200000</v>
      </c>
      <c r="G3" s="38">
        <v>53515</v>
      </c>
      <c r="H3" s="37">
        <v>350000</v>
      </c>
      <c r="I3" s="39">
        <v>250000</v>
      </c>
      <c r="J3" s="40">
        <v>24000</v>
      </c>
      <c r="K3" s="41">
        <v>80000</v>
      </c>
      <c r="L3">
        <f>H3*100/1000/1000</f>
        <v>35</v>
      </c>
      <c r="M3">
        <f>I3*100/1000/1000</f>
        <v>25</v>
      </c>
      <c r="N3">
        <f>J3*100/1000/1000</f>
        <v>2.4</v>
      </c>
      <c r="O3">
        <f>K3*100/1000/1000</f>
        <v>8</v>
      </c>
    </row>
    <row r="4" spans="1:15" x14ac:dyDescent="0.25">
      <c r="A4" s="136"/>
      <c r="B4" s="33" t="s">
        <v>59</v>
      </c>
      <c r="C4" s="34">
        <v>25441</v>
      </c>
      <c r="D4" s="35" t="s">
        <v>61</v>
      </c>
      <c r="E4" s="36"/>
      <c r="F4" s="37">
        <v>150000</v>
      </c>
      <c r="G4" s="38">
        <v>18144</v>
      </c>
      <c r="H4" s="37">
        <f>13000+20000</f>
        <v>33000</v>
      </c>
      <c r="I4" s="39">
        <v>35000</v>
      </c>
      <c r="J4" s="40">
        <v>20000</v>
      </c>
      <c r="K4" s="42">
        <v>107000</v>
      </c>
      <c r="L4">
        <f>H4*400/1000/1000</f>
        <v>13.2</v>
      </c>
      <c r="M4">
        <f t="shared" ref="M4:O4" si="0">I4*400/1000/1000</f>
        <v>14</v>
      </c>
      <c r="N4">
        <f t="shared" si="0"/>
        <v>8</v>
      </c>
      <c r="O4">
        <f t="shared" si="0"/>
        <v>42.8</v>
      </c>
    </row>
    <row r="5" spans="1:15" x14ac:dyDescent="0.25">
      <c r="A5" s="136"/>
      <c r="B5" s="33" t="s">
        <v>59</v>
      </c>
      <c r="C5" s="34">
        <v>25444</v>
      </c>
      <c r="D5" s="35" t="s">
        <v>62</v>
      </c>
      <c r="E5" s="36">
        <v>-52370</v>
      </c>
      <c r="F5" s="37">
        <v>0</v>
      </c>
      <c r="G5" s="38">
        <v>42665</v>
      </c>
      <c r="H5" s="37">
        <v>279000</v>
      </c>
      <c r="I5" s="39">
        <v>100000</v>
      </c>
      <c r="J5" s="40">
        <v>16000</v>
      </c>
      <c r="K5" s="42">
        <v>15000</v>
      </c>
      <c r="L5">
        <f>H5*100/1000/1000</f>
        <v>27.9</v>
      </c>
      <c r="M5">
        <f t="shared" ref="M5:O5" si="1">I5*100/1000/1000</f>
        <v>10</v>
      </c>
      <c r="N5">
        <f t="shared" si="1"/>
        <v>1.6</v>
      </c>
      <c r="O5">
        <f t="shared" si="1"/>
        <v>1.5</v>
      </c>
    </row>
    <row r="6" spans="1:15" x14ac:dyDescent="0.25">
      <c r="A6" s="137"/>
      <c r="B6" s="33" t="s">
        <v>59</v>
      </c>
      <c r="C6" s="34">
        <v>25445</v>
      </c>
      <c r="D6" s="35" t="s">
        <v>63</v>
      </c>
      <c r="E6" s="36">
        <v>-68688</v>
      </c>
      <c r="F6" s="37">
        <v>7000</v>
      </c>
      <c r="G6" s="38">
        <v>36312</v>
      </c>
      <c r="H6" s="37">
        <v>27000</v>
      </c>
      <c r="I6" s="39">
        <v>27000</v>
      </c>
      <c r="J6" s="40">
        <v>7000</v>
      </c>
      <c r="K6" s="42">
        <v>70000</v>
      </c>
      <c r="L6">
        <f>H6*400/1000/1000</f>
        <v>10.8</v>
      </c>
      <c r="M6">
        <f t="shared" ref="M6:O6" si="2">I6*400/1000/1000</f>
        <v>10.8</v>
      </c>
      <c r="N6">
        <f t="shared" si="2"/>
        <v>2.8</v>
      </c>
      <c r="O6">
        <f t="shared" si="2"/>
        <v>28</v>
      </c>
    </row>
    <row r="7" spans="1:15" x14ac:dyDescent="0.25">
      <c r="A7" s="43"/>
      <c r="B7" s="43"/>
      <c r="C7" s="43"/>
      <c r="D7" s="43"/>
      <c r="E7" s="44"/>
      <c r="F7" s="44"/>
      <c r="G7" s="45"/>
      <c r="H7" s="44"/>
      <c r="I7" s="45"/>
      <c r="J7" s="44"/>
      <c r="K7" s="26"/>
    </row>
    <row r="8" spans="1:15" x14ac:dyDescent="0.25">
      <c r="A8" s="135" t="s">
        <v>64</v>
      </c>
      <c r="B8" s="33" t="s">
        <v>59</v>
      </c>
      <c r="C8" s="34">
        <v>25440.1</v>
      </c>
      <c r="D8" s="35" t="s">
        <v>65</v>
      </c>
      <c r="E8" s="36"/>
      <c r="F8" s="37">
        <v>97020</v>
      </c>
      <c r="G8" s="38">
        <v>97020</v>
      </c>
      <c r="H8" s="40"/>
      <c r="I8" s="39"/>
      <c r="J8" s="40"/>
      <c r="K8" s="9"/>
    </row>
    <row r="9" spans="1:15" x14ac:dyDescent="0.25">
      <c r="A9" s="136"/>
      <c r="B9" s="33" t="s">
        <v>59</v>
      </c>
      <c r="C9" s="34">
        <v>25441.1</v>
      </c>
      <c r="D9" s="35" t="s">
        <v>66</v>
      </c>
      <c r="E9" s="36"/>
      <c r="F9" s="37">
        <v>33798</v>
      </c>
      <c r="G9" s="38">
        <v>33798</v>
      </c>
      <c r="H9" s="40"/>
      <c r="I9" s="39"/>
      <c r="J9" s="40"/>
      <c r="K9" s="9"/>
    </row>
    <row r="10" spans="1:15" x14ac:dyDescent="0.25">
      <c r="A10" s="136"/>
      <c r="B10" s="33" t="s">
        <v>59</v>
      </c>
      <c r="C10" s="34">
        <v>25444.1</v>
      </c>
      <c r="D10" s="35" t="s">
        <v>67</v>
      </c>
      <c r="E10" s="36"/>
      <c r="F10" s="37">
        <v>97020</v>
      </c>
      <c r="G10" s="38">
        <v>97020</v>
      </c>
      <c r="H10" s="40">
        <v>194040</v>
      </c>
      <c r="I10" s="39">
        <v>194040</v>
      </c>
      <c r="J10" s="40"/>
      <c r="K10" s="9"/>
      <c r="L10">
        <f>H10*100/1000/1000</f>
        <v>19.404</v>
      </c>
      <c r="M10">
        <f t="shared" ref="M10:O10" si="3">I10*100/1000/1000</f>
        <v>19.404</v>
      </c>
      <c r="N10">
        <f t="shared" si="3"/>
        <v>0</v>
      </c>
      <c r="O10">
        <f t="shared" si="3"/>
        <v>0</v>
      </c>
    </row>
    <row r="11" spans="1:15" x14ac:dyDescent="0.25">
      <c r="A11" s="137"/>
      <c r="B11" s="33" t="s">
        <v>59</v>
      </c>
      <c r="C11" s="34">
        <v>25445.1</v>
      </c>
      <c r="D11" s="46" t="s">
        <v>68</v>
      </c>
      <c r="E11" s="36"/>
      <c r="F11" s="37"/>
      <c r="G11" s="38"/>
      <c r="H11" s="40"/>
      <c r="I11" s="39"/>
      <c r="J11" s="40"/>
      <c r="K11" s="9"/>
    </row>
    <row r="13" spans="1:15" x14ac:dyDescent="0.25">
      <c r="A13" t="s">
        <v>69</v>
      </c>
    </row>
    <row r="15" spans="1:15" x14ac:dyDescent="0.25">
      <c r="A15" s="2"/>
      <c r="B15" s="2"/>
      <c r="C15" s="120" t="s">
        <v>5</v>
      </c>
      <c r="D15" s="120"/>
      <c r="E15" s="11"/>
      <c r="F15" s="121" t="s">
        <v>2</v>
      </c>
      <c r="G15" s="121"/>
    </row>
    <row r="16" spans="1:15" x14ac:dyDescent="0.25">
      <c r="A16" s="2"/>
      <c r="B16" s="2"/>
      <c r="C16" s="2" t="s">
        <v>10</v>
      </c>
      <c r="D16" s="3" t="s">
        <v>9</v>
      </c>
      <c r="E16" s="3"/>
      <c r="F16" s="2" t="s">
        <v>10</v>
      </c>
      <c r="G16" s="3" t="s">
        <v>9</v>
      </c>
    </row>
    <row r="17" spans="1:7" hidden="1" x14ac:dyDescent="0.25">
      <c r="A17" s="2"/>
      <c r="B17" s="2" t="s">
        <v>15</v>
      </c>
      <c r="C17" s="2"/>
      <c r="D17" s="3"/>
      <c r="E17" s="3"/>
      <c r="F17" s="2"/>
      <c r="G17" s="3"/>
    </row>
    <row r="18" spans="1:7" hidden="1" x14ac:dyDescent="0.25">
      <c r="A18" s="14" t="s">
        <v>26</v>
      </c>
      <c r="B18" s="14" t="s">
        <v>3</v>
      </c>
      <c r="C18" s="15">
        <v>1.64</v>
      </c>
      <c r="D18" s="15">
        <v>0</v>
      </c>
      <c r="E18" s="15"/>
      <c r="F18" s="15">
        <v>4</v>
      </c>
      <c r="G18" s="15">
        <v>0</v>
      </c>
    </row>
    <row r="19" spans="1:7" hidden="1" x14ac:dyDescent="0.25">
      <c r="A19" s="14"/>
      <c r="B19" s="14" t="s">
        <v>4</v>
      </c>
      <c r="C19" s="15">
        <v>15.38</v>
      </c>
      <c r="D19" s="15">
        <v>0</v>
      </c>
      <c r="E19" s="15"/>
      <c r="F19" s="15">
        <v>4</v>
      </c>
      <c r="G19" s="15">
        <v>0</v>
      </c>
    </row>
    <row r="20" spans="1:7" hidden="1" x14ac:dyDescent="0.25">
      <c r="A20" s="5" t="s">
        <v>0</v>
      </c>
      <c r="B20" s="5" t="s">
        <v>3</v>
      </c>
      <c r="C20" s="6">
        <f>(30000*100/1000/1000)</f>
        <v>3</v>
      </c>
      <c r="D20" s="6">
        <v>38.799999999999997</v>
      </c>
      <c r="E20" s="6"/>
      <c r="F20" s="6">
        <v>7.1</v>
      </c>
      <c r="G20" s="6">
        <v>0</v>
      </c>
    </row>
    <row r="21" spans="1:7" hidden="1" x14ac:dyDescent="0.25">
      <c r="A21" s="5"/>
      <c r="B21" s="5" t="s">
        <v>4</v>
      </c>
      <c r="C21" s="6">
        <f>(10000*400/1000/1000)</f>
        <v>4</v>
      </c>
      <c r="D21" s="6">
        <v>27.03</v>
      </c>
      <c r="E21" s="6"/>
      <c r="F21" s="6">
        <v>22</v>
      </c>
      <c r="G21" s="6">
        <v>0</v>
      </c>
    </row>
    <row r="22" spans="1:7" hidden="1" x14ac:dyDescent="0.25">
      <c r="A22" s="14" t="s">
        <v>1</v>
      </c>
      <c r="B22" s="14" t="s">
        <v>3</v>
      </c>
      <c r="C22" s="15">
        <v>3.4</v>
      </c>
      <c r="D22" s="15">
        <v>0</v>
      </c>
      <c r="E22" s="15"/>
      <c r="F22" s="15">
        <v>2.4</v>
      </c>
      <c r="G22" s="15">
        <v>29.1</v>
      </c>
    </row>
    <row r="23" spans="1:7" hidden="1" x14ac:dyDescent="0.25">
      <c r="A23" s="14"/>
      <c r="B23" s="14" t="s">
        <v>4</v>
      </c>
      <c r="C23" s="15">
        <v>7.2</v>
      </c>
      <c r="D23" s="15">
        <v>0</v>
      </c>
      <c r="E23" s="15"/>
      <c r="F23" s="15">
        <v>16</v>
      </c>
      <c r="G23" s="15">
        <v>13.51</v>
      </c>
    </row>
    <row r="24" spans="1:7" hidden="1" x14ac:dyDescent="0.25">
      <c r="A24" s="5" t="s">
        <v>35</v>
      </c>
      <c r="B24" s="5" t="s">
        <v>3</v>
      </c>
      <c r="C24" s="6">
        <f>(900+200000*0.1)/1000</f>
        <v>20.9</v>
      </c>
      <c r="D24" s="6">
        <v>0</v>
      </c>
      <c r="E24" s="6"/>
      <c r="F24" s="6">
        <v>5.23</v>
      </c>
      <c r="G24" s="6">
        <v>0</v>
      </c>
    </row>
    <row r="25" spans="1:7" hidden="1" x14ac:dyDescent="0.25">
      <c r="A25" s="5"/>
      <c r="B25" s="5" t="s">
        <v>4</v>
      </c>
      <c r="C25" s="6">
        <v>60</v>
      </c>
      <c r="D25" s="6">
        <v>0</v>
      </c>
      <c r="E25" s="6"/>
      <c r="F25" s="6">
        <f>(27475+7000*0.4)/1000</f>
        <v>30.274999999999999</v>
      </c>
      <c r="G25" s="6">
        <v>0</v>
      </c>
    </row>
    <row r="26" spans="1:7" x14ac:dyDescent="0.25">
      <c r="A26" s="14" t="s">
        <v>36</v>
      </c>
      <c r="B26" s="14" t="s">
        <v>3</v>
      </c>
      <c r="C26" s="15">
        <f>(350000*0.1)/1000</f>
        <v>35</v>
      </c>
      <c r="D26" s="15">
        <v>0</v>
      </c>
      <c r="E26" s="15"/>
      <c r="F26" s="15">
        <v>27.9</v>
      </c>
      <c r="G26" s="15">
        <f>(194040*0.1)/1000</f>
        <v>19.404</v>
      </c>
    </row>
    <row r="27" spans="1:7" x14ac:dyDescent="0.25">
      <c r="A27" s="14"/>
      <c r="B27" s="14" t="s">
        <v>4</v>
      </c>
      <c r="C27" s="15">
        <v>13.2</v>
      </c>
      <c r="D27" s="15">
        <v>0</v>
      </c>
      <c r="E27" s="15"/>
      <c r="F27" s="15">
        <v>10.8</v>
      </c>
      <c r="G27" s="15">
        <v>0</v>
      </c>
    </row>
    <row r="28" spans="1:7" x14ac:dyDescent="0.25">
      <c r="A28" s="5" t="s">
        <v>37</v>
      </c>
      <c r="B28" s="5" t="s">
        <v>3</v>
      </c>
      <c r="C28" s="6">
        <f>(24000*0.1)/1000</f>
        <v>2.4</v>
      </c>
      <c r="D28" s="6">
        <v>0</v>
      </c>
      <c r="E28" s="6"/>
      <c r="F28" s="6">
        <f>(16000*0.1)/1000</f>
        <v>1.6</v>
      </c>
      <c r="G28" s="6">
        <v>0</v>
      </c>
    </row>
    <row r="29" spans="1:7" x14ac:dyDescent="0.25">
      <c r="A29" s="5"/>
      <c r="B29" s="5" t="s">
        <v>4</v>
      </c>
      <c r="C29" s="6">
        <v>8</v>
      </c>
      <c r="D29" s="6">
        <v>0</v>
      </c>
      <c r="E29" s="6"/>
      <c r="F29" s="6">
        <f>(7000*0.4)/1000</f>
        <v>2.8</v>
      </c>
      <c r="G29" s="6">
        <v>0</v>
      </c>
    </row>
    <row r="30" spans="1:7" x14ac:dyDescent="0.25">
      <c r="A30" s="14" t="s">
        <v>38</v>
      </c>
      <c r="B30" s="14" t="s">
        <v>3</v>
      </c>
      <c r="C30" s="15">
        <v>8</v>
      </c>
      <c r="D30" s="15">
        <v>0</v>
      </c>
      <c r="E30" s="15"/>
      <c r="F30" s="15">
        <v>1.5</v>
      </c>
      <c r="G30" s="15">
        <v>0</v>
      </c>
    </row>
    <row r="31" spans="1:7" x14ac:dyDescent="0.25">
      <c r="A31" s="14"/>
      <c r="B31" s="14" t="s">
        <v>4</v>
      </c>
      <c r="C31" s="15">
        <v>42.8</v>
      </c>
      <c r="D31" s="15">
        <v>0</v>
      </c>
      <c r="E31" s="15"/>
      <c r="F31" s="15">
        <v>28</v>
      </c>
      <c r="G31" s="15">
        <v>0</v>
      </c>
    </row>
  </sheetData>
  <mergeCells count="16">
    <mergeCell ref="J1:J2"/>
    <mergeCell ref="K1:K2"/>
    <mergeCell ref="L1:L2"/>
    <mergeCell ref="N1:N2"/>
    <mergeCell ref="O1:O2"/>
    <mergeCell ref="A3:A6"/>
    <mergeCell ref="A8:A11"/>
    <mergeCell ref="C15:D15"/>
    <mergeCell ref="F15:G15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2"/>
  <sheetViews>
    <sheetView tabSelected="1" topLeftCell="A4" zoomScaleNormal="100" workbookViewId="0">
      <pane ySplit="4" topLeftCell="A8" activePane="bottomLeft" state="frozen"/>
      <selection activeCell="A4" sqref="A4"/>
      <selection pane="bottomLeft" activeCell="H266" sqref="H266"/>
    </sheetView>
  </sheetViews>
  <sheetFormatPr defaultRowHeight="15" x14ac:dyDescent="0.25"/>
  <cols>
    <col min="3" max="3" width="9.28515625" bestFit="1" customWidth="1"/>
    <col min="4" max="4" width="11.28515625" bestFit="1" customWidth="1"/>
    <col min="5" max="5" width="1.28515625" customWidth="1"/>
    <col min="6" max="6" width="15.85546875" customWidth="1"/>
    <col min="7" max="7" width="10.85546875" customWidth="1"/>
    <col min="8" max="8" width="20.5703125" customWidth="1"/>
    <col min="9" max="9" width="10.42578125" customWidth="1"/>
    <col min="10" max="10" width="10.28515625" customWidth="1"/>
    <col min="11" max="11" width="12.5703125" customWidth="1"/>
    <col min="12" max="12" width="8.42578125" bestFit="1" customWidth="1"/>
    <col min="13" max="13" width="8" customWidth="1"/>
    <col min="14" max="14" width="11.5703125" bestFit="1" customWidth="1"/>
    <col min="15" max="15" width="16" bestFit="1" customWidth="1"/>
    <col min="16" max="16" width="1.28515625" customWidth="1"/>
    <col min="17" max="17" width="9.7109375" bestFit="1" customWidth="1"/>
    <col min="18" max="18" width="11.85546875" bestFit="1" customWidth="1"/>
  </cols>
  <sheetData>
    <row r="4" spans="1:18" x14ac:dyDescent="0.25">
      <c r="B4" t="s">
        <v>24</v>
      </c>
      <c r="D4" s="1"/>
      <c r="E4" s="1"/>
    </row>
    <row r="5" spans="1:18" x14ac:dyDescent="0.25">
      <c r="A5" s="2"/>
      <c r="B5" s="2"/>
      <c r="C5" s="2"/>
      <c r="D5" s="3"/>
      <c r="E5" s="3"/>
      <c r="F5" s="2"/>
      <c r="G5" s="2"/>
      <c r="H5" s="2"/>
      <c r="I5" s="2"/>
      <c r="J5" s="2"/>
      <c r="K5" s="2"/>
      <c r="L5" s="121" t="s">
        <v>79</v>
      </c>
      <c r="M5" s="121"/>
      <c r="N5" s="121"/>
      <c r="O5" s="121"/>
      <c r="P5" s="2"/>
      <c r="Q5" s="120" t="s">
        <v>5</v>
      </c>
      <c r="R5" s="120"/>
    </row>
    <row r="6" spans="1:18" ht="30" x14ac:dyDescent="0.25">
      <c r="A6" s="2"/>
      <c r="B6" s="2"/>
      <c r="C6" s="120" t="s">
        <v>5</v>
      </c>
      <c r="D6" s="120"/>
      <c r="E6" s="11"/>
      <c r="F6" s="121" t="s">
        <v>79</v>
      </c>
      <c r="G6" s="121"/>
      <c r="H6" s="2" t="s">
        <v>8</v>
      </c>
      <c r="I6" s="2" t="s">
        <v>7</v>
      </c>
      <c r="J6" s="2" t="s">
        <v>6</v>
      </c>
      <c r="K6" s="20" t="s">
        <v>30</v>
      </c>
      <c r="L6" s="7" t="s">
        <v>11</v>
      </c>
      <c r="M6" s="27" t="s">
        <v>40</v>
      </c>
      <c r="N6" s="7" t="s">
        <v>12</v>
      </c>
      <c r="O6" s="7" t="s">
        <v>34</v>
      </c>
      <c r="P6" s="2"/>
      <c r="Q6" s="2" t="s">
        <v>13</v>
      </c>
      <c r="R6" s="2" t="s">
        <v>14</v>
      </c>
    </row>
    <row r="7" spans="1:18" x14ac:dyDescent="0.25">
      <c r="A7" s="2"/>
      <c r="B7" s="2"/>
      <c r="C7" s="2" t="s">
        <v>10</v>
      </c>
      <c r="D7" s="3" t="s">
        <v>9</v>
      </c>
      <c r="E7" s="3"/>
      <c r="F7" s="2" t="s">
        <v>10</v>
      </c>
      <c r="G7" s="3" t="s">
        <v>9</v>
      </c>
      <c r="H7" s="2"/>
      <c r="I7" s="2">
        <v>1101024</v>
      </c>
      <c r="J7" s="2"/>
      <c r="K7" s="8" t="s">
        <v>27</v>
      </c>
      <c r="L7" s="2">
        <v>1101021</v>
      </c>
      <c r="M7" s="2">
        <v>1101035</v>
      </c>
      <c r="N7" s="2">
        <v>1101022</v>
      </c>
      <c r="O7" s="2">
        <v>1101023</v>
      </c>
      <c r="P7" s="2"/>
      <c r="Q7" s="2">
        <v>1101019</v>
      </c>
      <c r="R7" s="2">
        <v>1101018</v>
      </c>
    </row>
    <row r="8" spans="1:18" x14ac:dyDescent="0.25">
      <c r="A8" s="2"/>
      <c r="B8" s="2" t="s">
        <v>15</v>
      </c>
      <c r="C8" s="2"/>
      <c r="D8" s="3"/>
      <c r="E8" s="3"/>
      <c r="F8" s="2"/>
      <c r="G8" s="3"/>
      <c r="H8" s="2"/>
      <c r="I8" s="2" t="s">
        <v>21</v>
      </c>
      <c r="J8" s="2"/>
      <c r="K8" s="8"/>
      <c r="L8" s="2" t="s">
        <v>20</v>
      </c>
      <c r="M8" s="2"/>
      <c r="N8" s="2" t="s">
        <v>19</v>
      </c>
      <c r="O8" s="2" t="s">
        <v>18</v>
      </c>
      <c r="P8" s="2"/>
      <c r="Q8" s="2" t="s">
        <v>17</v>
      </c>
      <c r="R8" s="2" t="s">
        <v>16</v>
      </c>
    </row>
    <row r="9" spans="1:18" x14ac:dyDescent="0.25">
      <c r="A9" s="14" t="s">
        <v>26</v>
      </c>
      <c r="B9" s="14" t="s">
        <v>3</v>
      </c>
      <c r="C9" s="15">
        <v>1.64</v>
      </c>
      <c r="D9" s="15">
        <v>0</v>
      </c>
      <c r="E9" s="15"/>
      <c r="F9" s="15">
        <v>4</v>
      </c>
      <c r="G9" s="15">
        <v>0</v>
      </c>
      <c r="H9" s="15">
        <f t="shared" ref="H9:H14" si="0">SUM(C9:G9)</f>
        <v>5.64</v>
      </c>
      <c r="I9" s="15">
        <f t="shared" ref="I9:I14" si="1">(H9*1067)/1000</f>
        <v>6.0178799999999999</v>
      </c>
      <c r="J9" s="15"/>
      <c r="K9" s="24"/>
      <c r="L9" s="14"/>
      <c r="M9" s="14"/>
      <c r="N9" s="14"/>
      <c r="O9" s="14"/>
      <c r="P9" s="14"/>
      <c r="Q9" s="14"/>
      <c r="R9" s="14"/>
    </row>
    <row r="10" spans="1:18" x14ac:dyDescent="0.25">
      <c r="A10" s="14"/>
      <c r="B10" s="14" t="s">
        <v>4</v>
      </c>
      <c r="C10" s="15">
        <v>15.38</v>
      </c>
      <c r="D10" s="15">
        <v>0</v>
      </c>
      <c r="E10" s="15"/>
      <c r="F10" s="15">
        <v>4</v>
      </c>
      <c r="G10" s="15">
        <v>0</v>
      </c>
      <c r="H10" s="15">
        <f t="shared" si="0"/>
        <v>19.380000000000003</v>
      </c>
      <c r="I10" s="15">
        <f t="shared" si="1"/>
        <v>20.678460000000001</v>
      </c>
      <c r="J10" s="15">
        <f>I9+I10</f>
        <v>26.696339999999999</v>
      </c>
      <c r="K10" s="23">
        <f>J10-I24</f>
        <v>-2.493660000000002</v>
      </c>
      <c r="L10" s="15">
        <f>(F9+F10+G9+G10)*22</f>
        <v>176</v>
      </c>
      <c r="M10" s="15"/>
      <c r="N10" s="15">
        <f>(F9+F10+G9+G10)*5</f>
        <v>40</v>
      </c>
      <c r="O10" s="15">
        <f>(F9+F10+G9+G10)*11</f>
        <v>88</v>
      </c>
      <c r="P10" s="15"/>
      <c r="Q10" s="15">
        <f>(C9+C10+D9+D10)*22</f>
        <v>374.44</v>
      </c>
      <c r="R10" s="15">
        <f>(C9+C10+D9+D10)*11</f>
        <v>187.22</v>
      </c>
    </row>
    <row r="11" spans="1:18" x14ac:dyDescent="0.25">
      <c r="A11" s="5" t="s">
        <v>0</v>
      </c>
      <c r="B11" s="5" t="s">
        <v>3</v>
      </c>
      <c r="C11" s="6">
        <f>(30000*100/1000/1000)</f>
        <v>3</v>
      </c>
      <c r="D11" s="6">
        <v>38.799999999999997</v>
      </c>
      <c r="E11" s="6"/>
      <c r="F11" s="6">
        <v>7.1</v>
      </c>
      <c r="G11" s="6">
        <v>0</v>
      </c>
      <c r="H11" s="6">
        <f t="shared" si="0"/>
        <v>48.9</v>
      </c>
      <c r="I11" s="6">
        <f t="shared" si="1"/>
        <v>52.176299999999998</v>
      </c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/>
      <c r="B12" s="5" t="s">
        <v>4</v>
      </c>
      <c r="C12" s="6">
        <f>(10000*400/1000/1000)</f>
        <v>4</v>
      </c>
      <c r="D12" s="6">
        <v>27.03</v>
      </c>
      <c r="E12" s="6"/>
      <c r="F12" s="6">
        <v>22</v>
      </c>
      <c r="G12" s="6">
        <v>0</v>
      </c>
      <c r="H12" s="6">
        <f t="shared" si="0"/>
        <v>53.03</v>
      </c>
      <c r="I12" s="6">
        <f t="shared" si="1"/>
        <v>56.583010000000002</v>
      </c>
      <c r="J12" s="6">
        <f>I11+I12</f>
        <v>108.75931</v>
      </c>
      <c r="K12" s="6">
        <f>J12</f>
        <v>108.75931</v>
      </c>
      <c r="L12" s="6">
        <f>(F11+F12+G11+G12)*22</f>
        <v>640.20000000000005</v>
      </c>
      <c r="M12" s="6"/>
      <c r="N12" s="6">
        <f>(F11+F12+G11+G12)*5</f>
        <v>145.5</v>
      </c>
      <c r="O12" s="6">
        <f>(F11+F12+G11+G12)*11</f>
        <v>320.10000000000002</v>
      </c>
      <c r="P12" s="6"/>
      <c r="Q12" s="6">
        <f>(C11+C12+D11+D12)*22</f>
        <v>1602.26</v>
      </c>
      <c r="R12" s="6">
        <f>(C11+C12+D11+D12)*11</f>
        <v>801.13</v>
      </c>
    </row>
    <row r="13" spans="1:18" x14ac:dyDescent="0.25">
      <c r="A13" s="14" t="s">
        <v>1</v>
      </c>
      <c r="B13" s="14" t="s">
        <v>3</v>
      </c>
      <c r="C13" s="15">
        <v>3.4</v>
      </c>
      <c r="D13" s="15">
        <v>0</v>
      </c>
      <c r="E13" s="15"/>
      <c r="F13" s="15">
        <v>2.4</v>
      </c>
      <c r="G13" s="15">
        <v>29.1</v>
      </c>
      <c r="H13" s="15">
        <f t="shared" si="0"/>
        <v>34.9</v>
      </c>
      <c r="I13" s="15">
        <f t="shared" si="1"/>
        <v>37.238299999999995</v>
      </c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4"/>
      <c r="B14" s="14" t="s">
        <v>4</v>
      </c>
      <c r="C14" s="15">
        <v>7.2</v>
      </c>
      <c r="D14" s="15">
        <v>0</v>
      </c>
      <c r="E14" s="15"/>
      <c r="F14" s="15">
        <v>16</v>
      </c>
      <c r="G14" s="15">
        <v>13.51</v>
      </c>
      <c r="H14" s="15">
        <f t="shared" si="0"/>
        <v>36.71</v>
      </c>
      <c r="I14" s="15">
        <f t="shared" si="1"/>
        <v>39.16957</v>
      </c>
      <c r="J14" s="15">
        <f>I13+I14</f>
        <v>76.407870000000003</v>
      </c>
      <c r="K14" s="15">
        <f>J14</f>
        <v>76.407870000000003</v>
      </c>
      <c r="L14" s="15">
        <f>(F13+F14+G13+G14)*22</f>
        <v>1342.22</v>
      </c>
      <c r="M14" s="15"/>
      <c r="N14" s="15">
        <f>(F13+F14+G13+G14)*5</f>
        <v>305.05</v>
      </c>
      <c r="O14" s="15">
        <f>(F13+F14+G13+G14)*11</f>
        <v>671.11</v>
      </c>
      <c r="P14" s="15"/>
      <c r="Q14" s="15">
        <f>(C13+C14+D13+D14)*22</f>
        <v>233.2</v>
      </c>
      <c r="R14" s="15">
        <f>(C13+C14+D13+D14)*11</f>
        <v>116.6</v>
      </c>
    </row>
    <row r="15" spans="1:18" x14ac:dyDescent="0.25">
      <c r="A15" s="5" t="s">
        <v>35</v>
      </c>
      <c r="B15" s="5" t="s">
        <v>3</v>
      </c>
      <c r="C15" s="6">
        <f>(900+200000*0.1)/1000</f>
        <v>20.9</v>
      </c>
      <c r="D15" s="6">
        <v>0</v>
      </c>
      <c r="E15" s="6"/>
      <c r="F15" s="6">
        <v>5.23</v>
      </c>
      <c r="G15" s="6">
        <v>0</v>
      </c>
      <c r="H15" s="6"/>
      <c r="I15" s="6"/>
      <c r="J15" s="6"/>
      <c r="K15" s="25"/>
      <c r="L15" s="6"/>
      <c r="M15" s="6"/>
      <c r="N15" s="6"/>
      <c r="O15" s="6"/>
      <c r="P15" s="6"/>
      <c r="Q15" s="6"/>
      <c r="R15" s="6"/>
    </row>
    <row r="16" spans="1:18" x14ac:dyDescent="0.25">
      <c r="A16" s="5"/>
      <c r="B16" s="5" t="s">
        <v>4</v>
      </c>
      <c r="C16" s="6">
        <v>60</v>
      </c>
      <c r="D16" s="6">
        <v>0</v>
      </c>
      <c r="E16" s="6"/>
      <c r="F16" s="6">
        <f>(27475+7000*0.4)/1000</f>
        <v>30.274999999999999</v>
      </c>
      <c r="G16" s="6">
        <v>0</v>
      </c>
      <c r="H16" s="6"/>
      <c r="I16" s="6"/>
      <c r="J16" s="6"/>
      <c r="K16" s="25"/>
      <c r="L16" s="6"/>
      <c r="M16" s="6"/>
      <c r="N16" s="6"/>
      <c r="O16" s="6"/>
      <c r="P16" s="6"/>
      <c r="Q16" s="6"/>
      <c r="R16" s="6"/>
    </row>
    <row r="17" spans="1:20" x14ac:dyDescent="0.25">
      <c r="A17" s="14" t="s">
        <v>36</v>
      </c>
      <c r="B17" s="14" t="s">
        <v>3</v>
      </c>
      <c r="C17" s="15">
        <f>(350000*0.1)/1000</f>
        <v>35</v>
      </c>
      <c r="D17" s="15">
        <v>0</v>
      </c>
      <c r="E17" s="15"/>
      <c r="F17" s="15">
        <f>(280000*0.1)/1000</f>
        <v>28</v>
      </c>
      <c r="G17" s="15">
        <f>(194040*0.1)/1000</f>
        <v>19.404</v>
      </c>
      <c r="H17" s="48"/>
      <c r="I17" s="15"/>
      <c r="J17" s="15"/>
      <c r="K17" s="23"/>
      <c r="L17" s="15"/>
      <c r="M17" s="15"/>
      <c r="N17" s="15"/>
      <c r="O17" s="15"/>
      <c r="P17" s="15"/>
      <c r="Q17" s="15"/>
      <c r="R17" s="15"/>
    </row>
    <row r="18" spans="1:20" x14ac:dyDescent="0.25">
      <c r="A18" s="14"/>
      <c r="B18" s="14" t="s">
        <v>4</v>
      </c>
      <c r="C18" s="15">
        <f>(9000*0.4)/1000</f>
        <v>3.6</v>
      </c>
      <c r="D18" s="15">
        <v>0</v>
      </c>
      <c r="E18" s="15"/>
      <c r="F18" s="15">
        <v>16</v>
      </c>
      <c r="G18" s="15">
        <v>0</v>
      </c>
      <c r="H18" s="15"/>
      <c r="I18" s="15"/>
      <c r="J18" s="15"/>
      <c r="K18" s="23"/>
      <c r="L18" s="15"/>
      <c r="M18" s="15"/>
      <c r="N18" s="15"/>
      <c r="O18" s="15"/>
      <c r="P18" s="15"/>
      <c r="Q18" s="15"/>
      <c r="R18" s="15"/>
    </row>
    <row r="19" spans="1:20" x14ac:dyDescent="0.25">
      <c r="A19" s="5" t="s">
        <v>37</v>
      </c>
      <c r="B19" s="5" t="s">
        <v>3</v>
      </c>
      <c r="C19" s="6">
        <f>(24000*0.1)/1000</f>
        <v>2.4</v>
      </c>
      <c r="D19" s="6">
        <v>19.404</v>
      </c>
      <c r="E19" s="6"/>
      <c r="F19" s="6">
        <f>(16000*0.1)/1000</f>
        <v>1.6</v>
      </c>
      <c r="G19" s="6">
        <v>0</v>
      </c>
      <c r="H19" s="6"/>
      <c r="I19" s="6"/>
      <c r="J19" s="6"/>
      <c r="K19" s="25"/>
      <c r="L19" s="6"/>
      <c r="M19" s="6"/>
      <c r="N19" s="6"/>
      <c r="O19" s="6"/>
      <c r="P19" s="6"/>
      <c r="Q19" s="6"/>
      <c r="R19" s="6"/>
    </row>
    <row r="20" spans="1:20" x14ac:dyDescent="0.25">
      <c r="A20" s="5"/>
      <c r="B20" s="5" t="s">
        <v>4</v>
      </c>
      <c r="C20" s="6">
        <v>8</v>
      </c>
      <c r="D20" s="6">
        <v>27.0336</v>
      </c>
      <c r="E20" s="6"/>
      <c r="F20" s="6">
        <f>(7000*0.4)/1000</f>
        <v>2.8</v>
      </c>
      <c r="G20" s="6">
        <v>0</v>
      </c>
      <c r="H20" s="6"/>
      <c r="I20" s="6"/>
      <c r="J20" s="6"/>
      <c r="K20" s="25"/>
      <c r="L20" s="6"/>
      <c r="M20" s="6"/>
      <c r="N20" s="6"/>
      <c r="O20" s="6"/>
      <c r="P20" s="6"/>
      <c r="Q20" s="6"/>
      <c r="R20" s="6"/>
    </row>
    <row r="21" spans="1:20" x14ac:dyDescent="0.25">
      <c r="A21" s="14" t="s">
        <v>38</v>
      </c>
      <c r="B21" s="14" t="s">
        <v>3</v>
      </c>
      <c r="C21" s="15">
        <v>2.2999999999999998</v>
      </c>
      <c r="D21" s="15">
        <v>0</v>
      </c>
      <c r="E21" s="15"/>
      <c r="F21" s="15">
        <v>6.5</v>
      </c>
      <c r="G21" s="15">
        <v>0</v>
      </c>
      <c r="H21" s="15"/>
      <c r="I21" s="15"/>
      <c r="J21" s="15"/>
      <c r="K21" s="23"/>
      <c r="L21" s="15"/>
      <c r="M21" s="15"/>
      <c r="N21" s="15"/>
      <c r="O21" s="15"/>
      <c r="P21" s="15"/>
      <c r="Q21" s="15"/>
      <c r="R21" s="15"/>
    </row>
    <row r="22" spans="1:20" x14ac:dyDescent="0.25">
      <c r="A22" s="14"/>
      <c r="B22" s="14" t="s">
        <v>4</v>
      </c>
      <c r="C22" s="15">
        <v>35.6</v>
      </c>
      <c r="D22" s="15">
        <v>0</v>
      </c>
      <c r="E22" s="15"/>
      <c r="F22" s="15">
        <v>23.6</v>
      </c>
      <c r="G22" s="15">
        <v>0</v>
      </c>
      <c r="H22" s="15"/>
      <c r="I22" s="15"/>
      <c r="J22" s="15"/>
      <c r="K22" s="23"/>
      <c r="L22" s="15"/>
      <c r="M22" s="15"/>
      <c r="N22" s="15"/>
      <c r="O22" s="15"/>
      <c r="P22" s="15"/>
      <c r="Q22" s="15"/>
      <c r="R22" s="15"/>
    </row>
    <row r="23" spans="1:20" x14ac:dyDescent="0.25">
      <c r="A23" s="2"/>
      <c r="B23" s="2"/>
      <c r="C23" s="4"/>
      <c r="D23" s="4"/>
      <c r="E23" s="4"/>
      <c r="F23" s="4"/>
      <c r="G23" s="4"/>
      <c r="H23" s="4"/>
      <c r="I23" s="4"/>
      <c r="J23" s="4"/>
      <c r="K23" s="8"/>
      <c r="L23" s="4"/>
      <c r="M23" s="4"/>
      <c r="N23" s="4"/>
      <c r="O23" s="4"/>
      <c r="P23" s="13"/>
      <c r="Q23" s="4"/>
      <c r="R23" s="4"/>
    </row>
    <row r="24" spans="1:20" x14ac:dyDescent="0.25">
      <c r="A24" s="2" t="s">
        <v>39</v>
      </c>
      <c r="B24" s="2"/>
      <c r="C24" s="4"/>
      <c r="D24" s="4"/>
      <c r="E24" s="4"/>
      <c r="F24" s="4"/>
      <c r="G24" s="4"/>
      <c r="H24" s="4"/>
      <c r="I24" s="4">
        <f>29190/1000</f>
        <v>29.19</v>
      </c>
      <c r="J24" s="4"/>
      <c r="K24" s="8"/>
      <c r="L24" s="47">
        <v>978.04300000000001</v>
      </c>
      <c r="M24" s="47">
        <v>3652.8330000000001</v>
      </c>
      <c r="N24" s="47">
        <f>28.84+90+10+5+165+15</f>
        <v>313.84000000000003</v>
      </c>
      <c r="O24" s="47">
        <v>977.98599999999999</v>
      </c>
      <c r="P24" s="4"/>
      <c r="Q24" s="47">
        <v>2430.5320000000002</v>
      </c>
      <c r="R24" s="49">
        <v>363.87200000000001</v>
      </c>
      <c r="S24" s="29">
        <v>831</v>
      </c>
    </row>
    <row r="25" spans="1:20" x14ac:dyDescent="0.25">
      <c r="A25" s="2" t="s">
        <v>41</v>
      </c>
      <c r="B25" s="2"/>
      <c r="C25" s="4"/>
      <c r="D25" s="4"/>
      <c r="E25" s="4"/>
      <c r="F25" s="4"/>
      <c r="G25" s="4"/>
      <c r="H25" s="4"/>
      <c r="I25" s="4">
        <f>(131750/1000)</f>
        <v>131.75</v>
      </c>
      <c r="J25" s="4">
        <f>SUM(I24:I25)</f>
        <v>160.94</v>
      </c>
      <c r="K25" s="8"/>
      <c r="L25" s="4">
        <f>900+900</f>
        <v>1800</v>
      </c>
      <c r="M25" s="4">
        <v>3000</v>
      </c>
      <c r="N25" s="4">
        <v>545</v>
      </c>
      <c r="O25" s="4">
        <f>550+100</f>
        <v>650</v>
      </c>
      <c r="P25" s="4"/>
      <c r="Q25" s="4">
        <v>1570</v>
      </c>
      <c r="R25" s="4">
        <v>1675</v>
      </c>
      <c r="S25" s="18">
        <f>S24+R24</f>
        <v>1194.8720000000001</v>
      </c>
      <c r="T25">
        <f>S25/10</f>
        <v>119.4872</v>
      </c>
    </row>
    <row r="26" spans="1:20" x14ac:dyDescent="0.25">
      <c r="A26" s="12"/>
      <c r="L26" s="19"/>
      <c r="M26" s="19"/>
      <c r="N26" s="19"/>
      <c r="O26" s="19"/>
      <c r="P26" s="19"/>
      <c r="Q26" s="19"/>
      <c r="R26" s="19"/>
    </row>
    <row r="27" spans="1:20" x14ac:dyDescent="0.25">
      <c r="F27" s="18"/>
      <c r="L27" s="19"/>
      <c r="M27" s="19">
        <f>(M25)/20</f>
        <v>150</v>
      </c>
      <c r="N27" s="19"/>
      <c r="O27" s="19"/>
      <c r="P27" s="19"/>
      <c r="Q27" s="19"/>
      <c r="R27" s="19">
        <f>119.5*10</f>
        <v>1195</v>
      </c>
      <c r="S27" s="18">
        <f>R27-R24</f>
        <v>831.12799999999993</v>
      </c>
    </row>
    <row r="28" spans="1:20" x14ac:dyDescent="0.25">
      <c r="L28" s="18">
        <f>(L24)/20</f>
        <v>48.902149999999999</v>
      </c>
      <c r="M28" s="18">
        <f>M24/20</f>
        <v>182.64165</v>
      </c>
      <c r="N28">
        <f>N24/5</f>
        <v>62.768000000000008</v>
      </c>
      <c r="O28">
        <f>O24/10</f>
        <v>97.798599999999993</v>
      </c>
      <c r="Q28">
        <f>Q24/20</f>
        <v>121.5266</v>
      </c>
      <c r="R28">
        <f>R24/10</f>
        <v>36.3872</v>
      </c>
    </row>
    <row r="29" spans="1:20" x14ac:dyDescent="0.25">
      <c r="J29" t="s">
        <v>42</v>
      </c>
      <c r="K29" t="s">
        <v>43</v>
      </c>
      <c r="L29" s="28">
        <f>F15+F16</f>
        <v>35.504999999999995</v>
      </c>
      <c r="Q29" s="21"/>
    </row>
    <row r="30" spans="1:20" x14ac:dyDescent="0.25">
      <c r="I30" t="s">
        <v>2</v>
      </c>
      <c r="K30" t="s">
        <v>44</v>
      </c>
      <c r="L30" s="18">
        <f>G15+G16</f>
        <v>0</v>
      </c>
    </row>
    <row r="31" spans="1:20" x14ac:dyDescent="0.25">
      <c r="F31" s="18"/>
      <c r="N31" s="18"/>
    </row>
    <row r="32" spans="1:20" x14ac:dyDescent="0.25">
      <c r="J32" t="s">
        <v>45</v>
      </c>
      <c r="K32" t="s">
        <v>43</v>
      </c>
      <c r="L32" s="18">
        <f>F17+F18</f>
        <v>44</v>
      </c>
    </row>
    <row r="33" spans="1:18" x14ac:dyDescent="0.25">
      <c r="K33" t="s">
        <v>44</v>
      </c>
      <c r="L33" s="18">
        <f>G17+G18</f>
        <v>19.404</v>
      </c>
    </row>
    <row r="36" spans="1:18" x14ac:dyDescent="0.25">
      <c r="A36" s="30" t="s">
        <v>46</v>
      </c>
    </row>
    <row r="38" spans="1:18" x14ac:dyDescent="0.25">
      <c r="B38" t="s">
        <v>24</v>
      </c>
      <c r="D38" s="1"/>
      <c r="E38" s="1"/>
    </row>
    <row r="39" spans="1:18" x14ac:dyDescent="0.25">
      <c r="A39" s="2"/>
      <c r="B39" s="2"/>
      <c r="C39" s="2"/>
      <c r="D39" s="3"/>
      <c r="E39" s="3"/>
      <c r="F39" s="2"/>
      <c r="G39" s="2"/>
      <c r="H39" s="2"/>
      <c r="I39" s="2"/>
      <c r="J39" s="2"/>
      <c r="K39" s="2"/>
      <c r="L39" s="121" t="s">
        <v>79</v>
      </c>
      <c r="M39" s="121"/>
      <c r="N39" s="121"/>
      <c r="O39" s="121"/>
      <c r="P39" s="2"/>
      <c r="Q39" s="120" t="s">
        <v>5</v>
      </c>
      <c r="R39" s="120"/>
    </row>
    <row r="40" spans="1:18" ht="30" x14ac:dyDescent="0.25">
      <c r="A40" s="2"/>
      <c r="B40" s="2"/>
      <c r="C40" s="120" t="s">
        <v>5</v>
      </c>
      <c r="D40" s="120"/>
      <c r="E40" s="11"/>
      <c r="F40" s="121" t="s">
        <v>79</v>
      </c>
      <c r="G40" s="121"/>
      <c r="H40" s="2" t="s">
        <v>8</v>
      </c>
      <c r="I40" s="2" t="s">
        <v>7</v>
      </c>
      <c r="J40" s="2" t="s">
        <v>6</v>
      </c>
      <c r="K40" s="20" t="s">
        <v>30</v>
      </c>
      <c r="L40" s="7" t="s">
        <v>11</v>
      </c>
      <c r="M40" s="27" t="s">
        <v>40</v>
      </c>
      <c r="N40" s="7" t="s">
        <v>12</v>
      </c>
      <c r="O40" s="7" t="s">
        <v>34</v>
      </c>
      <c r="P40" s="2"/>
      <c r="Q40" s="2" t="s">
        <v>13</v>
      </c>
      <c r="R40" s="2" t="s">
        <v>14</v>
      </c>
    </row>
    <row r="41" spans="1:18" x14ac:dyDescent="0.25">
      <c r="A41" s="2"/>
      <c r="B41" s="2"/>
      <c r="C41" s="2" t="s">
        <v>10</v>
      </c>
      <c r="D41" s="3" t="s">
        <v>9</v>
      </c>
      <c r="E41" s="3"/>
      <c r="F41" s="2" t="s">
        <v>10</v>
      </c>
      <c r="G41" s="3" t="s">
        <v>9</v>
      </c>
      <c r="H41" s="2"/>
      <c r="I41" s="2">
        <v>1101024</v>
      </c>
      <c r="J41" s="2"/>
      <c r="K41" s="8" t="s">
        <v>27</v>
      </c>
      <c r="L41" s="2">
        <v>1101021</v>
      </c>
      <c r="M41" s="2">
        <v>1101035</v>
      </c>
      <c r="N41" s="2">
        <v>1101022</v>
      </c>
      <c r="O41" s="2">
        <v>1101023</v>
      </c>
      <c r="P41" s="2"/>
      <c r="Q41" s="2">
        <v>1101019</v>
      </c>
      <c r="R41" s="2">
        <v>1101018</v>
      </c>
    </row>
    <row r="42" spans="1:18" x14ac:dyDescent="0.25">
      <c r="A42" s="2"/>
      <c r="B42" s="2" t="s">
        <v>15</v>
      </c>
      <c r="C42" s="2"/>
      <c r="D42" s="3"/>
      <c r="E42" s="3"/>
      <c r="F42" s="2"/>
      <c r="G42" s="3"/>
      <c r="H42" s="2"/>
      <c r="I42" s="2" t="s">
        <v>21</v>
      </c>
      <c r="J42" s="2"/>
      <c r="K42" s="8"/>
      <c r="L42" s="2" t="s">
        <v>20</v>
      </c>
      <c r="M42" s="2"/>
      <c r="N42" s="2" t="s">
        <v>19</v>
      </c>
      <c r="O42" s="2" t="s">
        <v>18</v>
      </c>
      <c r="P42" s="2"/>
      <c r="Q42" s="2" t="s">
        <v>17</v>
      </c>
      <c r="R42" s="2" t="s">
        <v>16</v>
      </c>
    </row>
    <row r="43" spans="1:18" x14ac:dyDescent="0.25">
      <c r="A43" s="14" t="s">
        <v>26</v>
      </c>
      <c r="B43" s="14" t="s">
        <v>3</v>
      </c>
      <c r="C43" s="15">
        <v>1.64</v>
      </c>
      <c r="D43" s="15">
        <v>0</v>
      </c>
      <c r="E43" s="15"/>
      <c r="F43" s="15">
        <v>4</v>
      </c>
      <c r="G43" s="15">
        <v>0</v>
      </c>
      <c r="H43" s="15">
        <f t="shared" ref="H43:H48" si="2">SUM(C43:G43)</f>
        <v>5.64</v>
      </c>
      <c r="I43" s="15">
        <f t="shared" ref="I43:I48" si="3">(H43*1067)/1000</f>
        <v>6.0178799999999999</v>
      </c>
      <c r="J43" s="15"/>
      <c r="K43" s="24"/>
      <c r="L43" s="14"/>
      <c r="M43" s="14"/>
      <c r="N43" s="14"/>
      <c r="O43" s="14"/>
      <c r="P43" s="14"/>
      <c r="Q43" s="14"/>
      <c r="R43" s="14"/>
    </row>
    <row r="44" spans="1:18" x14ac:dyDescent="0.25">
      <c r="A44" s="14"/>
      <c r="B44" s="14" t="s">
        <v>4</v>
      </c>
      <c r="C44" s="15">
        <v>15.38</v>
      </c>
      <c r="D44" s="15">
        <v>0</v>
      </c>
      <c r="E44" s="15"/>
      <c r="F44" s="15">
        <v>4</v>
      </c>
      <c r="G44" s="15">
        <v>0</v>
      </c>
      <c r="H44" s="15">
        <f t="shared" si="2"/>
        <v>19.380000000000003</v>
      </c>
      <c r="I44" s="15">
        <f t="shared" si="3"/>
        <v>20.678460000000001</v>
      </c>
      <c r="J44" s="15">
        <f>I43+I44</f>
        <v>26.696339999999999</v>
      </c>
      <c r="K44" s="23">
        <f>J44-I58</f>
        <v>-2.493660000000002</v>
      </c>
      <c r="L44" s="15">
        <f>(F43+F44+G43+G44)*22</f>
        <v>176</v>
      </c>
      <c r="M44" s="15"/>
      <c r="N44" s="15">
        <f>(F43+F44+G43+G44)*5</f>
        <v>40</v>
      </c>
      <c r="O44" s="15">
        <f>(F43+F44+G43+G44)*11</f>
        <v>88</v>
      </c>
      <c r="P44" s="15"/>
      <c r="Q44" s="15">
        <f>(C43+C44+D43+D44)*22</f>
        <v>374.44</v>
      </c>
      <c r="R44" s="15">
        <f>(C43+C44+D43+D44)*11</f>
        <v>187.22</v>
      </c>
    </row>
    <row r="45" spans="1:18" x14ac:dyDescent="0.25">
      <c r="A45" s="5" t="s">
        <v>0</v>
      </c>
      <c r="B45" s="5" t="s">
        <v>3</v>
      </c>
      <c r="C45" s="6">
        <f>(30000*100/1000/1000)</f>
        <v>3</v>
      </c>
      <c r="D45" s="6">
        <v>38.799999999999997</v>
      </c>
      <c r="E45" s="6"/>
      <c r="F45" s="6">
        <v>7.1</v>
      </c>
      <c r="G45" s="6">
        <v>0</v>
      </c>
      <c r="H45" s="6">
        <f t="shared" si="2"/>
        <v>48.9</v>
      </c>
      <c r="I45" s="6">
        <f t="shared" si="3"/>
        <v>52.176299999999998</v>
      </c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5"/>
      <c r="B46" s="5" t="s">
        <v>4</v>
      </c>
      <c r="C46" s="6">
        <f>(10000*400/1000/1000)</f>
        <v>4</v>
      </c>
      <c r="D46" s="6">
        <v>27.03</v>
      </c>
      <c r="E46" s="6"/>
      <c r="F46" s="6">
        <v>22</v>
      </c>
      <c r="G46" s="6">
        <v>0</v>
      </c>
      <c r="H46" s="6">
        <f t="shared" si="2"/>
        <v>53.03</v>
      </c>
      <c r="I46" s="6">
        <f t="shared" si="3"/>
        <v>56.583010000000002</v>
      </c>
      <c r="J46" s="6">
        <f>I45+I46</f>
        <v>108.75931</v>
      </c>
      <c r="K46" s="6">
        <f>J46</f>
        <v>108.75931</v>
      </c>
      <c r="L46" s="6">
        <f>(F45+F46+G45+G46)*22</f>
        <v>640.20000000000005</v>
      </c>
      <c r="M46" s="6"/>
      <c r="N46" s="6">
        <f>(F45+F46+G45+G46)*5</f>
        <v>145.5</v>
      </c>
      <c r="O46" s="6">
        <f>(F45+F46+G45+G46)*11</f>
        <v>320.10000000000002</v>
      </c>
      <c r="P46" s="6"/>
      <c r="Q46" s="6">
        <f>(C45+C46+D45+D46)*22</f>
        <v>1602.26</v>
      </c>
      <c r="R46" s="6">
        <f>(C45+C46+D45+D46)*11</f>
        <v>801.13</v>
      </c>
    </row>
    <row r="47" spans="1:18" x14ac:dyDescent="0.25">
      <c r="A47" s="14" t="s">
        <v>1</v>
      </c>
      <c r="B47" s="14" t="s">
        <v>3</v>
      </c>
      <c r="C47" s="15">
        <v>3.4</v>
      </c>
      <c r="D47" s="15">
        <v>0</v>
      </c>
      <c r="E47" s="15"/>
      <c r="F47" s="15">
        <v>2.4</v>
      </c>
      <c r="G47" s="15">
        <v>29.1</v>
      </c>
      <c r="H47" s="15">
        <f t="shared" si="2"/>
        <v>34.9</v>
      </c>
      <c r="I47" s="15">
        <f t="shared" si="3"/>
        <v>37.238299999999995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s="14"/>
      <c r="B48" s="14" t="s">
        <v>4</v>
      </c>
      <c r="C48" s="15">
        <v>7.2</v>
      </c>
      <c r="D48" s="15">
        <v>0</v>
      </c>
      <c r="E48" s="15"/>
      <c r="F48" s="15">
        <v>16</v>
      </c>
      <c r="G48" s="15">
        <v>13.51</v>
      </c>
      <c r="H48" s="15">
        <f t="shared" si="2"/>
        <v>36.71</v>
      </c>
      <c r="I48" s="15">
        <f t="shared" si="3"/>
        <v>39.16957</v>
      </c>
      <c r="J48" s="15">
        <f>I47+I48</f>
        <v>76.407870000000003</v>
      </c>
      <c r="K48" s="15">
        <f>J48</f>
        <v>76.407870000000003</v>
      </c>
      <c r="L48" s="15">
        <f>(F47+F48+G47+G48)*22</f>
        <v>1342.22</v>
      </c>
      <c r="M48" s="15"/>
      <c r="N48" s="15">
        <f>(F47+F48+G47+G48)*5</f>
        <v>305.05</v>
      </c>
      <c r="O48" s="15">
        <f>(F47+F48+G47+G48)*11</f>
        <v>671.11</v>
      </c>
      <c r="P48" s="15"/>
      <c r="Q48" s="15">
        <f>(C47+C48+D47+D48)*22</f>
        <v>233.2</v>
      </c>
      <c r="R48" s="15">
        <f>(C47+C48+D47+D48)*11</f>
        <v>116.6</v>
      </c>
    </row>
    <row r="49" spans="1:18" x14ac:dyDescent="0.25">
      <c r="A49" s="5" t="s">
        <v>35</v>
      </c>
      <c r="B49" s="5" t="s">
        <v>3</v>
      </c>
      <c r="C49" s="6">
        <f>(900+200000*0.1)/1000</f>
        <v>20.9</v>
      </c>
      <c r="D49" s="6">
        <v>0</v>
      </c>
      <c r="E49" s="6"/>
      <c r="F49" s="6">
        <v>5.23</v>
      </c>
      <c r="G49" s="6">
        <v>0</v>
      </c>
      <c r="H49" s="6"/>
      <c r="I49" s="6"/>
      <c r="J49" s="6"/>
      <c r="K49" s="25"/>
      <c r="L49" s="6"/>
      <c r="M49" s="6"/>
      <c r="N49" s="6"/>
      <c r="O49" s="6"/>
      <c r="P49" s="6"/>
      <c r="Q49" s="6"/>
      <c r="R49" s="6"/>
    </row>
    <row r="50" spans="1:18" x14ac:dyDescent="0.25">
      <c r="A50" s="5"/>
      <c r="B50" s="5" t="s">
        <v>4</v>
      </c>
      <c r="C50" s="6">
        <v>0</v>
      </c>
      <c r="D50" s="6">
        <v>0</v>
      </c>
      <c r="E50" s="6"/>
      <c r="F50" s="6">
        <f>(27475+7000*0.4)/1000</f>
        <v>30.274999999999999</v>
      </c>
      <c r="G50" s="6">
        <v>0</v>
      </c>
      <c r="H50" s="6"/>
      <c r="I50" s="6"/>
      <c r="J50" s="6"/>
      <c r="K50" s="25"/>
      <c r="L50" s="6"/>
      <c r="M50" s="6"/>
      <c r="N50" s="6"/>
      <c r="O50" s="6"/>
      <c r="P50" s="6"/>
      <c r="Q50" s="6"/>
      <c r="R50" s="6"/>
    </row>
    <row r="51" spans="1:18" x14ac:dyDescent="0.25">
      <c r="A51" s="14" t="s">
        <v>36</v>
      </c>
      <c r="B51" s="14" t="s">
        <v>3</v>
      </c>
      <c r="C51" s="15">
        <f>(350000*0.1)/1000</f>
        <v>35</v>
      </c>
      <c r="D51" s="15">
        <v>0</v>
      </c>
      <c r="E51" s="15"/>
      <c r="F51" s="15">
        <f>(280000*0.1)/1000</f>
        <v>28</v>
      </c>
      <c r="G51" s="15">
        <f>(194040*0.1)/1000</f>
        <v>19.404</v>
      </c>
      <c r="H51" s="15"/>
      <c r="I51" s="15"/>
      <c r="J51" s="15"/>
      <c r="K51" s="23"/>
      <c r="L51" s="15"/>
      <c r="M51" s="15"/>
      <c r="N51" s="15"/>
      <c r="O51" s="15"/>
      <c r="P51" s="15"/>
      <c r="Q51" s="15"/>
      <c r="R51" s="15"/>
    </row>
    <row r="52" spans="1:18" x14ac:dyDescent="0.25">
      <c r="A52" s="14"/>
      <c r="B52" s="14" t="s">
        <v>4</v>
      </c>
      <c r="C52" s="15">
        <f>(9000*0.4)/1000</f>
        <v>3.6</v>
      </c>
      <c r="D52" s="15">
        <v>0</v>
      </c>
      <c r="E52" s="15"/>
      <c r="F52" s="15">
        <v>16</v>
      </c>
      <c r="G52" s="15">
        <v>0</v>
      </c>
      <c r="H52" s="15"/>
      <c r="I52" s="15"/>
      <c r="J52" s="15"/>
      <c r="K52" s="23"/>
      <c r="L52" s="15"/>
      <c r="M52" s="15"/>
      <c r="N52" s="15"/>
      <c r="O52" s="15"/>
      <c r="P52" s="15"/>
      <c r="Q52" s="15"/>
      <c r="R52" s="15"/>
    </row>
    <row r="53" spans="1:18" x14ac:dyDescent="0.25">
      <c r="A53" s="5" t="s">
        <v>37</v>
      </c>
      <c r="B53" s="5" t="s">
        <v>3</v>
      </c>
      <c r="C53" s="6">
        <f>(24000*0.1)/1000</f>
        <v>2.4</v>
      </c>
      <c r="D53" s="6">
        <v>19.404</v>
      </c>
      <c r="E53" s="6"/>
      <c r="F53" s="6">
        <f>(16000*0.1)/1000</f>
        <v>1.6</v>
      </c>
      <c r="G53" s="6">
        <v>0</v>
      </c>
      <c r="H53" s="6"/>
      <c r="I53" s="6"/>
      <c r="J53" s="6"/>
      <c r="K53" s="25"/>
      <c r="L53" s="6"/>
      <c r="M53" s="6"/>
      <c r="N53" s="6"/>
      <c r="O53" s="6"/>
      <c r="P53" s="6"/>
      <c r="Q53" s="6"/>
      <c r="R53" s="6"/>
    </row>
    <row r="54" spans="1:18" x14ac:dyDescent="0.25">
      <c r="A54" s="5"/>
      <c r="B54" s="5" t="s">
        <v>4</v>
      </c>
      <c r="C54" s="6">
        <v>8</v>
      </c>
      <c r="D54" s="6">
        <v>27.0336</v>
      </c>
      <c r="E54" s="6"/>
      <c r="F54" s="6">
        <f>(7000*0.4)/1000</f>
        <v>2.8</v>
      </c>
      <c r="G54" s="6">
        <v>0</v>
      </c>
      <c r="H54" s="6"/>
      <c r="I54" s="6"/>
      <c r="J54" s="6"/>
      <c r="K54" s="25"/>
      <c r="L54" s="6"/>
      <c r="M54" s="6"/>
      <c r="N54" s="6"/>
      <c r="O54" s="6"/>
      <c r="P54" s="6"/>
      <c r="Q54" s="6"/>
      <c r="R54" s="6"/>
    </row>
    <row r="55" spans="1:18" x14ac:dyDescent="0.25">
      <c r="A55" s="14" t="s">
        <v>38</v>
      </c>
      <c r="B55" s="14" t="s">
        <v>3</v>
      </c>
      <c r="C55" s="15">
        <v>2.2999999999999998</v>
      </c>
      <c r="D55" s="15">
        <v>0</v>
      </c>
      <c r="E55" s="15"/>
      <c r="F55" s="15">
        <v>6.5</v>
      </c>
      <c r="G55" s="15">
        <v>0</v>
      </c>
      <c r="H55" s="15"/>
      <c r="I55" s="15"/>
      <c r="J55" s="15"/>
      <c r="K55" s="23"/>
      <c r="L55" s="15"/>
      <c r="M55" s="15"/>
      <c r="N55" s="15"/>
      <c r="O55" s="15"/>
      <c r="P55" s="15"/>
      <c r="Q55" s="15"/>
      <c r="R55" s="15"/>
    </row>
    <row r="56" spans="1:18" x14ac:dyDescent="0.25">
      <c r="A56" s="14"/>
      <c r="B56" s="14" t="s">
        <v>4</v>
      </c>
      <c r="C56" s="15">
        <v>35.6</v>
      </c>
      <c r="D56" s="15">
        <v>0</v>
      </c>
      <c r="E56" s="15"/>
      <c r="F56" s="15">
        <v>23.6</v>
      </c>
      <c r="G56" s="15">
        <v>0</v>
      </c>
      <c r="H56" s="15"/>
      <c r="I56" s="15"/>
      <c r="J56" s="15"/>
      <c r="K56" s="23"/>
      <c r="L56" s="15"/>
      <c r="M56" s="15"/>
      <c r="N56" s="15"/>
      <c r="O56" s="15"/>
      <c r="P56" s="15"/>
      <c r="Q56" s="15"/>
      <c r="R56" s="15"/>
    </row>
    <row r="57" spans="1:18" x14ac:dyDescent="0.25">
      <c r="A57" s="2"/>
      <c r="B57" s="2"/>
      <c r="C57" s="4"/>
      <c r="D57" s="4"/>
      <c r="E57" s="4"/>
      <c r="F57" s="4"/>
      <c r="G57" s="4"/>
      <c r="H57" s="4"/>
      <c r="I57" s="4"/>
      <c r="J57" s="4"/>
      <c r="K57" s="8"/>
      <c r="L57" s="4"/>
      <c r="M57" s="4"/>
      <c r="N57" s="4"/>
      <c r="O57" s="4"/>
      <c r="P57" s="13"/>
      <c r="Q57" s="4"/>
      <c r="R57" s="4"/>
    </row>
    <row r="58" spans="1:18" x14ac:dyDescent="0.25">
      <c r="A58" s="2" t="s">
        <v>39</v>
      </c>
      <c r="B58" s="2"/>
      <c r="C58" s="4"/>
      <c r="D58" s="4"/>
      <c r="E58" s="4"/>
      <c r="F58" s="4"/>
      <c r="G58" s="4"/>
      <c r="H58" s="4"/>
      <c r="I58" s="4">
        <f>29190/1000</f>
        <v>29.19</v>
      </c>
      <c r="J58" s="4"/>
      <c r="K58" s="8"/>
      <c r="L58" s="4">
        <v>978.04300000000001</v>
      </c>
      <c r="M58" s="4">
        <v>3652.8330000000001</v>
      </c>
      <c r="N58" s="4">
        <f>28.84+90+10+5+165+15</f>
        <v>313.84000000000003</v>
      </c>
      <c r="O58" s="4">
        <v>977.98599999999999</v>
      </c>
      <c r="P58" s="4"/>
      <c r="Q58" s="4">
        <v>2430.5320000000002</v>
      </c>
      <c r="R58" s="13">
        <v>363.87200000000001</v>
      </c>
    </row>
    <row r="59" spans="1:18" x14ac:dyDescent="0.25">
      <c r="A59" s="2" t="s">
        <v>41</v>
      </c>
      <c r="B59" s="2"/>
      <c r="C59" s="4"/>
      <c r="D59" s="4"/>
      <c r="E59" s="4"/>
      <c r="F59" s="4"/>
      <c r="G59" s="4"/>
      <c r="H59" s="4"/>
      <c r="I59" s="4">
        <f>(131750/1000)</f>
        <v>131.75</v>
      </c>
      <c r="J59" s="4">
        <f>SUM(I58:I59)</f>
        <v>160.94</v>
      </c>
      <c r="K59" s="8"/>
      <c r="L59" s="4">
        <f>900+900</f>
        <v>1800</v>
      </c>
      <c r="M59" s="4">
        <v>3000</v>
      </c>
      <c r="N59" s="4">
        <v>545</v>
      </c>
      <c r="O59" s="4">
        <f>550+100</f>
        <v>650</v>
      </c>
      <c r="P59" s="4"/>
      <c r="Q59" s="4">
        <v>1570</v>
      </c>
      <c r="R59" s="4">
        <v>1675</v>
      </c>
    </row>
    <row r="63" spans="1:18" x14ac:dyDescent="0.25">
      <c r="A63" s="30" t="s">
        <v>70</v>
      </c>
    </row>
    <row r="65" spans="1:18" x14ac:dyDescent="0.25">
      <c r="B65" t="s">
        <v>71</v>
      </c>
      <c r="D65" s="1"/>
      <c r="E65" s="1"/>
    </row>
    <row r="66" spans="1:18" x14ac:dyDescent="0.25">
      <c r="A66" s="2"/>
      <c r="B66" s="2"/>
      <c r="C66" s="2"/>
      <c r="D66" s="3"/>
      <c r="E66" s="3"/>
      <c r="F66" s="2"/>
      <c r="G66" s="2"/>
      <c r="H66" s="2"/>
      <c r="I66" s="2"/>
      <c r="J66" s="2"/>
      <c r="K66" s="2"/>
      <c r="L66" s="121" t="s">
        <v>79</v>
      </c>
      <c r="M66" s="121"/>
      <c r="N66" s="121"/>
      <c r="O66" s="121"/>
      <c r="P66" s="2"/>
      <c r="Q66" s="120" t="s">
        <v>5</v>
      </c>
      <c r="R66" s="120"/>
    </row>
    <row r="67" spans="1:18" ht="30" x14ac:dyDescent="0.25">
      <c r="A67" s="2"/>
      <c r="B67" s="2"/>
      <c r="C67" s="120" t="s">
        <v>5</v>
      </c>
      <c r="D67" s="120"/>
      <c r="E67" s="11"/>
      <c r="F67" s="121" t="s">
        <v>79</v>
      </c>
      <c r="G67" s="121"/>
      <c r="H67" s="2" t="s">
        <v>8</v>
      </c>
      <c r="I67" s="2" t="s">
        <v>7</v>
      </c>
      <c r="J67" s="2" t="s">
        <v>6</v>
      </c>
      <c r="K67" s="20" t="s">
        <v>30</v>
      </c>
      <c r="L67" s="7" t="s">
        <v>11</v>
      </c>
      <c r="M67" s="27" t="s">
        <v>40</v>
      </c>
      <c r="N67" s="7" t="s">
        <v>12</v>
      </c>
      <c r="O67" s="7" t="s">
        <v>34</v>
      </c>
      <c r="P67" s="2"/>
      <c r="Q67" s="2" t="s">
        <v>13</v>
      </c>
      <c r="R67" s="2" t="s">
        <v>14</v>
      </c>
    </row>
    <row r="68" spans="1:18" x14ac:dyDescent="0.25">
      <c r="A68" s="2"/>
      <c r="B68" s="2"/>
      <c r="C68" s="2" t="s">
        <v>10</v>
      </c>
      <c r="D68" s="3" t="s">
        <v>9</v>
      </c>
      <c r="E68" s="3"/>
      <c r="F68" s="2" t="s">
        <v>10</v>
      </c>
      <c r="G68" s="3" t="s">
        <v>9</v>
      </c>
      <c r="H68" s="2"/>
      <c r="I68" s="2">
        <v>1101024</v>
      </c>
      <c r="J68" s="2"/>
      <c r="K68" s="8" t="s">
        <v>27</v>
      </c>
      <c r="L68" s="2">
        <v>1101021</v>
      </c>
      <c r="M68" s="2">
        <v>1101035</v>
      </c>
      <c r="N68" s="2">
        <v>1101022</v>
      </c>
      <c r="O68" s="2">
        <v>1101023</v>
      </c>
      <c r="P68" s="2"/>
      <c r="Q68" s="2">
        <v>1101019</v>
      </c>
      <c r="R68" s="2">
        <v>1101018</v>
      </c>
    </row>
    <row r="69" spans="1:18" x14ac:dyDescent="0.25">
      <c r="A69" s="2"/>
      <c r="B69" s="2" t="s">
        <v>15</v>
      </c>
      <c r="C69" s="2"/>
      <c r="D69" s="3"/>
      <c r="E69" s="3"/>
      <c r="F69" s="2"/>
      <c r="G69" s="3"/>
      <c r="H69" s="2"/>
      <c r="I69" s="2" t="s">
        <v>21</v>
      </c>
      <c r="J69" s="2"/>
      <c r="K69" s="8"/>
      <c r="L69" s="2" t="s">
        <v>20</v>
      </c>
      <c r="M69" s="2"/>
      <c r="N69" s="2" t="s">
        <v>19</v>
      </c>
      <c r="O69" s="2" t="s">
        <v>18</v>
      </c>
      <c r="P69" s="2"/>
      <c r="Q69" s="2" t="s">
        <v>17</v>
      </c>
      <c r="R69" s="2" t="s">
        <v>16</v>
      </c>
    </row>
    <row r="70" spans="1:18" x14ac:dyDescent="0.25">
      <c r="A70" s="14" t="s">
        <v>36</v>
      </c>
      <c r="B70" s="14" t="s">
        <v>3</v>
      </c>
      <c r="C70" s="15">
        <f>(350000*0.1)/1000</f>
        <v>35</v>
      </c>
      <c r="D70" s="15">
        <v>0</v>
      </c>
      <c r="E70" s="15"/>
      <c r="F70" s="15">
        <v>27.9</v>
      </c>
      <c r="G70" s="15">
        <f>(194040*0.1)/1000</f>
        <v>19.404</v>
      </c>
      <c r="H70" s="15"/>
      <c r="I70" s="15"/>
      <c r="J70" s="15"/>
      <c r="K70" s="23"/>
      <c r="L70" s="15"/>
      <c r="M70" s="15"/>
      <c r="N70" s="15"/>
      <c r="O70" s="15"/>
      <c r="P70" s="15"/>
      <c r="Q70" s="15"/>
      <c r="R70" s="15"/>
    </row>
    <row r="71" spans="1:18" x14ac:dyDescent="0.25">
      <c r="A71" s="14"/>
      <c r="B71" s="14" t="s">
        <v>4</v>
      </c>
      <c r="C71" s="15">
        <v>13.2</v>
      </c>
      <c r="D71" s="15">
        <v>0</v>
      </c>
      <c r="E71" s="15"/>
      <c r="F71" s="15">
        <v>10.8</v>
      </c>
      <c r="G71" s="15">
        <v>0</v>
      </c>
      <c r="H71" s="15"/>
      <c r="I71" s="15"/>
      <c r="J71" s="15"/>
      <c r="K71" s="23"/>
      <c r="L71" s="15"/>
      <c r="M71" s="15"/>
      <c r="N71" s="15"/>
      <c r="O71" s="15"/>
      <c r="P71" s="15"/>
      <c r="Q71" s="15"/>
      <c r="R71" s="15"/>
    </row>
    <row r="72" spans="1:18" x14ac:dyDescent="0.25">
      <c r="A72" s="5" t="s">
        <v>37</v>
      </c>
      <c r="B72" s="5" t="s">
        <v>3</v>
      </c>
      <c r="C72" s="6">
        <f>(24000*0.1)/1000</f>
        <v>2.4</v>
      </c>
      <c r="D72" s="6">
        <v>0</v>
      </c>
      <c r="E72" s="6"/>
      <c r="F72" s="6">
        <f>(16000*0.1)/1000</f>
        <v>1.6</v>
      </c>
      <c r="G72" s="6">
        <v>0</v>
      </c>
      <c r="H72" s="6"/>
      <c r="I72" s="6"/>
      <c r="J72" s="6"/>
      <c r="K72" s="25"/>
      <c r="L72" s="6"/>
      <c r="M72" s="6"/>
      <c r="N72" s="6"/>
      <c r="O72" s="6"/>
      <c r="P72" s="6"/>
      <c r="Q72" s="6"/>
      <c r="R72" s="6"/>
    </row>
    <row r="73" spans="1:18" x14ac:dyDescent="0.25">
      <c r="A73" s="5"/>
      <c r="B73" s="5" t="s">
        <v>4</v>
      </c>
      <c r="C73" s="6">
        <v>8</v>
      </c>
      <c r="D73" s="6">
        <v>0</v>
      </c>
      <c r="E73" s="6"/>
      <c r="F73" s="6">
        <f>(7000*0.4)/1000</f>
        <v>2.8</v>
      </c>
      <c r="G73" s="6">
        <v>0</v>
      </c>
      <c r="H73" s="6"/>
      <c r="I73" s="6"/>
      <c r="J73" s="6"/>
      <c r="K73" s="25"/>
      <c r="L73" s="6"/>
      <c r="M73" s="6"/>
      <c r="N73" s="6"/>
      <c r="O73" s="6"/>
      <c r="P73" s="6"/>
      <c r="Q73" s="6"/>
      <c r="R73" s="6"/>
    </row>
    <row r="74" spans="1:18" x14ac:dyDescent="0.25">
      <c r="A74" s="14" t="s">
        <v>38</v>
      </c>
      <c r="B74" s="14" t="s">
        <v>3</v>
      </c>
      <c r="C74" s="15">
        <v>8</v>
      </c>
      <c r="D74" s="15">
        <v>0</v>
      </c>
      <c r="E74" s="15"/>
      <c r="F74" s="15">
        <v>1.5</v>
      </c>
      <c r="G74" s="15">
        <v>0</v>
      </c>
      <c r="H74" s="15"/>
      <c r="I74" s="15"/>
      <c r="J74" s="15"/>
      <c r="K74" s="23"/>
      <c r="L74" s="15"/>
      <c r="M74" s="15"/>
      <c r="N74" s="15"/>
      <c r="O74" s="15"/>
      <c r="P74" s="15"/>
      <c r="Q74" s="15"/>
      <c r="R74" s="15"/>
    </row>
    <row r="75" spans="1:18" x14ac:dyDescent="0.25">
      <c r="A75" s="14"/>
      <c r="B75" s="14" t="s">
        <v>4</v>
      </c>
      <c r="C75" s="15">
        <v>42.8</v>
      </c>
      <c r="D75" s="15">
        <v>0</v>
      </c>
      <c r="E75" s="15"/>
      <c r="F75" s="15">
        <v>28</v>
      </c>
      <c r="G75" s="15">
        <v>0</v>
      </c>
      <c r="H75" s="15"/>
      <c r="I75" s="15"/>
      <c r="J75" s="15"/>
      <c r="K75" s="23"/>
      <c r="L75" s="15"/>
      <c r="M75" s="15"/>
      <c r="N75" s="15"/>
      <c r="O75" s="15"/>
      <c r="P75" s="15"/>
      <c r="Q75" s="15"/>
      <c r="R75" s="15"/>
    </row>
    <row r="76" spans="1:18" x14ac:dyDescent="0.25">
      <c r="A76" s="2"/>
      <c r="B76" s="2"/>
      <c r="C76" s="4"/>
      <c r="D76" s="4"/>
      <c r="E76" s="4"/>
      <c r="F76" s="4"/>
      <c r="G76" s="4"/>
      <c r="H76" s="4"/>
      <c r="I76" s="4"/>
      <c r="J76" s="4"/>
      <c r="K76" s="8"/>
      <c r="L76" s="4"/>
      <c r="M76" s="4"/>
      <c r="N76" s="4"/>
      <c r="O76" s="4"/>
      <c r="P76" s="13"/>
      <c r="Q76" s="4"/>
      <c r="R76" s="4"/>
    </row>
    <row r="77" spans="1:18" x14ac:dyDescent="0.25">
      <c r="A77" s="2" t="s">
        <v>72</v>
      </c>
      <c r="B77" s="2"/>
      <c r="C77" s="4"/>
      <c r="D77" s="4"/>
      <c r="E77" s="4"/>
      <c r="F77" s="4"/>
      <c r="G77" s="4"/>
      <c r="H77" s="4"/>
      <c r="I77" s="4">
        <f>(29190+21000+4020)/1000</f>
        <v>54.21</v>
      </c>
      <c r="J77" s="4"/>
      <c r="K77" s="8"/>
      <c r="L77" s="4">
        <v>978.04300000000001</v>
      </c>
      <c r="M77" s="4">
        <v>3652.8330000000001</v>
      </c>
      <c r="N77" s="4">
        <f>28.84+90+10+5+165+15</f>
        <v>313.84000000000003</v>
      </c>
      <c r="O77" s="4">
        <v>977.98599999999999</v>
      </c>
      <c r="P77" s="4"/>
      <c r="Q77" s="4">
        <v>2430.5320000000002</v>
      </c>
      <c r="R77" s="13">
        <v>363.87200000000001</v>
      </c>
    </row>
    <row r="78" spans="1:18" x14ac:dyDescent="0.25">
      <c r="A78" s="2" t="s">
        <v>73</v>
      </c>
      <c r="B78" s="2"/>
      <c r="C78" s="4"/>
      <c r="D78" s="4"/>
      <c r="E78" s="4"/>
      <c r="F78" s="4"/>
      <c r="G78" s="4"/>
      <c r="H78" s="4"/>
      <c r="I78" s="4">
        <f>(206770/1000)</f>
        <v>206.77</v>
      </c>
      <c r="J78" s="4">
        <f>SUM(I77:I78)</f>
        <v>260.98</v>
      </c>
      <c r="K78" s="8"/>
      <c r="L78" s="4">
        <f>900+900</f>
        <v>1800</v>
      </c>
      <c r="M78" s="4">
        <v>0</v>
      </c>
      <c r="N78" s="4">
        <v>545</v>
      </c>
      <c r="O78" s="4">
        <f>550+100</f>
        <v>650</v>
      </c>
      <c r="P78" s="4"/>
      <c r="Q78" s="4">
        <v>1570</v>
      </c>
      <c r="R78" s="4">
        <v>1675</v>
      </c>
    </row>
    <row r="80" spans="1:18" x14ac:dyDescent="0.25">
      <c r="I80">
        <f>I77*1000/970</f>
        <v>55.886597938144327</v>
      </c>
      <c r="L80">
        <f>L77/20</f>
        <v>48.902149999999999</v>
      </c>
      <c r="M80">
        <f>M77/20</f>
        <v>182.64165</v>
      </c>
      <c r="N80">
        <f>N77/5</f>
        <v>62.768000000000008</v>
      </c>
      <c r="O80">
        <f>O77/10</f>
        <v>97.798599999999993</v>
      </c>
      <c r="Q80">
        <f>Q77/20</f>
        <v>121.5266</v>
      </c>
      <c r="R80">
        <f>R77/10</f>
        <v>36.3872</v>
      </c>
    </row>
    <row r="81" spans="1:18" x14ac:dyDescent="0.25">
      <c r="H81" t="s">
        <v>74</v>
      </c>
      <c r="L81" s="18">
        <f>F70+F71</f>
        <v>38.700000000000003</v>
      </c>
      <c r="M81" s="18">
        <f>G70</f>
        <v>19.404</v>
      </c>
      <c r="N81" s="18">
        <f>F70+F71+G70+G71</f>
        <v>58.103999999999999</v>
      </c>
      <c r="O81" s="18">
        <f>F70+F71+G70+G71</f>
        <v>58.103999999999999</v>
      </c>
      <c r="Q81" s="18">
        <f>C70+C71+D70+D71</f>
        <v>48.2</v>
      </c>
      <c r="R81" s="18">
        <f>C70+C71+D70+D71</f>
        <v>48.2</v>
      </c>
    </row>
    <row r="82" spans="1:18" x14ac:dyDescent="0.25">
      <c r="H82" t="s">
        <v>75</v>
      </c>
      <c r="I82" s="18">
        <f>I77-(C70+C71+D70+D71+F70+G70+G70+G71)</f>
        <v>-60.697999999999986</v>
      </c>
      <c r="L82" s="18">
        <f>L80-L81</f>
        <v>10.202149999999996</v>
      </c>
      <c r="M82" s="18">
        <f t="shared" ref="M82:R82" si="4">M80-M81</f>
        <v>163.23765</v>
      </c>
      <c r="N82" s="18">
        <f t="shared" si="4"/>
        <v>4.6640000000000086</v>
      </c>
      <c r="O82" s="18">
        <f t="shared" si="4"/>
        <v>39.694599999999994</v>
      </c>
      <c r="P82" s="18">
        <f t="shared" si="4"/>
        <v>0</v>
      </c>
      <c r="Q82" s="18">
        <f t="shared" si="4"/>
        <v>73.326599999999999</v>
      </c>
      <c r="R82" s="18">
        <f t="shared" si="4"/>
        <v>-11.812800000000003</v>
      </c>
    </row>
    <row r="83" spans="1:18" x14ac:dyDescent="0.25">
      <c r="H83" t="s">
        <v>76</v>
      </c>
    </row>
    <row r="84" spans="1:18" x14ac:dyDescent="0.25">
      <c r="H84" t="s">
        <v>77</v>
      </c>
    </row>
    <row r="85" spans="1:18" x14ac:dyDescent="0.25">
      <c r="H85" t="s">
        <v>78</v>
      </c>
    </row>
    <row r="87" spans="1:18" x14ac:dyDescent="0.25">
      <c r="I87" s="18">
        <f>I77+60.7</f>
        <v>114.91</v>
      </c>
    </row>
    <row r="90" spans="1:18" x14ac:dyDescent="0.25">
      <c r="B90" t="s">
        <v>116</v>
      </c>
      <c r="D90" s="1"/>
      <c r="E90" s="1"/>
    </row>
    <row r="91" spans="1:18" x14ac:dyDescent="0.25">
      <c r="A91" s="2"/>
      <c r="B91" s="2"/>
      <c r="C91" s="2"/>
      <c r="D91" s="3"/>
      <c r="E91" s="3"/>
      <c r="F91" s="2"/>
      <c r="G91" s="2"/>
      <c r="H91" s="2"/>
      <c r="I91" s="2"/>
      <c r="J91" s="2"/>
      <c r="K91" s="2"/>
      <c r="L91" s="121" t="s">
        <v>79</v>
      </c>
      <c r="M91" s="121"/>
      <c r="N91" s="121"/>
      <c r="O91" s="121"/>
      <c r="P91" s="2"/>
      <c r="Q91" s="120" t="s">
        <v>5</v>
      </c>
      <c r="R91" s="120"/>
    </row>
    <row r="92" spans="1:18" ht="30" x14ac:dyDescent="0.25">
      <c r="A92" s="2"/>
      <c r="B92" s="2"/>
      <c r="C92" s="120" t="s">
        <v>5</v>
      </c>
      <c r="D92" s="120"/>
      <c r="E92" s="11"/>
      <c r="F92" s="121" t="s">
        <v>79</v>
      </c>
      <c r="G92" s="121"/>
      <c r="H92" s="2" t="s">
        <v>8</v>
      </c>
      <c r="I92" s="2" t="s">
        <v>7</v>
      </c>
      <c r="J92" s="2" t="s">
        <v>6</v>
      </c>
      <c r="K92" s="20" t="s">
        <v>30</v>
      </c>
      <c r="L92" s="7" t="s">
        <v>11</v>
      </c>
      <c r="M92" s="27" t="s">
        <v>40</v>
      </c>
      <c r="N92" s="7" t="s">
        <v>12</v>
      </c>
      <c r="O92" s="7" t="s">
        <v>34</v>
      </c>
      <c r="P92" s="2"/>
      <c r="Q92" s="2" t="s">
        <v>13</v>
      </c>
      <c r="R92" s="2" t="s">
        <v>14</v>
      </c>
    </row>
    <row r="93" spans="1:18" x14ac:dyDescent="0.25">
      <c r="A93" s="2"/>
      <c r="B93" s="2"/>
      <c r="C93" s="2" t="s">
        <v>10</v>
      </c>
      <c r="D93" s="3" t="s">
        <v>9</v>
      </c>
      <c r="E93" s="3"/>
      <c r="F93" s="2" t="s">
        <v>10</v>
      </c>
      <c r="G93" s="3" t="s">
        <v>9</v>
      </c>
      <c r="H93" s="2"/>
      <c r="I93" s="2">
        <v>1101024</v>
      </c>
      <c r="J93" s="2"/>
      <c r="K93" s="8" t="s">
        <v>27</v>
      </c>
      <c r="L93" s="2">
        <v>1101021</v>
      </c>
      <c r="M93" s="2">
        <v>1101035</v>
      </c>
      <c r="N93" s="2">
        <v>1101022</v>
      </c>
      <c r="O93" s="2">
        <v>1101023</v>
      </c>
      <c r="P93" s="2"/>
      <c r="Q93" s="2">
        <v>1101019</v>
      </c>
      <c r="R93" s="2">
        <v>1101018</v>
      </c>
    </row>
    <row r="94" spans="1:18" x14ac:dyDescent="0.25">
      <c r="A94" s="2"/>
      <c r="B94" s="2" t="s">
        <v>15</v>
      </c>
      <c r="C94" s="2"/>
      <c r="D94" s="3"/>
      <c r="E94" s="3"/>
      <c r="F94" s="2"/>
      <c r="G94" s="3"/>
      <c r="H94" s="2"/>
      <c r="I94" s="96" t="s">
        <v>21</v>
      </c>
      <c r="J94" s="2"/>
      <c r="K94" s="8"/>
      <c r="L94" s="96" t="s">
        <v>20</v>
      </c>
      <c r="M94" s="96" t="s">
        <v>20</v>
      </c>
      <c r="N94" s="96" t="s">
        <v>19</v>
      </c>
      <c r="O94" s="96" t="s">
        <v>18</v>
      </c>
      <c r="P94" s="96"/>
      <c r="Q94" s="96" t="s">
        <v>17</v>
      </c>
      <c r="R94" s="96" t="s">
        <v>16</v>
      </c>
    </row>
    <row r="95" spans="1:18" x14ac:dyDescent="0.25">
      <c r="A95" s="14" t="s">
        <v>36</v>
      </c>
      <c r="B95" s="14" t="s">
        <v>3</v>
      </c>
      <c r="C95" s="15">
        <v>25</v>
      </c>
      <c r="D95" s="15">
        <v>0</v>
      </c>
      <c r="E95" s="15"/>
      <c r="F95" s="15">
        <v>15</v>
      </c>
      <c r="G95" s="15">
        <v>9.6999999999999993</v>
      </c>
      <c r="H95" s="15"/>
      <c r="I95" s="15"/>
      <c r="J95" s="15"/>
      <c r="K95" s="23"/>
      <c r="L95" s="15"/>
      <c r="M95" s="15"/>
      <c r="N95" s="15"/>
      <c r="O95" s="15"/>
      <c r="P95" s="15"/>
      <c r="Q95" s="15"/>
      <c r="R95" s="15"/>
    </row>
    <row r="96" spans="1:18" x14ac:dyDescent="0.25">
      <c r="A96" s="14"/>
      <c r="B96" s="14" t="s">
        <v>4</v>
      </c>
      <c r="C96" s="15">
        <v>14</v>
      </c>
      <c r="D96" s="15">
        <v>0</v>
      </c>
      <c r="E96" s="15"/>
      <c r="F96" s="15">
        <v>18.8</v>
      </c>
      <c r="G96" s="15">
        <v>0</v>
      </c>
      <c r="H96" s="15"/>
      <c r="I96" s="15"/>
      <c r="J96" s="15"/>
      <c r="K96" s="23"/>
      <c r="L96" s="15"/>
      <c r="M96" s="15"/>
      <c r="N96" s="15"/>
      <c r="O96" s="15"/>
      <c r="P96" s="15"/>
      <c r="Q96" s="15"/>
      <c r="R96" s="15"/>
    </row>
    <row r="97" spans="1:18" x14ac:dyDescent="0.25">
      <c r="A97" s="5" t="s">
        <v>37</v>
      </c>
      <c r="B97" s="5" t="s">
        <v>3</v>
      </c>
      <c r="C97" s="6">
        <v>15</v>
      </c>
      <c r="D97" s="6">
        <v>0</v>
      </c>
      <c r="E97" s="6"/>
      <c r="F97" s="6">
        <v>5</v>
      </c>
      <c r="G97" s="6">
        <v>9.6999999999999993</v>
      </c>
      <c r="H97" s="6"/>
      <c r="I97" s="6"/>
      <c r="J97" s="6"/>
      <c r="K97" s="25"/>
      <c r="L97" s="6"/>
      <c r="M97" s="6"/>
      <c r="N97" s="6"/>
      <c r="O97" s="6"/>
      <c r="P97" s="6"/>
      <c r="Q97" s="6"/>
      <c r="R97" s="6"/>
    </row>
    <row r="98" spans="1:18" x14ac:dyDescent="0.25">
      <c r="A98" s="5"/>
      <c r="B98" s="5" t="s">
        <v>4</v>
      </c>
      <c r="C98" s="6">
        <v>8</v>
      </c>
      <c r="D98" s="6">
        <v>27.03</v>
      </c>
      <c r="E98" s="6"/>
      <c r="F98" s="6">
        <v>4</v>
      </c>
      <c r="G98" s="6">
        <v>0</v>
      </c>
      <c r="H98" s="6"/>
      <c r="I98" s="6"/>
      <c r="J98" s="6"/>
      <c r="K98" s="25"/>
      <c r="L98" s="6"/>
      <c r="M98" s="6"/>
      <c r="N98" s="6"/>
      <c r="O98" s="6"/>
      <c r="P98" s="6"/>
      <c r="Q98" s="6"/>
      <c r="R98" s="6"/>
    </row>
    <row r="99" spans="1:18" x14ac:dyDescent="0.25">
      <c r="A99" s="14" t="s">
        <v>38</v>
      </c>
      <c r="B99" s="14" t="s">
        <v>3</v>
      </c>
      <c r="C99" s="15">
        <v>15</v>
      </c>
      <c r="D99" s="15">
        <v>19.399999999999999</v>
      </c>
      <c r="E99" s="15"/>
      <c r="F99" s="15">
        <v>5</v>
      </c>
      <c r="G99" s="15">
        <v>0</v>
      </c>
      <c r="H99" s="15"/>
      <c r="I99" s="15"/>
      <c r="J99" s="15"/>
      <c r="K99" s="23"/>
      <c r="L99" s="15"/>
      <c r="M99" s="15"/>
      <c r="N99" s="15"/>
      <c r="O99" s="15"/>
      <c r="P99" s="15"/>
      <c r="Q99" s="15"/>
      <c r="R99" s="15"/>
    </row>
    <row r="100" spans="1:18" x14ac:dyDescent="0.25">
      <c r="A100" s="14"/>
      <c r="B100" s="14" t="s">
        <v>4</v>
      </c>
      <c r="C100" s="15">
        <v>42.8</v>
      </c>
      <c r="D100" s="15">
        <v>0</v>
      </c>
      <c r="E100" s="15"/>
      <c r="F100" s="15">
        <v>28</v>
      </c>
      <c r="G100" s="15">
        <v>0</v>
      </c>
      <c r="H100" s="15"/>
      <c r="I100" s="15"/>
      <c r="J100" s="15"/>
      <c r="K100" s="23"/>
      <c r="L100" s="15"/>
      <c r="M100" s="15"/>
      <c r="N100" s="15"/>
      <c r="O100" s="15"/>
      <c r="P100" s="15"/>
      <c r="Q100" s="15"/>
      <c r="R100" s="15"/>
    </row>
    <row r="101" spans="1:18" x14ac:dyDescent="0.25">
      <c r="A101" s="2"/>
      <c r="B101" s="2"/>
      <c r="C101" s="4"/>
      <c r="D101" s="4"/>
      <c r="E101" s="4"/>
      <c r="F101" s="4"/>
      <c r="G101" s="4"/>
      <c r="H101" s="4"/>
      <c r="I101" s="4"/>
      <c r="J101" s="4"/>
      <c r="K101" s="8"/>
      <c r="L101" s="4"/>
      <c r="M101" s="4"/>
      <c r="N101" s="4"/>
      <c r="O101" s="4"/>
      <c r="P101" s="13"/>
      <c r="Q101" s="4"/>
      <c r="R101" s="4"/>
    </row>
    <row r="102" spans="1:18" x14ac:dyDescent="0.25">
      <c r="A102" s="2" t="s">
        <v>114</v>
      </c>
      <c r="B102" s="2"/>
      <c r="C102" s="4"/>
      <c r="D102" s="4"/>
      <c r="E102" s="4"/>
      <c r="F102" s="4"/>
      <c r="G102" s="4"/>
      <c r="H102" s="4"/>
      <c r="I102" s="4">
        <f>(31170+21000+4020)/1000</f>
        <v>56.19</v>
      </c>
      <c r="J102" s="4"/>
      <c r="K102" s="93"/>
      <c r="L102" s="4">
        <v>530.32000000000005</v>
      </c>
      <c r="M102" s="4">
        <v>3652.8330000000001</v>
      </c>
      <c r="N102" s="4">
        <v>201.62</v>
      </c>
      <c r="O102" s="4">
        <v>754.13</v>
      </c>
      <c r="P102" s="4"/>
      <c r="Q102" s="4">
        <v>2430.5320000000002</v>
      </c>
      <c r="R102" s="13">
        <f>363.872+200+100</f>
        <v>663.87200000000007</v>
      </c>
    </row>
    <row r="103" spans="1:18" x14ac:dyDescent="0.25">
      <c r="A103" s="2" t="s">
        <v>115</v>
      </c>
      <c r="B103" s="2"/>
      <c r="C103" s="4"/>
      <c r="D103" s="4"/>
      <c r="E103" s="4"/>
      <c r="F103" s="4"/>
      <c r="G103" s="4"/>
      <c r="H103" s="4"/>
      <c r="I103" s="4">
        <f>(181770/1000)</f>
        <v>181.77</v>
      </c>
      <c r="J103" s="4">
        <f>SUM(I102:I103)</f>
        <v>237.96</v>
      </c>
      <c r="K103" s="93"/>
      <c r="L103" s="4">
        <v>1400</v>
      </c>
      <c r="M103" s="4">
        <v>0</v>
      </c>
      <c r="N103" s="4">
        <v>545</v>
      </c>
      <c r="O103" s="4">
        <f>550+100</f>
        <v>650</v>
      </c>
      <c r="P103" s="4"/>
      <c r="Q103" s="4">
        <v>1720</v>
      </c>
      <c r="R103" s="4">
        <v>1475</v>
      </c>
    </row>
    <row r="104" spans="1:18" x14ac:dyDescent="0.25">
      <c r="I104" s="18"/>
      <c r="J104" s="18"/>
      <c r="K104" s="18"/>
      <c r="L104" s="18"/>
      <c r="M104" s="18"/>
      <c r="N104" s="18"/>
      <c r="O104" s="18"/>
      <c r="P104" s="18"/>
      <c r="Q104" s="18"/>
      <c r="R104" s="18"/>
    </row>
    <row r="105" spans="1:18" x14ac:dyDescent="0.25">
      <c r="H105" s="94" t="s">
        <v>118</v>
      </c>
      <c r="I105" s="4">
        <f>I102*1000/970</f>
        <v>57.927835051546388</v>
      </c>
      <c r="J105" s="4"/>
      <c r="K105" s="4"/>
      <c r="L105" s="4">
        <f>L102/20</f>
        <v>26.516000000000002</v>
      </c>
      <c r="M105" s="4">
        <f>M102/20</f>
        <v>182.64165</v>
      </c>
      <c r="N105" s="4">
        <f>N102/5</f>
        <v>40.323999999999998</v>
      </c>
      <c r="O105" s="4">
        <f>O102/10</f>
        <v>75.412999999999997</v>
      </c>
      <c r="P105" s="4"/>
      <c r="Q105" s="4">
        <f>Q102/20</f>
        <v>121.5266</v>
      </c>
      <c r="R105" s="4">
        <f>R102/10</f>
        <v>66.387200000000007</v>
      </c>
    </row>
    <row r="106" spans="1:18" ht="34.5" x14ac:dyDescent="0.25">
      <c r="H106" s="95" t="s">
        <v>119</v>
      </c>
      <c r="I106" s="4">
        <f>(C95+D95+C96+D96+F95+G95+F96+G96)-28.778-8.9735</f>
        <v>44.7485</v>
      </c>
      <c r="J106" s="4"/>
      <c r="K106" s="4"/>
      <c r="L106" s="4">
        <f>($F$95+$F$96+$G$95+$G$96)-28.4778</f>
        <v>15.022200000000002</v>
      </c>
      <c r="M106" s="4">
        <f t="shared" ref="M106:O106" si="5">($F$95+$F$96+$G$95+$G$96)-28.4778</f>
        <v>15.022200000000002</v>
      </c>
      <c r="N106" s="4">
        <f t="shared" si="5"/>
        <v>15.022200000000002</v>
      </c>
      <c r="O106" s="4">
        <f t="shared" si="5"/>
        <v>15.022200000000002</v>
      </c>
      <c r="P106" s="4"/>
      <c r="Q106" s="4">
        <f>($C$95+$C$96+$D$95+$D$96)-8.9735</f>
        <v>30.026499999999999</v>
      </c>
      <c r="R106" s="4">
        <f>($C$95+$C$96+$D$95+$D$96)-8.9735</f>
        <v>30.026499999999999</v>
      </c>
    </row>
    <row r="107" spans="1:18" x14ac:dyDescent="0.25">
      <c r="H107" s="94" t="s">
        <v>113</v>
      </c>
      <c r="I107" s="4">
        <f>C97+D97+C98+D98+F97+G97+F98+G98</f>
        <v>68.73</v>
      </c>
      <c r="J107" s="4"/>
      <c r="K107" s="4"/>
      <c r="L107" s="4">
        <f>SUM(F97:F98)</f>
        <v>9</v>
      </c>
      <c r="M107" s="4">
        <f>SUM(G97)</f>
        <v>9.6999999999999993</v>
      </c>
      <c r="N107" s="4">
        <f>SUM(F97:G98)</f>
        <v>18.7</v>
      </c>
      <c r="O107" s="4">
        <f>SUM(F97:G98)</f>
        <v>18.7</v>
      </c>
      <c r="P107" s="4"/>
      <c r="Q107" s="4">
        <f>SUM(C97:D98)</f>
        <v>50.03</v>
      </c>
      <c r="R107" s="4">
        <f>SUM(C97:D98)</f>
        <v>50.03</v>
      </c>
    </row>
    <row r="108" spans="1:18" x14ac:dyDescent="0.25">
      <c r="H108" s="95" t="s">
        <v>75</v>
      </c>
      <c r="I108" s="4">
        <f>I105-I106-I107</f>
        <v>-55.550664948453615</v>
      </c>
      <c r="J108" s="4"/>
      <c r="K108" s="4"/>
      <c r="L108" s="4">
        <f>L105-L106-L107</f>
        <v>2.4938000000000002</v>
      </c>
      <c r="M108" s="4">
        <f t="shared" ref="M108:O108" si="6">M105-M106-M107</f>
        <v>157.91945000000001</v>
      </c>
      <c r="N108" s="4">
        <f t="shared" si="6"/>
        <v>6.6017999999999972</v>
      </c>
      <c r="O108" s="4">
        <f t="shared" si="6"/>
        <v>41.690799999999996</v>
      </c>
      <c r="P108" s="4">
        <f t="shared" ref="P108" si="7">P105-P106</f>
        <v>0</v>
      </c>
      <c r="Q108" s="4">
        <f>Q105-Q106-Q107</f>
        <v>41.470100000000002</v>
      </c>
      <c r="R108" s="4">
        <f>R105-R106-R107</f>
        <v>-13.669299999999993</v>
      </c>
    </row>
    <row r="109" spans="1:18" x14ac:dyDescent="0.25">
      <c r="H109" s="50"/>
      <c r="I109" s="18"/>
      <c r="L109" s="18"/>
      <c r="M109" s="18"/>
      <c r="N109" s="18"/>
      <c r="O109" s="18"/>
      <c r="P109" s="18"/>
      <c r="Q109" s="18"/>
      <c r="R109" s="18"/>
    </row>
    <row r="110" spans="1:18" x14ac:dyDescent="0.25">
      <c r="H110" s="92" t="s">
        <v>76</v>
      </c>
    </row>
    <row r="111" spans="1:18" x14ac:dyDescent="0.25">
      <c r="H111" t="s">
        <v>117</v>
      </c>
    </row>
    <row r="112" spans="1:18" x14ac:dyDescent="0.25">
      <c r="A112" s="43"/>
      <c r="B112" s="43"/>
      <c r="C112" s="43"/>
      <c r="H112" t="s">
        <v>78</v>
      </c>
    </row>
    <row r="113" spans="1:18" x14ac:dyDescent="0.25">
      <c r="A113" s="43"/>
      <c r="B113" s="43"/>
      <c r="C113" s="43"/>
      <c r="H113" t="s">
        <v>80</v>
      </c>
    </row>
    <row r="114" spans="1:18" x14ac:dyDescent="0.25">
      <c r="A114" s="43"/>
      <c r="B114" s="43"/>
      <c r="C114" s="43"/>
    </row>
    <row r="115" spans="1:18" x14ac:dyDescent="0.25">
      <c r="A115" s="43"/>
      <c r="B115" s="43"/>
      <c r="C115" s="43"/>
    </row>
    <row r="116" spans="1:18" x14ac:dyDescent="0.25">
      <c r="A116" s="43"/>
      <c r="B116" s="43"/>
      <c r="C116" s="43"/>
    </row>
    <row r="117" spans="1:18" x14ac:dyDescent="0.25">
      <c r="B117" t="s">
        <v>122</v>
      </c>
      <c r="D117" s="1"/>
      <c r="E117" s="1"/>
    </row>
    <row r="118" spans="1:18" x14ac:dyDescent="0.25">
      <c r="A118" s="2"/>
      <c r="B118" s="2"/>
      <c r="C118" s="2"/>
      <c r="D118" s="3"/>
      <c r="E118" s="3"/>
      <c r="F118" s="2"/>
      <c r="G118" s="2"/>
      <c r="H118" s="2"/>
      <c r="I118" s="2"/>
      <c r="J118" s="2"/>
      <c r="K118" s="2"/>
      <c r="L118" s="121" t="s">
        <v>79</v>
      </c>
      <c r="M118" s="121"/>
      <c r="N118" s="121"/>
      <c r="O118" s="121"/>
      <c r="P118" s="2"/>
      <c r="Q118" s="120" t="s">
        <v>5</v>
      </c>
      <c r="R118" s="120"/>
    </row>
    <row r="119" spans="1:18" ht="30" x14ac:dyDescent="0.25">
      <c r="A119" s="2"/>
      <c r="B119" s="2"/>
      <c r="C119" s="120" t="s">
        <v>5</v>
      </c>
      <c r="D119" s="120"/>
      <c r="E119" s="11"/>
      <c r="F119" s="121" t="s">
        <v>79</v>
      </c>
      <c r="G119" s="121"/>
      <c r="H119" s="2" t="s">
        <v>8</v>
      </c>
      <c r="I119" s="2" t="s">
        <v>7</v>
      </c>
      <c r="J119" s="2" t="s">
        <v>6</v>
      </c>
      <c r="K119" s="20" t="s">
        <v>30</v>
      </c>
      <c r="L119" s="7" t="s">
        <v>11</v>
      </c>
      <c r="M119" s="27" t="s">
        <v>40</v>
      </c>
      <c r="N119" s="7" t="s">
        <v>12</v>
      </c>
      <c r="O119" s="7" t="s">
        <v>34</v>
      </c>
      <c r="P119" s="2"/>
      <c r="Q119" s="2" t="s">
        <v>13</v>
      </c>
      <c r="R119" s="2" t="s">
        <v>14</v>
      </c>
    </row>
    <row r="120" spans="1:18" x14ac:dyDescent="0.25">
      <c r="A120" s="2"/>
      <c r="B120" s="2"/>
      <c r="C120" s="2" t="s">
        <v>10</v>
      </c>
      <c r="D120" s="3" t="s">
        <v>9</v>
      </c>
      <c r="E120" s="3"/>
      <c r="F120" s="2" t="s">
        <v>10</v>
      </c>
      <c r="G120" s="3" t="s">
        <v>9</v>
      </c>
      <c r="H120" s="2"/>
      <c r="I120" s="2">
        <v>1101024</v>
      </c>
      <c r="J120" s="2"/>
      <c r="K120" s="8" t="s">
        <v>27</v>
      </c>
      <c r="L120" s="2">
        <v>1101021</v>
      </c>
      <c r="M120" s="2">
        <v>1101035</v>
      </c>
      <c r="N120" s="2">
        <v>1101022</v>
      </c>
      <c r="O120" s="2">
        <v>1101023</v>
      </c>
      <c r="P120" s="2"/>
      <c r="Q120" s="2">
        <v>1101019</v>
      </c>
      <c r="R120" s="2">
        <v>1101018</v>
      </c>
    </row>
    <row r="121" spans="1:18" x14ac:dyDescent="0.25">
      <c r="A121" s="2"/>
      <c r="B121" s="2" t="s">
        <v>15</v>
      </c>
      <c r="C121" s="2"/>
      <c r="D121" s="3"/>
      <c r="E121" s="3"/>
      <c r="F121" s="2"/>
      <c r="G121" s="3"/>
      <c r="H121" s="2"/>
      <c r="I121" s="96" t="s">
        <v>21</v>
      </c>
      <c r="J121" s="2"/>
      <c r="K121" s="8"/>
      <c r="L121" s="96" t="s">
        <v>20</v>
      </c>
      <c r="M121" s="96" t="s">
        <v>20</v>
      </c>
      <c r="N121" s="96" t="s">
        <v>130</v>
      </c>
      <c r="O121" s="96" t="s">
        <v>18</v>
      </c>
      <c r="P121" s="96"/>
      <c r="Q121" s="96" t="s">
        <v>17</v>
      </c>
      <c r="R121" s="96" t="s">
        <v>16</v>
      </c>
    </row>
    <row r="122" spans="1:18" x14ac:dyDescent="0.25">
      <c r="A122" s="14" t="s">
        <v>36</v>
      </c>
      <c r="B122" s="14" t="s">
        <v>3</v>
      </c>
      <c r="C122" s="15">
        <v>25</v>
      </c>
      <c r="D122" s="15">
        <v>0</v>
      </c>
      <c r="E122" s="15"/>
      <c r="F122" s="15">
        <v>15</v>
      </c>
      <c r="G122" s="15">
        <v>9.6999999999999993</v>
      </c>
      <c r="H122" s="15"/>
      <c r="I122" s="15"/>
      <c r="J122" s="15"/>
      <c r="K122" s="23"/>
      <c r="L122" s="15"/>
      <c r="M122" s="15"/>
      <c r="N122" s="15"/>
      <c r="O122" s="15"/>
      <c r="P122" s="15"/>
      <c r="Q122" s="15"/>
      <c r="R122" s="15"/>
    </row>
    <row r="123" spans="1:18" x14ac:dyDescent="0.25">
      <c r="A123" s="14"/>
      <c r="B123" s="14" t="s">
        <v>4</v>
      </c>
      <c r="C123" s="15">
        <v>14</v>
      </c>
      <c r="D123" s="15">
        <v>0</v>
      </c>
      <c r="E123" s="15"/>
      <c r="F123" s="15">
        <v>18.8</v>
      </c>
      <c r="G123" s="15">
        <v>0</v>
      </c>
      <c r="H123" s="15"/>
      <c r="I123" s="15"/>
      <c r="J123" s="15"/>
      <c r="K123" s="23"/>
      <c r="L123" s="15"/>
      <c r="M123" s="15"/>
      <c r="N123" s="15"/>
      <c r="O123" s="15"/>
      <c r="P123" s="15"/>
      <c r="Q123" s="15"/>
      <c r="R123" s="15"/>
    </row>
    <row r="124" spans="1:18" x14ac:dyDescent="0.25">
      <c r="A124" s="5" t="s">
        <v>37</v>
      </c>
      <c r="B124" s="5" t="s">
        <v>3</v>
      </c>
      <c r="C124" s="6">
        <v>15</v>
      </c>
      <c r="D124" s="6">
        <v>0</v>
      </c>
      <c r="E124" s="6"/>
      <c r="F124" s="6">
        <v>5</v>
      </c>
      <c r="G124" s="6">
        <v>9.6999999999999993</v>
      </c>
      <c r="H124" s="6"/>
      <c r="I124" s="6"/>
      <c r="J124" s="6"/>
      <c r="K124" s="25"/>
      <c r="L124" s="6"/>
      <c r="M124" s="6"/>
      <c r="N124" s="6"/>
      <c r="O124" s="6"/>
      <c r="P124" s="6"/>
      <c r="Q124" s="6"/>
      <c r="R124" s="6"/>
    </row>
    <row r="125" spans="1:18" x14ac:dyDescent="0.25">
      <c r="A125" s="5"/>
      <c r="B125" s="5" t="s">
        <v>4</v>
      </c>
      <c r="C125" s="6">
        <v>8</v>
      </c>
      <c r="D125" s="6">
        <v>27.03</v>
      </c>
      <c r="E125" s="6"/>
      <c r="F125" s="6">
        <v>4</v>
      </c>
      <c r="G125" s="6">
        <v>0</v>
      </c>
      <c r="H125" s="6"/>
      <c r="I125" s="6"/>
      <c r="J125" s="6"/>
      <c r="K125" s="25"/>
      <c r="L125" s="6"/>
      <c r="M125" s="6"/>
      <c r="N125" s="6"/>
      <c r="O125" s="6"/>
      <c r="P125" s="6"/>
      <c r="Q125" s="6"/>
      <c r="R125" s="6"/>
    </row>
    <row r="126" spans="1:18" x14ac:dyDescent="0.25">
      <c r="A126" s="14" t="s">
        <v>38</v>
      </c>
      <c r="B126" s="14" t="s">
        <v>3</v>
      </c>
      <c r="C126" s="15">
        <v>15</v>
      </c>
      <c r="D126" s="15">
        <v>19.399999999999999</v>
      </c>
      <c r="E126" s="15"/>
      <c r="F126" s="15">
        <v>5</v>
      </c>
      <c r="G126" s="15">
        <v>0</v>
      </c>
      <c r="H126" s="15"/>
      <c r="I126" s="15"/>
      <c r="J126" s="15"/>
      <c r="K126" s="23"/>
      <c r="L126" s="15"/>
      <c r="M126" s="15"/>
      <c r="N126" s="15"/>
      <c r="O126" s="15"/>
      <c r="P126" s="15"/>
      <c r="Q126" s="15"/>
      <c r="R126" s="15"/>
    </row>
    <row r="127" spans="1:18" x14ac:dyDescent="0.25">
      <c r="A127" s="14"/>
      <c r="B127" s="14" t="s">
        <v>4</v>
      </c>
      <c r="C127" s="15">
        <v>42.8</v>
      </c>
      <c r="D127" s="15">
        <v>0</v>
      </c>
      <c r="E127" s="15"/>
      <c r="F127" s="15">
        <v>28</v>
      </c>
      <c r="G127" s="15">
        <v>0</v>
      </c>
      <c r="H127" s="15"/>
      <c r="I127" s="15"/>
      <c r="J127" s="15"/>
      <c r="K127" s="23"/>
      <c r="L127" s="15"/>
      <c r="M127" s="15"/>
      <c r="N127" s="15"/>
      <c r="O127" s="15"/>
      <c r="P127" s="15"/>
      <c r="Q127" s="15"/>
      <c r="R127" s="15"/>
    </row>
    <row r="128" spans="1:18" x14ac:dyDescent="0.25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8"/>
      <c r="L128" s="4"/>
      <c r="M128" s="4"/>
      <c r="N128" s="4"/>
      <c r="O128" s="4"/>
      <c r="P128" s="13"/>
      <c r="Q128" s="4"/>
      <c r="R128" s="4"/>
    </row>
    <row r="129" spans="1:18" x14ac:dyDescent="0.25">
      <c r="A129" s="2" t="s">
        <v>123</v>
      </c>
      <c r="B129" s="2"/>
      <c r="C129" s="4"/>
      <c r="D129" s="4"/>
      <c r="E129" s="4"/>
      <c r="F129" s="4"/>
      <c r="G129" s="4"/>
      <c r="H129" s="4"/>
      <c r="I129" s="4">
        <f>(26370+21000+4020+21000+4020)/1000</f>
        <v>76.41</v>
      </c>
      <c r="J129" s="4"/>
      <c r="K129" s="93"/>
      <c r="L129" s="4">
        <v>381.07299999999998</v>
      </c>
      <c r="M129" s="4">
        <v>3652.8330000000001</v>
      </c>
      <c r="N129" s="4">
        <v>164.28800000000001</v>
      </c>
      <c r="O129" s="4">
        <v>679.50400000000002</v>
      </c>
      <c r="P129" s="4"/>
      <c r="Q129" s="4">
        <v>1985.212</v>
      </c>
      <c r="R129" s="13">
        <f>140.569+200+100</f>
        <v>440.56899999999996</v>
      </c>
    </row>
    <row r="130" spans="1:18" x14ac:dyDescent="0.25">
      <c r="A130" s="2" t="s">
        <v>124</v>
      </c>
      <c r="B130" s="2"/>
      <c r="C130" s="4"/>
      <c r="D130" s="4"/>
      <c r="E130" s="4"/>
      <c r="F130" s="4"/>
      <c r="G130" s="4"/>
      <c r="H130" s="4"/>
      <c r="I130" s="4">
        <f>(181770/1000)</f>
        <v>181.77</v>
      </c>
      <c r="J130" s="4">
        <f>SUM(I129:I130)</f>
        <v>258.18</v>
      </c>
      <c r="K130" s="93"/>
      <c r="L130" s="4">
        <v>1400</v>
      </c>
      <c r="M130" s="4">
        <v>0</v>
      </c>
      <c r="N130" s="4">
        <v>545</v>
      </c>
      <c r="O130" s="4">
        <f>550+100</f>
        <v>650</v>
      </c>
      <c r="P130" s="4"/>
      <c r="Q130" s="4">
        <v>1720</v>
      </c>
      <c r="R130" s="4">
        <v>1475</v>
      </c>
    </row>
    <row r="131" spans="1:18" x14ac:dyDescent="0.25">
      <c r="I131" s="18"/>
      <c r="J131" s="18"/>
      <c r="K131" s="18"/>
      <c r="L131" s="18"/>
      <c r="M131" s="18"/>
      <c r="N131" s="18"/>
      <c r="O131" s="18"/>
      <c r="P131" s="18"/>
      <c r="Q131" s="18"/>
      <c r="R131" s="18"/>
    </row>
    <row r="132" spans="1:18" x14ac:dyDescent="0.25">
      <c r="H132" s="94" t="s">
        <v>118</v>
      </c>
      <c r="I132" s="4">
        <f>I129*1000/970</f>
        <v>78.773195876288653</v>
      </c>
      <c r="J132" s="4"/>
      <c r="K132" s="4"/>
      <c r="L132" s="4">
        <f>L129/20</f>
        <v>19.053649999999998</v>
      </c>
      <c r="M132" s="4">
        <f>M129/20</f>
        <v>182.64165</v>
      </c>
      <c r="N132" s="4">
        <f>N129/5.35</f>
        <v>30.708037383177576</v>
      </c>
      <c r="O132" s="4">
        <f>O129/10</f>
        <v>67.950400000000002</v>
      </c>
      <c r="P132" s="4"/>
      <c r="Q132" s="4">
        <f>Q129/20</f>
        <v>99.260599999999997</v>
      </c>
      <c r="R132" s="4">
        <f>R129/10</f>
        <v>44.056899999999999</v>
      </c>
    </row>
    <row r="133" spans="1:18" ht="34.5" x14ac:dyDescent="0.25">
      <c r="H133" s="95" t="s">
        <v>125</v>
      </c>
      <c r="I133" s="4">
        <f>(C122+D122+C123+D123+F122+G122+F123+G123)-(28.778+25.3185)</f>
        <v>28.403500000000001</v>
      </c>
      <c r="J133" s="4"/>
      <c r="K133" s="4"/>
      <c r="L133" s="4">
        <f>($F$95+$F$96+$G$95+$G$96)-28.4778</f>
        <v>15.022200000000002</v>
      </c>
      <c r="M133" s="4">
        <f t="shared" ref="M133:O133" si="8">($F$95+$F$96+$G$95+$G$96)-28.4778</f>
        <v>15.022200000000002</v>
      </c>
      <c r="N133" s="4">
        <f t="shared" si="8"/>
        <v>15.022200000000002</v>
      </c>
      <c r="O133" s="4">
        <f t="shared" si="8"/>
        <v>15.022200000000002</v>
      </c>
      <c r="P133" s="4"/>
      <c r="Q133" s="4">
        <f>($C$95+$C$96+$D$95+$D$96)-25.3185</f>
        <v>13.6815</v>
      </c>
      <c r="R133" s="4">
        <f>($C$95+$C$96+$D$95+$D$96)-25.3185</f>
        <v>13.6815</v>
      </c>
    </row>
    <row r="134" spans="1:18" x14ac:dyDescent="0.25">
      <c r="H134" s="94" t="s">
        <v>113</v>
      </c>
      <c r="I134" s="4">
        <f>C124+D124+C125+D125+F124+G124+F125+G125</f>
        <v>68.73</v>
      </c>
      <c r="J134" s="4"/>
      <c r="K134" s="4"/>
      <c r="L134" s="4">
        <f>SUM(F124:F125)</f>
        <v>9</v>
      </c>
      <c r="M134" s="4">
        <f>SUM(G124)</f>
        <v>9.6999999999999993</v>
      </c>
      <c r="N134" s="4">
        <f>SUM(F124:G125)</f>
        <v>18.7</v>
      </c>
      <c r="O134" s="4">
        <f>SUM(F124:G125)</f>
        <v>18.7</v>
      </c>
      <c r="P134" s="4"/>
      <c r="Q134" s="4">
        <f>SUM(C124:D125)</f>
        <v>50.03</v>
      </c>
      <c r="R134" s="4">
        <f>SUM(C124:D125)</f>
        <v>50.03</v>
      </c>
    </row>
    <row r="135" spans="1:18" x14ac:dyDescent="0.25">
      <c r="H135" s="95" t="s">
        <v>75</v>
      </c>
      <c r="I135" s="4">
        <f>I132-I133-I134</f>
        <v>-18.360304123711352</v>
      </c>
      <c r="J135" s="4"/>
      <c r="K135" s="4"/>
      <c r="L135" s="4">
        <f>L132-L133-L134</f>
        <v>-4.968550000000004</v>
      </c>
      <c r="M135" s="4">
        <f t="shared" ref="M135:O135" si="9">M132-M133-M134</f>
        <v>157.91945000000001</v>
      </c>
      <c r="N135" s="4">
        <f t="shared" si="9"/>
        <v>-3.0141626168224249</v>
      </c>
      <c r="O135" s="4">
        <f t="shared" si="9"/>
        <v>34.228200000000001</v>
      </c>
      <c r="P135" s="4">
        <f t="shared" ref="P135" si="10">P132-P133</f>
        <v>0</v>
      </c>
      <c r="Q135" s="4">
        <f>Q132-Q133-Q134</f>
        <v>35.549099999999996</v>
      </c>
      <c r="R135" s="4">
        <f>R132-R133-R134</f>
        <v>-19.654600000000002</v>
      </c>
    </row>
    <row r="136" spans="1:18" x14ac:dyDescent="0.25">
      <c r="H136" s="50"/>
      <c r="I136" s="18"/>
      <c r="L136" s="18">
        <f>-L135*20</f>
        <v>99.37100000000008</v>
      </c>
      <c r="M136" s="18"/>
      <c r="N136" s="18">
        <f>-N135*5.35</f>
        <v>16.125769999999971</v>
      </c>
      <c r="O136" s="18"/>
      <c r="P136" s="18"/>
      <c r="Q136" s="18"/>
      <c r="R136" s="18">
        <f>-R135*10</f>
        <v>196.54600000000002</v>
      </c>
    </row>
    <row r="137" spans="1:18" x14ac:dyDescent="0.25">
      <c r="H137" s="92" t="s">
        <v>76</v>
      </c>
    </row>
    <row r="138" spans="1:18" x14ac:dyDescent="0.25">
      <c r="H138" t="s">
        <v>117</v>
      </c>
    </row>
    <row r="139" spans="1:18" x14ac:dyDescent="0.25">
      <c r="A139" s="43"/>
      <c r="B139" s="43"/>
      <c r="C139" s="43"/>
      <c r="H139" t="s">
        <v>78</v>
      </c>
    </row>
    <row r="140" spans="1:18" x14ac:dyDescent="0.25">
      <c r="A140" s="43"/>
      <c r="B140" s="43"/>
      <c r="C140" s="43"/>
      <c r="H140" t="s">
        <v>131</v>
      </c>
    </row>
    <row r="145" spans="1:18" x14ac:dyDescent="0.25">
      <c r="B145" t="s">
        <v>142</v>
      </c>
      <c r="D145" s="1"/>
      <c r="E145" s="1"/>
    </row>
    <row r="146" spans="1:18" x14ac:dyDescent="0.25">
      <c r="A146" s="2"/>
      <c r="B146" s="2"/>
      <c r="C146" s="2"/>
      <c r="D146" s="3"/>
      <c r="E146" s="3"/>
      <c r="F146" s="2"/>
      <c r="G146" s="2"/>
      <c r="H146" s="2"/>
      <c r="I146" s="2"/>
      <c r="J146" s="2"/>
      <c r="K146" s="2"/>
      <c r="L146" s="121" t="s">
        <v>79</v>
      </c>
      <c r="M146" s="121"/>
      <c r="N146" s="121"/>
      <c r="O146" s="121"/>
      <c r="P146" s="2"/>
      <c r="Q146" s="120" t="s">
        <v>5</v>
      </c>
      <c r="R146" s="120"/>
    </row>
    <row r="147" spans="1:18" ht="30" x14ac:dyDescent="0.25">
      <c r="A147" s="2"/>
      <c r="B147" s="2"/>
      <c r="C147" s="120" t="s">
        <v>5</v>
      </c>
      <c r="D147" s="120"/>
      <c r="E147" s="11"/>
      <c r="F147" s="121" t="s">
        <v>79</v>
      </c>
      <c r="G147" s="121"/>
      <c r="H147" s="2" t="s">
        <v>8</v>
      </c>
      <c r="I147" s="2" t="s">
        <v>7</v>
      </c>
      <c r="J147" s="2" t="s">
        <v>6</v>
      </c>
      <c r="K147" s="20" t="s">
        <v>30</v>
      </c>
      <c r="L147" s="7" t="s">
        <v>11</v>
      </c>
      <c r="M147" s="27" t="s">
        <v>40</v>
      </c>
      <c r="N147" s="7" t="s">
        <v>12</v>
      </c>
      <c r="O147" s="7" t="s">
        <v>34</v>
      </c>
      <c r="P147" s="2"/>
      <c r="Q147" s="2" t="s">
        <v>13</v>
      </c>
      <c r="R147" s="2" t="s">
        <v>14</v>
      </c>
    </row>
    <row r="148" spans="1:18" x14ac:dyDescent="0.25">
      <c r="A148" s="2"/>
      <c r="B148" s="2"/>
      <c r="C148" s="2" t="s">
        <v>10</v>
      </c>
      <c r="D148" s="3" t="s">
        <v>9</v>
      </c>
      <c r="E148" s="3"/>
      <c r="F148" s="2" t="s">
        <v>10</v>
      </c>
      <c r="G148" s="3" t="s">
        <v>9</v>
      </c>
      <c r="H148" s="2"/>
      <c r="I148" s="2">
        <v>1101024</v>
      </c>
      <c r="J148" s="2"/>
      <c r="K148" s="8" t="s">
        <v>27</v>
      </c>
      <c r="L148" s="2">
        <v>1101021</v>
      </c>
      <c r="M148" s="2">
        <v>1101035</v>
      </c>
      <c r="N148" s="2">
        <v>1101022</v>
      </c>
      <c r="O148" s="2">
        <v>1101023</v>
      </c>
      <c r="P148" s="2"/>
      <c r="Q148" s="2">
        <v>1101019</v>
      </c>
      <c r="R148" s="2">
        <v>1101018</v>
      </c>
    </row>
    <row r="149" spans="1:18" x14ac:dyDescent="0.25">
      <c r="A149" s="2"/>
      <c r="B149" s="2" t="s">
        <v>15</v>
      </c>
      <c r="C149" s="2"/>
      <c r="D149" s="3"/>
      <c r="E149" s="3"/>
      <c r="F149" s="2"/>
      <c r="G149" s="3"/>
      <c r="H149" s="2"/>
      <c r="I149" s="96" t="s">
        <v>21</v>
      </c>
      <c r="J149" s="2"/>
      <c r="K149" s="8"/>
      <c r="L149" s="96" t="s">
        <v>20</v>
      </c>
      <c r="M149" s="96" t="s">
        <v>20</v>
      </c>
      <c r="N149" s="96" t="s">
        <v>148</v>
      </c>
      <c r="O149" s="96" t="s">
        <v>18</v>
      </c>
      <c r="P149" s="96"/>
      <c r="Q149" s="96" t="s">
        <v>17</v>
      </c>
      <c r="R149" s="96" t="s">
        <v>16</v>
      </c>
    </row>
    <row r="150" spans="1:18" x14ac:dyDescent="0.25">
      <c r="A150" s="14" t="s">
        <v>36</v>
      </c>
      <c r="B150" s="14" t="s">
        <v>3</v>
      </c>
      <c r="C150" s="15">
        <v>25</v>
      </c>
      <c r="D150" s="15">
        <v>0</v>
      </c>
      <c r="E150" s="15"/>
      <c r="F150" s="15">
        <v>15</v>
      </c>
      <c r="G150" s="15">
        <v>9.6999999999999993</v>
      </c>
      <c r="H150" s="15"/>
      <c r="I150" s="15"/>
      <c r="J150" s="15"/>
      <c r="K150" s="23"/>
      <c r="L150" s="15"/>
      <c r="M150" s="15"/>
      <c r="N150" s="15"/>
      <c r="O150" s="15"/>
      <c r="P150" s="15"/>
      <c r="Q150" s="15"/>
      <c r="R150" s="15"/>
    </row>
    <row r="151" spans="1:18" x14ac:dyDescent="0.25">
      <c r="A151" s="14"/>
      <c r="B151" s="14" t="s">
        <v>4</v>
      </c>
      <c r="C151" s="15">
        <v>14</v>
      </c>
      <c r="D151" s="15">
        <v>0</v>
      </c>
      <c r="E151" s="15"/>
      <c r="F151" s="15">
        <v>18.8</v>
      </c>
      <c r="G151" s="15">
        <v>0</v>
      </c>
      <c r="H151" s="15"/>
      <c r="I151" s="15"/>
      <c r="J151" s="15"/>
      <c r="K151" s="23"/>
      <c r="L151" s="15"/>
      <c r="M151" s="15"/>
      <c r="N151" s="15"/>
      <c r="O151" s="15"/>
      <c r="P151" s="15"/>
      <c r="Q151" s="15"/>
      <c r="R151" s="15"/>
    </row>
    <row r="152" spans="1:18" x14ac:dyDescent="0.25">
      <c r="A152" s="5" t="s">
        <v>37</v>
      </c>
      <c r="B152" s="5" t="s">
        <v>3</v>
      </c>
      <c r="C152" s="6">
        <v>15</v>
      </c>
      <c r="D152" s="6">
        <v>0</v>
      </c>
      <c r="E152" s="6"/>
      <c r="F152" s="6">
        <v>5</v>
      </c>
      <c r="G152" s="6">
        <v>9.6999999999999993</v>
      </c>
      <c r="H152" s="6"/>
      <c r="I152" s="6"/>
      <c r="J152" s="6"/>
      <c r="K152" s="25"/>
      <c r="L152" s="6"/>
      <c r="M152" s="6"/>
      <c r="N152" s="6"/>
      <c r="O152" s="6"/>
      <c r="P152" s="6"/>
      <c r="Q152" s="6"/>
      <c r="R152" s="6"/>
    </row>
    <row r="153" spans="1:18" x14ac:dyDescent="0.25">
      <c r="A153" s="5"/>
      <c r="B153" s="5" t="s">
        <v>4</v>
      </c>
      <c r="C153" s="6">
        <v>8</v>
      </c>
      <c r="D153" s="6">
        <v>27.03</v>
      </c>
      <c r="E153" s="6"/>
      <c r="F153" s="6">
        <v>4</v>
      </c>
      <c r="G153" s="6">
        <v>0</v>
      </c>
      <c r="H153" s="6"/>
      <c r="I153" s="6"/>
      <c r="J153" s="6"/>
      <c r="K153" s="25"/>
      <c r="L153" s="6"/>
      <c r="M153" s="6"/>
      <c r="N153" s="6"/>
      <c r="O153" s="6"/>
      <c r="P153" s="6"/>
      <c r="Q153" s="6"/>
      <c r="R153" s="6"/>
    </row>
    <row r="154" spans="1:18" x14ac:dyDescent="0.25">
      <c r="A154" s="14" t="s">
        <v>38</v>
      </c>
      <c r="B154" s="14" t="s">
        <v>3</v>
      </c>
      <c r="C154" s="15">
        <v>15</v>
      </c>
      <c r="D154" s="15">
        <v>19.399999999999999</v>
      </c>
      <c r="E154" s="15"/>
      <c r="F154" s="15">
        <v>5</v>
      </c>
      <c r="G154" s="15">
        <v>0</v>
      </c>
      <c r="H154" s="15"/>
      <c r="I154" s="15"/>
      <c r="J154" s="15"/>
      <c r="K154" s="23"/>
      <c r="L154" s="15"/>
      <c r="M154" s="15"/>
      <c r="N154" s="15"/>
      <c r="O154" s="15"/>
      <c r="P154" s="15"/>
      <c r="Q154" s="15"/>
      <c r="R154" s="15"/>
    </row>
    <row r="155" spans="1:18" x14ac:dyDescent="0.25">
      <c r="A155" s="14"/>
      <c r="B155" s="14" t="s">
        <v>4</v>
      </c>
      <c r="C155" s="15">
        <v>42.8</v>
      </c>
      <c r="D155" s="15">
        <v>0</v>
      </c>
      <c r="E155" s="15"/>
      <c r="F155" s="15">
        <v>28</v>
      </c>
      <c r="G155" s="15">
        <v>0</v>
      </c>
      <c r="H155" s="15"/>
      <c r="I155" s="15"/>
      <c r="J155" s="15"/>
      <c r="K155" s="23"/>
      <c r="L155" s="15"/>
      <c r="M155" s="15"/>
      <c r="N155" s="15"/>
      <c r="O155" s="15"/>
      <c r="P155" s="15"/>
      <c r="Q155" s="15"/>
      <c r="R155" s="15"/>
    </row>
    <row r="156" spans="1:18" x14ac:dyDescent="0.25">
      <c r="A156" s="2"/>
      <c r="B156" s="2"/>
      <c r="C156" s="4"/>
      <c r="D156" s="4"/>
      <c r="E156" s="4"/>
      <c r="F156" s="4"/>
      <c r="G156" s="4"/>
      <c r="H156" s="4"/>
      <c r="I156" s="4"/>
      <c r="J156" s="4"/>
      <c r="K156" s="8"/>
      <c r="L156" s="4"/>
      <c r="M156" s="4"/>
      <c r="N156" s="4"/>
      <c r="O156" s="4"/>
      <c r="P156" s="13"/>
      <c r="Q156" s="4"/>
      <c r="R156" s="4"/>
    </row>
    <row r="157" spans="1:18" x14ac:dyDescent="0.25">
      <c r="A157" s="2" t="s">
        <v>140</v>
      </c>
      <c r="B157" s="2"/>
      <c r="C157" s="4"/>
      <c r="D157" s="4"/>
      <c r="E157" s="4"/>
      <c r="F157" s="4"/>
      <c r="G157" s="4"/>
      <c r="H157" s="4"/>
      <c r="I157" s="4">
        <f>(51390+21000+4020+15000)/1000</f>
        <v>91.41</v>
      </c>
      <c r="J157" s="4"/>
      <c r="K157" s="93"/>
      <c r="L157" s="4">
        <f>381.073+510</f>
        <v>891.07299999999998</v>
      </c>
      <c r="M157" s="4">
        <v>3652.8330000000001</v>
      </c>
      <c r="N157" s="4">
        <v>164.28800000000001</v>
      </c>
      <c r="O157" s="4">
        <v>679.50400000000002</v>
      </c>
      <c r="P157" s="4"/>
      <c r="Q157" s="4">
        <v>1886.252</v>
      </c>
      <c r="R157" s="13">
        <f>91.082+200+100</f>
        <v>391.08199999999999</v>
      </c>
    </row>
    <row r="158" spans="1:18" x14ac:dyDescent="0.25">
      <c r="A158" s="2" t="s">
        <v>141</v>
      </c>
      <c r="B158" s="2"/>
      <c r="C158" s="4"/>
      <c r="D158" s="4"/>
      <c r="E158" s="4"/>
      <c r="F158" s="4"/>
      <c r="G158" s="4"/>
      <c r="H158" s="4"/>
      <c r="I158" s="4">
        <f>(206750/1000)</f>
        <v>206.75</v>
      </c>
      <c r="J158" s="4">
        <f>SUM(I157:I158)</f>
        <v>298.15999999999997</v>
      </c>
      <c r="K158" s="93"/>
      <c r="L158" s="4">
        <v>1890</v>
      </c>
      <c r="M158" s="4">
        <v>0</v>
      </c>
      <c r="N158" s="4">
        <v>545</v>
      </c>
      <c r="O158" s="4">
        <f>550+100</f>
        <v>650</v>
      </c>
      <c r="P158" s="4"/>
      <c r="Q158" s="4">
        <v>1720</v>
      </c>
      <c r="R158" s="4">
        <v>1475</v>
      </c>
    </row>
    <row r="159" spans="1:18" x14ac:dyDescent="0.25">
      <c r="I159" s="18"/>
      <c r="J159" s="18"/>
      <c r="K159" s="18"/>
      <c r="L159" s="18"/>
      <c r="M159" s="18"/>
      <c r="N159" s="18"/>
      <c r="O159" s="18"/>
      <c r="P159" s="18"/>
      <c r="Q159" s="18"/>
      <c r="R159" s="18"/>
    </row>
    <row r="160" spans="1:18" ht="23.25" x14ac:dyDescent="0.25">
      <c r="H160" s="95" t="s">
        <v>150</v>
      </c>
      <c r="I160" s="4">
        <f>I157*1000/970</f>
        <v>94.237113402061851</v>
      </c>
      <c r="J160" s="4"/>
      <c r="K160" s="4"/>
      <c r="L160" s="4">
        <f>L157/20</f>
        <v>44.553649999999998</v>
      </c>
      <c r="M160" s="4">
        <f>M157/20</f>
        <v>182.64165</v>
      </c>
      <c r="N160" s="4">
        <f>N157/5</f>
        <v>32.857600000000005</v>
      </c>
      <c r="O160" s="4">
        <f>O157/10</f>
        <v>67.950400000000002</v>
      </c>
      <c r="P160" s="4"/>
      <c r="Q160" s="4">
        <f>Q157/20</f>
        <v>94.312600000000003</v>
      </c>
      <c r="R160" s="4">
        <f>R157/10</f>
        <v>39.108199999999997</v>
      </c>
    </row>
    <row r="161" spans="1:18" x14ac:dyDescent="0.25">
      <c r="H161" s="94" t="s">
        <v>146</v>
      </c>
      <c r="I161" s="4">
        <f>SUM(C150:G151)</f>
        <v>82.5</v>
      </c>
      <c r="J161" s="4"/>
      <c r="K161" s="4"/>
      <c r="L161" s="4">
        <f>SUM(F150:F151)</f>
        <v>33.799999999999997</v>
      </c>
      <c r="M161" s="4">
        <f>SUM(G150:G151)</f>
        <v>9.6999999999999993</v>
      </c>
      <c r="N161" s="4">
        <f>SUM(F150:G151)</f>
        <v>43.5</v>
      </c>
      <c r="O161" s="4">
        <f>SUM(F150:G151)</f>
        <v>43.5</v>
      </c>
      <c r="P161" s="4"/>
      <c r="Q161" s="4">
        <f>SUM(C150:D151)</f>
        <v>39</v>
      </c>
      <c r="R161" s="4">
        <f>SUM(C150:D151)</f>
        <v>39</v>
      </c>
    </row>
    <row r="162" spans="1:18" x14ac:dyDescent="0.25">
      <c r="H162" s="94" t="s">
        <v>147</v>
      </c>
      <c r="I162" s="4">
        <f>(42.0265+25.3185)</f>
        <v>67.344999999999999</v>
      </c>
      <c r="J162" s="4"/>
      <c r="K162" s="4"/>
      <c r="L162" s="4">
        <f>32.7165</f>
        <v>32.716500000000003</v>
      </c>
      <c r="M162" s="4">
        <f>9.31</f>
        <v>9.31</v>
      </c>
      <c r="N162" s="4">
        <f>42.0265</f>
        <v>42.026499999999999</v>
      </c>
      <c r="O162" s="4">
        <f>42.0265</f>
        <v>42.026499999999999</v>
      </c>
      <c r="P162" s="4"/>
      <c r="Q162" s="4">
        <f>25.3185</f>
        <v>25.3185</v>
      </c>
      <c r="R162" s="4">
        <f>25.3185</f>
        <v>25.3185</v>
      </c>
    </row>
    <row r="163" spans="1:18" x14ac:dyDescent="0.25">
      <c r="H163" s="94" t="s">
        <v>149</v>
      </c>
      <c r="I163" s="4">
        <f>I161-I162</f>
        <v>15.155000000000001</v>
      </c>
      <c r="J163" s="4"/>
      <c r="K163" s="4"/>
      <c r="L163" s="4">
        <f t="shared" ref="L163:O163" si="11">L161-L162</f>
        <v>1.0834999999999937</v>
      </c>
      <c r="M163" s="4">
        <f t="shared" si="11"/>
        <v>0.38999999999999879</v>
      </c>
      <c r="N163" s="4">
        <f t="shared" si="11"/>
        <v>1.4735000000000014</v>
      </c>
      <c r="O163" s="4">
        <f t="shared" si="11"/>
        <v>1.4735000000000014</v>
      </c>
      <c r="P163" s="4"/>
      <c r="Q163" s="4">
        <f t="shared" ref="Q163" si="12">Q161-Q162</f>
        <v>13.6815</v>
      </c>
      <c r="R163" s="4">
        <f t="shared" ref="R163" si="13">R161-R162</f>
        <v>13.6815</v>
      </c>
    </row>
    <row r="164" spans="1:18" ht="23.25" x14ac:dyDescent="0.25">
      <c r="H164" s="95" t="s">
        <v>144</v>
      </c>
      <c r="I164" s="4">
        <f>I160-I163</f>
        <v>79.08211340206185</v>
      </c>
      <c r="J164" s="4"/>
      <c r="K164" s="4"/>
      <c r="L164" s="4">
        <f>L160-L163</f>
        <v>43.470150000000004</v>
      </c>
      <c r="M164" s="4">
        <f t="shared" ref="M164:O164" si="14">M160-M163</f>
        <v>182.25165000000001</v>
      </c>
      <c r="N164" s="4">
        <f t="shared" si="14"/>
        <v>31.384100000000004</v>
      </c>
      <c r="O164" s="4">
        <f t="shared" si="14"/>
        <v>66.476900000000001</v>
      </c>
      <c r="P164" s="4"/>
      <c r="Q164" s="4">
        <f t="shared" ref="Q164" si="15">Q160-Q163</f>
        <v>80.631100000000004</v>
      </c>
      <c r="R164" s="4">
        <f t="shared" ref="R164" si="16">R160-R163</f>
        <v>25.426699999999997</v>
      </c>
    </row>
    <row r="165" spans="1:18" x14ac:dyDescent="0.25">
      <c r="H165" s="94" t="s">
        <v>113</v>
      </c>
      <c r="I165" s="4">
        <f>C152+D152+C153+D153+F152+G152+F153+G153</f>
        <v>68.73</v>
      </c>
      <c r="J165" s="4"/>
      <c r="K165" s="4"/>
      <c r="L165" s="4">
        <f>SUM(F152:F153)</f>
        <v>9</v>
      </c>
      <c r="M165" s="4">
        <f>SUM(G152)</f>
        <v>9.6999999999999993</v>
      </c>
      <c r="N165" s="4">
        <f>SUM(F152:G153)</f>
        <v>18.7</v>
      </c>
      <c r="O165" s="4">
        <f>SUM(F152:G153)</f>
        <v>18.7</v>
      </c>
      <c r="P165" s="4"/>
      <c r="Q165" s="4">
        <f>SUM(C152:D153)</f>
        <v>50.03</v>
      </c>
      <c r="R165" s="4">
        <f>SUM(C152:D153)</f>
        <v>50.03</v>
      </c>
    </row>
    <row r="166" spans="1:18" ht="23.25" x14ac:dyDescent="0.25">
      <c r="H166" s="95" t="s">
        <v>145</v>
      </c>
      <c r="I166" s="4">
        <f>I164-I165</f>
        <v>10.352113402061846</v>
      </c>
      <c r="J166" s="4"/>
      <c r="K166" s="4"/>
      <c r="L166" s="4">
        <f t="shared" ref="L166:R166" si="17">L164-L165</f>
        <v>34.470150000000004</v>
      </c>
      <c r="M166" s="4">
        <f t="shared" si="17"/>
        <v>172.55165000000002</v>
      </c>
      <c r="N166" s="4">
        <f t="shared" si="17"/>
        <v>12.684100000000004</v>
      </c>
      <c r="O166" s="4">
        <f t="shared" si="17"/>
        <v>47.776899999999998</v>
      </c>
      <c r="P166" s="4"/>
      <c r="Q166" s="4">
        <f t="shared" si="17"/>
        <v>30.601100000000002</v>
      </c>
      <c r="R166" s="4">
        <f t="shared" si="17"/>
        <v>-24.603300000000004</v>
      </c>
    </row>
    <row r="167" spans="1:18" x14ac:dyDescent="0.25">
      <c r="H167" s="50"/>
      <c r="I167" s="18"/>
      <c r="L167" s="18"/>
      <c r="M167" s="18"/>
      <c r="N167" s="18"/>
      <c r="O167" s="18"/>
      <c r="P167" s="18"/>
      <c r="Q167" s="18"/>
      <c r="R167" s="18"/>
    </row>
    <row r="168" spans="1:18" x14ac:dyDescent="0.25">
      <c r="H168" t="s">
        <v>143</v>
      </c>
    </row>
    <row r="170" spans="1:18" x14ac:dyDescent="0.25">
      <c r="A170" s="43"/>
      <c r="B170" s="43"/>
      <c r="C170" s="43"/>
      <c r="H170" s="92" t="s">
        <v>76</v>
      </c>
    </row>
    <row r="171" spans="1:18" x14ac:dyDescent="0.25">
      <c r="A171" s="43"/>
      <c r="B171" s="43"/>
      <c r="C171" s="43"/>
      <c r="H171" t="s">
        <v>117</v>
      </c>
    </row>
    <row r="172" spans="1:18" x14ac:dyDescent="0.25">
      <c r="H172" t="s">
        <v>78</v>
      </c>
    </row>
    <row r="173" spans="1:18" x14ac:dyDescent="0.25">
      <c r="H173" t="s">
        <v>151</v>
      </c>
    </row>
    <row r="174" spans="1:18" x14ac:dyDescent="0.25">
      <c r="H174" t="s">
        <v>152</v>
      </c>
    </row>
    <row r="175" spans="1:18" x14ac:dyDescent="0.25">
      <c r="H175" t="s">
        <v>153</v>
      </c>
    </row>
    <row r="179" spans="1:18" x14ac:dyDescent="0.25">
      <c r="B179" t="s">
        <v>155</v>
      </c>
      <c r="D179" s="1"/>
      <c r="E179" s="1"/>
    </row>
    <row r="180" spans="1:18" x14ac:dyDescent="0.25">
      <c r="A180" s="2"/>
      <c r="B180" s="2"/>
      <c r="C180" s="2"/>
      <c r="D180" s="3"/>
      <c r="E180" s="3"/>
      <c r="F180" s="2"/>
      <c r="G180" s="2"/>
      <c r="H180" s="2"/>
      <c r="I180" s="2"/>
      <c r="J180" s="2"/>
      <c r="K180" s="2"/>
      <c r="L180" s="121" t="s">
        <v>79</v>
      </c>
      <c r="M180" s="121"/>
      <c r="N180" s="121"/>
      <c r="O180" s="121"/>
      <c r="P180" s="2"/>
      <c r="Q180" s="120" t="s">
        <v>5</v>
      </c>
      <c r="R180" s="120"/>
    </row>
    <row r="181" spans="1:18" ht="30" x14ac:dyDescent="0.25">
      <c r="A181" s="2"/>
      <c r="B181" s="2"/>
      <c r="C181" s="120" t="s">
        <v>5</v>
      </c>
      <c r="D181" s="120"/>
      <c r="E181" s="11"/>
      <c r="F181" s="121" t="s">
        <v>79</v>
      </c>
      <c r="G181" s="121"/>
      <c r="H181" s="2" t="s">
        <v>8</v>
      </c>
      <c r="I181" s="2" t="s">
        <v>7</v>
      </c>
      <c r="J181" s="2" t="s">
        <v>6</v>
      </c>
      <c r="K181" s="20" t="s">
        <v>30</v>
      </c>
      <c r="L181" s="7" t="s">
        <v>11</v>
      </c>
      <c r="M181" s="27" t="s">
        <v>40</v>
      </c>
      <c r="N181" s="7" t="s">
        <v>12</v>
      </c>
      <c r="O181" s="7" t="s">
        <v>34</v>
      </c>
      <c r="P181" s="2"/>
      <c r="Q181" s="2" t="s">
        <v>13</v>
      </c>
      <c r="R181" s="2" t="s">
        <v>14</v>
      </c>
    </row>
    <row r="182" spans="1:18" x14ac:dyDescent="0.25">
      <c r="A182" s="2"/>
      <c r="B182" s="2"/>
      <c r="C182" s="2" t="s">
        <v>10</v>
      </c>
      <c r="D182" s="3" t="s">
        <v>9</v>
      </c>
      <c r="E182" s="3"/>
      <c r="F182" s="2" t="s">
        <v>10</v>
      </c>
      <c r="G182" s="3" t="s">
        <v>9</v>
      </c>
      <c r="H182" s="2"/>
      <c r="I182" s="2">
        <v>1101024</v>
      </c>
      <c r="J182" s="2"/>
      <c r="K182" s="8" t="s">
        <v>27</v>
      </c>
      <c r="L182" s="2">
        <v>1101021</v>
      </c>
      <c r="M182" s="2">
        <v>1101035</v>
      </c>
      <c r="N182" s="2">
        <v>1101022</v>
      </c>
      <c r="O182" s="2">
        <v>1101023</v>
      </c>
      <c r="P182" s="2"/>
      <c r="Q182" s="2">
        <v>1101019</v>
      </c>
      <c r="R182" s="2">
        <v>1101018</v>
      </c>
    </row>
    <row r="183" spans="1:18" x14ac:dyDescent="0.25">
      <c r="A183" s="2"/>
      <c r="B183" s="2" t="s">
        <v>15</v>
      </c>
      <c r="C183" s="2"/>
      <c r="D183" s="3"/>
      <c r="E183" s="3"/>
      <c r="F183" s="2"/>
      <c r="G183" s="3"/>
      <c r="H183" s="2"/>
      <c r="I183" s="96" t="s">
        <v>21</v>
      </c>
      <c r="J183" s="2"/>
      <c r="K183" s="8"/>
      <c r="L183" s="96" t="s">
        <v>20</v>
      </c>
      <c r="M183" s="96" t="s">
        <v>20</v>
      </c>
      <c r="N183" s="96" t="s">
        <v>148</v>
      </c>
      <c r="O183" s="96" t="s">
        <v>18</v>
      </c>
      <c r="P183" s="96"/>
      <c r="Q183" s="96" t="s">
        <v>17</v>
      </c>
      <c r="R183" s="96" t="s">
        <v>16</v>
      </c>
    </row>
    <row r="184" spans="1:18" x14ac:dyDescent="0.25">
      <c r="A184" s="14" t="s">
        <v>36</v>
      </c>
      <c r="B184" s="14" t="s">
        <v>3</v>
      </c>
      <c r="C184" s="15">
        <v>25</v>
      </c>
      <c r="D184" s="15">
        <v>0</v>
      </c>
      <c r="E184" s="15"/>
      <c r="F184" s="15">
        <v>15</v>
      </c>
      <c r="G184" s="15">
        <v>9.6999999999999993</v>
      </c>
      <c r="H184" s="15"/>
      <c r="I184" s="15"/>
      <c r="J184" s="15"/>
      <c r="K184" s="23"/>
      <c r="L184" s="15"/>
      <c r="M184" s="15"/>
      <c r="N184" s="15"/>
      <c r="O184" s="15"/>
      <c r="P184" s="15"/>
      <c r="Q184" s="15"/>
      <c r="R184" s="15"/>
    </row>
    <row r="185" spans="1:18" x14ac:dyDescent="0.25">
      <c r="A185" s="14"/>
      <c r="B185" s="14" t="s">
        <v>4</v>
      </c>
      <c r="C185" s="15">
        <v>14</v>
      </c>
      <c r="D185" s="15">
        <v>0</v>
      </c>
      <c r="E185" s="15"/>
      <c r="F185" s="15">
        <v>18.8</v>
      </c>
      <c r="G185" s="15">
        <v>0</v>
      </c>
      <c r="H185" s="15"/>
      <c r="I185" s="15"/>
      <c r="J185" s="15"/>
      <c r="K185" s="23"/>
      <c r="L185" s="15"/>
      <c r="M185" s="15"/>
      <c r="N185" s="15"/>
      <c r="O185" s="15"/>
      <c r="P185" s="15"/>
      <c r="Q185" s="15"/>
      <c r="R185" s="15"/>
    </row>
    <row r="186" spans="1:18" x14ac:dyDescent="0.25">
      <c r="A186" s="5" t="s">
        <v>37</v>
      </c>
      <c r="B186" s="5" t="s">
        <v>3</v>
      </c>
      <c r="C186" s="6">
        <v>15</v>
      </c>
      <c r="D186" s="6">
        <v>0</v>
      </c>
      <c r="E186" s="6"/>
      <c r="F186" s="6">
        <v>5</v>
      </c>
      <c r="G186" s="6">
        <v>9.6999999999999993</v>
      </c>
      <c r="H186" s="6"/>
      <c r="I186" s="6"/>
      <c r="J186" s="6"/>
      <c r="K186" s="25"/>
      <c r="L186" s="6"/>
      <c r="M186" s="6"/>
      <c r="N186" s="6"/>
      <c r="O186" s="6"/>
      <c r="P186" s="6"/>
      <c r="Q186" s="6"/>
      <c r="R186" s="6"/>
    </row>
    <row r="187" spans="1:18" x14ac:dyDescent="0.25">
      <c r="A187" s="5"/>
      <c r="B187" s="5" t="s">
        <v>4</v>
      </c>
      <c r="C187" s="6">
        <v>8</v>
      </c>
      <c r="D187" s="6">
        <v>27.03</v>
      </c>
      <c r="E187" s="6"/>
      <c r="F187" s="6">
        <v>4</v>
      </c>
      <c r="G187" s="6">
        <v>0</v>
      </c>
      <c r="H187" s="6"/>
      <c r="I187" s="6"/>
      <c r="J187" s="6"/>
      <c r="K187" s="25"/>
      <c r="L187" s="6"/>
      <c r="M187" s="6"/>
      <c r="N187" s="6"/>
      <c r="O187" s="6"/>
      <c r="P187" s="6"/>
      <c r="Q187" s="6"/>
      <c r="R187" s="6"/>
    </row>
    <row r="188" spans="1:18" x14ac:dyDescent="0.25">
      <c r="A188" s="14" t="s">
        <v>38</v>
      </c>
      <c r="B188" s="14" t="s">
        <v>3</v>
      </c>
      <c r="C188" s="15">
        <v>15</v>
      </c>
      <c r="D188" s="15">
        <v>19.399999999999999</v>
      </c>
      <c r="E188" s="15"/>
      <c r="F188" s="15">
        <v>5</v>
      </c>
      <c r="G188" s="15">
        <v>0</v>
      </c>
      <c r="H188" s="15"/>
      <c r="I188" s="15"/>
      <c r="J188" s="15"/>
      <c r="K188" s="23"/>
      <c r="L188" s="15"/>
      <c r="M188" s="15"/>
      <c r="N188" s="15"/>
      <c r="O188" s="15"/>
      <c r="P188" s="15"/>
      <c r="Q188" s="15"/>
      <c r="R188" s="15"/>
    </row>
    <row r="189" spans="1:18" x14ac:dyDescent="0.25">
      <c r="A189" s="14"/>
      <c r="B189" s="14" t="s">
        <v>4</v>
      </c>
      <c r="C189" s="15">
        <v>42.8</v>
      </c>
      <c r="D189" s="15">
        <v>0</v>
      </c>
      <c r="E189" s="15"/>
      <c r="F189" s="15">
        <v>28</v>
      </c>
      <c r="G189" s="15">
        <v>0</v>
      </c>
      <c r="H189" s="15"/>
      <c r="I189" s="15"/>
      <c r="J189" s="15"/>
      <c r="K189" s="23"/>
      <c r="L189" s="15"/>
      <c r="M189" s="15"/>
      <c r="N189" s="15"/>
      <c r="O189" s="15"/>
      <c r="P189" s="15"/>
      <c r="Q189" s="15"/>
      <c r="R189" s="15"/>
    </row>
    <row r="190" spans="1:18" x14ac:dyDescent="0.25">
      <c r="A190" s="2"/>
      <c r="B190" s="2"/>
      <c r="C190" s="4"/>
      <c r="D190" s="4"/>
      <c r="E190" s="4"/>
      <c r="F190" s="4"/>
      <c r="G190" s="4"/>
      <c r="H190" s="4"/>
      <c r="I190" s="4"/>
      <c r="J190" s="4"/>
      <c r="K190" s="8"/>
      <c r="L190" s="4"/>
      <c r="M190" s="4"/>
      <c r="N190" s="4"/>
      <c r="O190" s="4"/>
      <c r="P190" s="13"/>
      <c r="Q190" s="4"/>
      <c r="R190" s="4"/>
    </row>
    <row r="191" spans="1:18" x14ac:dyDescent="0.25">
      <c r="A191" s="2" t="s">
        <v>156</v>
      </c>
      <c r="B191" s="2"/>
      <c r="C191" s="4"/>
      <c r="D191" s="4"/>
      <c r="E191" s="4"/>
      <c r="F191" s="4"/>
      <c r="G191" s="4"/>
      <c r="H191" s="4"/>
      <c r="I191" s="4">
        <f>(47610+15000)/1000</f>
        <v>62.61</v>
      </c>
      <c r="J191" s="4"/>
      <c r="K191" s="93"/>
      <c r="L191" s="4">
        <f>231.826+510</f>
        <v>741.82600000000002</v>
      </c>
      <c r="M191" s="4">
        <v>3404.0880000000002</v>
      </c>
      <c r="N191" s="4">
        <f>64.432</f>
        <v>64.432000000000002</v>
      </c>
      <c r="O191" s="4">
        <v>481</v>
      </c>
      <c r="P191" s="4"/>
      <c r="Q191" s="4">
        <v>1886.252</v>
      </c>
      <c r="R191" s="13">
        <v>391.08199999999999</v>
      </c>
    </row>
    <row r="192" spans="1:18" x14ac:dyDescent="0.25">
      <c r="A192" s="2" t="s">
        <v>157</v>
      </c>
      <c r="B192" s="2"/>
      <c r="C192" s="4"/>
      <c r="D192" s="4"/>
      <c r="E192" s="4"/>
      <c r="F192" s="4"/>
      <c r="G192" s="4"/>
      <c r="H192" s="4"/>
      <c r="I192" s="4">
        <f>(191750/1000)</f>
        <v>191.75</v>
      </c>
      <c r="J192" s="4">
        <f>SUM(I191:I192)</f>
        <v>254.36</v>
      </c>
      <c r="K192" s="93"/>
      <c r="L192" s="4">
        <v>1800</v>
      </c>
      <c r="M192" s="4">
        <v>0</v>
      </c>
      <c r="N192" s="4">
        <v>545</v>
      </c>
      <c r="O192" s="4">
        <f>550+100</f>
        <v>650</v>
      </c>
      <c r="P192" s="4"/>
      <c r="Q192" s="4">
        <v>1720</v>
      </c>
      <c r="R192" s="4">
        <v>1475</v>
      </c>
    </row>
    <row r="193" spans="1:18" x14ac:dyDescent="0.25">
      <c r="I193" s="18"/>
      <c r="J193" s="18"/>
      <c r="K193" s="18"/>
      <c r="L193" s="18"/>
      <c r="M193" s="18"/>
      <c r="N193" s="18"/>
      <c r="O193" s="18"/>
      <c r="P193" s="18"/>
      <c r="Q193" s="18"/>
      <c r="R193" s="18"/>
    </row>
    <row r="194" spans="1:18" ht="23.25" x14ac:dyDescent="0.25">
      <c r="H194" s="95" t="s">
        <v>159</v>
      </c>
      <c r="I194" s="4">
        <f>I191*1000/970</f>
        <v>64.546391752577321</v>
      </c>
      <c r="J194" s="4"/>
      <c r="K194" s="4"/>
      <c r="L194" s="4">
        <f>L191/20</f>
        <v>37.091300000000004</v>
      </c>
      <c r="M194" s="4">
        <f>M191/20</f>
        <v>170.20440000000002</v>
      </c>
      <c r="N194" s="4">
        <f>N191/5</f>
        <v>12.8864</v>
      </c>
      <c r="O194" s="4">
        <f>O191/10</f>
        <v>48.1</v>
      </c>
      <c r="P194" s="4"/>
      <c r="Q194" s="4">
        <f>Q191/20</f>
        <v>94.312600000000003</v>
      </c>
      <c r="R194" s="4">
        <f>R191/10</f>
        <v>39.108199999999997</v>
      </c>
    </row>
    <row r="195" spans="1:18" x14ac:dyDescent="0.25">
      <c r="H195" s="94" t="s">
        <v>146</v>
      </c>
      <c r="I195" s="4">
        <f>SUM(C184:G185)</f>
        <v>82.5</v>
      </c>
      <c r="J195" s="4"/>
      <c r="K195" s="4"/>
      <c r="L195" s="4">
        <f>SUM(F184:F185)</f>
        <v>33.799999999999997</v>
      </c>
      <c r="M195" s="4">
        <f>SUM(G184:G185)</f>
        <v>9.6999999999999993</v>
      </c>
      <c r="N195" s="4">
        <f>SUM(F184:G185)</f>
        <v>43.5</v>
      </c>
      <c r="O195" s="4">
        <f>SUM(F184:G185)</f>
        <v>43.5</v>
      </c>
      <c r="P195" s="4"/>
      <c r="Q195" s="4">
        <f>SUM(C184:D185)</f>
        <v>39</v>
      </c>
      <c r="R195" s="4">
        <f>SUM(C184:D185)</f>
        <v>39</v>
      </c>
    </row>
    <row r="196" spans="1:18" x14ac:dyDescent="0.25">
      <c r="H196" s="94" t="s">
        <v>158</v>
      </c>
      <c r="I196" s="4">
        <f>'Prod dt 27-2-17'!V40+'Prod dt 27-2-17'!X40+'Prod dt 27-2-17'!Y40</f>
        <v>78.864900000000006</v>
      </c>
      <c r="J196" s="4"/>
      <c r="K196" s="4"/>
      <c r="L196" s="4">
        <f>'Prod dt 27-2-17'!X40</f>
        <v>37.439399999999999</v>
      </c>
      <c r="M196" s="4">
        <f>'Prod dt 27-2-17'!Y40</f>
        <v>9.702</v>
      </c>
      <c r="N196" s="4">
        <f>'Prod dt 27-2-17'!X40+'Prod dt 27-2-17'!Y40</f>
        <v>47.141399999999997</v>
      </c>
      <c r="O196" s="4">
        <f>'Prod dt 27-2-17'!X40+'Prod dt 27-2-17'!Y40</f>
        <v>47.141399999999997</v>
      </c>
      <c r="P196" s="4"/>
      <c r="Q196" s="4">
        <f>'Prod dt 27-2-17'!V40</f>
        <v>31.723500000000005</v>
      </c>
      <c r="R196" s="4">
        <f>'Prod dt 27-2-17'!V40</f>
        <v>31.723500000000005</v>
      </c>
    </row>
    <row r="197" spans="1:18" x14ac:dyDescent="0.25">
      <c r="H197" s="94" t="s">
        <v>149</v>
      </c>
      <c r="I197" s="4">
        <f>I195-I196</f>
        <v>3.6350999999999942</v>
      </c>
      <c r="J197" s="4"/>
      <c r="K197" s="4"/>
      <c r="L197" s="4">
        <f t="shared" ref="L197:O197" si="18">L195-L196</f>
        <v>-3.639400000000002</v>
      </c>
      <c r="M197" s="4">
        <f t="shared" si="18"/>
        <v>-2.0000000000006679E-3</v>
      </c>
      <c r="N197" s="4">
        <f t="shared" si="18"/>
        <v>-3.6413999999999973</v>
      </c>
      <c r="O197" s="4">
        <f t="shared" si="18"/>
        <v>-3.6413999999999973</v>
      </c>
      <c r="P197" s="4"/>
      <c r="Q197" s="4">
        <f t="shared" ref="Q197:R197" si="19">Q195-Q196</f>
        <v>7.2764999999999951</v>
      </c>
      <c r="R197" s="4">
        <f t="shared" si="19"/>
        <v>7.2764999999999951</v>
      </c>
    </row>
    <row r="198" spans="1:18" ht="23.25" x14ac:dyDescent="0.25">
      <c r="H198" s="95" t="s">
        <v>160</v>
      </c>
      <c r="I198" s="4">
        <f>I194-I197</f>
        <v>60.911291752577327</v>
      </c>
      <c r="J198" s="4"/>
      <c r="K198" s="4"/>
      <c r="L198" s="4">
        <f>L194+L197</f>
        <v>33.451900000000002</v>
      </c>
      <c r="M198" s="4">
        <f t="shared" ref="M198" si="20">M194-M197</f>
        <v>170.20640000000003</v>
      </c>
      <c r="N198" s="4">
        <f>N194+N197</f>
        <v>9.2450000000000028</v>
      </c>
      <c r="O198" s="4">
        <f>O194+O197</f>
        <v>44.458600000000004</v>
      </c>
      <c r="P198" s="4"/>
      <c r="Q198" s="4">
        <f t="shared" ref="Q198:R198" si="21">Q194-Q197</f>
        <v>87.036100000000005</v>
      </c>
      <c r="R198" s="4">
        <f t="shared" si="21"/>
        <v>31.831700000000001</v>
      </c>
    </row>
    <row r="199" spans="1:18" x14ac:dyDescent="0.25">
      <c r="H199" s="94" t="s">
        <v>113</v>
      </c>
      <c r="I199" s="4">
        <f>C186+D186+C187+D187+F186+G186+F187+G187</f>
        <v>68.73</v>
      </c>
      <c r="J199" s="4"/>
      <c r="K199" s="4"/>
      <c r="L199" s="4">
        <f>SUM(F186:F187)</f>
        <v>9</v>
      </c>
      <c r="M199" s="4">
        <f>SUM(G186)</f>
        <v>9.6999999999999993</v>
      </c>
      <c r="N199" s="4">
        <f>SUM(F186:G187)</f>
        <v>18.7</v>
      </c>
      <c r="O199" s="4">
        <f>SUM(F186:G187)</f>
        <v>18.7</v>
      </c>
      <c r="P199" s="4"/>
      <c r="Q199" s="4">
        <f>SUM(C186:D187)</f>
        <v>50.03</v>
      </c>
      <c r="R199" s="4">
        <f>SUM(C186:D187)</f>
        <v>50.03</v>
      </c>
    </row>
    <row r="200" spans="1:18" ht="23.25" x14ac:dyDescent="0.25">
      <c r="H200" s="95" t="s">
        <v>145</v>
      </c>
      <c r="I200" s="4">
        <f>I198-I199</f>
        <v>-7.818708247422677</v>
      </c>
      <c r="J200" s="4"/>
      <c r="K200" s="4"/>
      <c r="L200" s="4">
        <f t="shared" ref="L200:O200" si="22">L198-L199</f>
        <v>24.451900000000002</v>
      </c>
      <c r="M200" s="4">
        <f t="shared" si="22"/>
        <v>160.50640000000004</v>
      </c>
      <c r="N200" s="4">
        <f t="shared" si="22"/>
        <v>-9.4549999999999965</v>
      </c>
      <c r="O200" s="4">
        <f t="shared" si="22"/>
        <v>25.758600000000005</v>
      </c>
      <c r="P200" s="4"/>
      <c r="Q200" s="4">
        <f t="shared" ref="Q200:R200" si="23">Q198-Q199</f>
        <v>37.006100000000004</v>
      </c>
      <c r="R200" s="4">
        <f t="shared" si="23"/>
        <v>-18.1983</v>
      </c>
    </row>
    <row r="201" spans="1:18" x14ac:dyDescent="0.25">
      <c r="H201" s="50"/>
      <c r="I201" s="18"/>
      <c r="L201" s="18"/>
      <c r="M201" s="18"/>
      <c r="N201" s="18"/>
      <c r="O201" s="18"/>
      <c r="P201" s="18"/>
      <c r="Q201" s="18"/>
      <c r="R201" s="18"/>
    </row>
    <row r="202" spans="1:18" x14ac:dyDescent="0.25">
      <c r="H202" t="s">
        <v>143</v>
      </c>
      <c r="L202">
        <f>(33.8+9)*20</f>
        <v>856</v>
      </c>
      <c r="M202" s="18">
        <f>L202-L191</f>
        <v>114.17399999999998</v>
      </c>
      <c r="N202">
        <f>M202/20</f>
        <v>5.7086999999999986</v>
      </c>
    </row>
    <row r="204" spans="1:18" x14ac:dyDescent="0.25">
      <c r="A204" s="43"/>
      <c r="B204" s="43"/>
      <c r="C204" s="43"/>
      <c r="H204" s="92" t="s">
        <v>76</v>
      </c>
    </row>
    <row r="205" spans="1:18" x14ac:dyDescent="0.25">
      <c r="H205" t="s">
        <v>161</v>
      </c>
    </row>
    <row r="206" spans="1:18" x14ac:dyDescent="0.25">
      <c r="H206" t="s">
        <v>163</v>
      </c>
    </row>
    <row r="207" spans="1:18" x14ac:dyDescent="0.25">
      <c r="H207" t="s">
        <v>162</v>
      </c>
    </row>
    <row r="208" spans="1:18" x14ac:dyDescent="0.25">
      <c r="H208" t="s">
        <v>164</v>
      </c>
    </row>
    <row r="211" spans="1:18" x14ac:dyDescent="0.25">
      <c r="B211" t="s">
        <v>166</v>
      </c>
      <c r="D211" s="1"/>
      <c r="E211" s="1"/>
    </row>
    <row r="212" spans="1:18" x14ac:dyDescent="0.25">
      <c r="A212" s="2"/>
      <c r="B212" s="2"/>
      <c r="C212" s="2"/>
      <c r="D212" s="3"/>
      <c r="E212" s="3"/>
      <c r="F212" s="2"/>
      <c r="G212" s="2"/>
      <c r="H212" s="2"/>
      <c r="I212" s="2"/>
      <c r="J212" s="2"/>
      <c r="K212" s="2"/>
      <c r="L212" s="121" t="s">
        <v>79</v>
      </c>
      <c r="M212" s="121"/>
      <c r="N212" s="121"/>
      <c r="O212" s="121"/>
      <c r="P212" s="2"/>
      <c r="Q212" s="120" t="s">
        <v>5</v>
      </c>
      <c r="R212" s="120"/>
    </row>
    <row r="213" spans="1:18" ht="30" x14ac:dyDescent="0.25">
      <c r="A213" s="2"/>
      <c r="B213" s="2"/>
      <c r="C213" s="120" t="s">
        <v>5</v>
      </c>
      <c r="D213" s="120"/>
      <c r="E213" s="11"/>
      <c r="F213" s="121" t="s">
        <v>79</v>
      </c>
      <c r="G213" s="121"/>
      <c r="H213" s="2" t="s">
        <v>8</v>
      </c>
      <c r="I213" s="2" t="s">
        <v>7</v>
      </c>
      <c r="J213" s="2" t="s">
        <v>6</v>
      </c>
      <c r="K213" s="20" t="s">
        <v>30</v>
      </c>
      <c r="L213" s="7" t="s">
        <v>11</v>
      </c>
      <c r="M213" s="27" t="s">
        <v>40</v>
      </c>
      <c r="N213" s="7" t="s">
        <v>12</v>
      </c>
      <c r="O213" s="7" t="s">
        <v>34</v>
      </c>
      <c r="P213" s="2"/>
      <c r="Q213" s="2" t="s">
        <v>13</v>
      </c>
      <c r="R213" s="2" t="s">
        <v>14</v>
      </c>
    </row>
    <row r="214" spans="1:18" x14ac:dyDescent="0.25">
      <c r="A214" s="2"/>
      <c r="B214" s="2"/>
      <c r="C214" s="2" t="s">
        <v>10</v>
      </c>
      <c r="D214" s="3" t="s">
        <v>9</v>
      </c>
      <c r="E214" s="3"/>
      <c r="F214" s="2" t="s">
        <v>10</v>
      </c>
      <c r="G214" s="3" t="s">
        <v>9</v>
      </c>
      <c r="H214" s="2"/>
      <c r="I214" s="2">
        <v>1101024</v>
      </c>
      <c r="J214" s="2"/>
      <c r="K214" s="8" t="s">
        <v>27</v>
      </c>
      <c r="L214" s="2">
        <v>1101021</v>
      </c>
      <c r="M214" s="2">
        <v>1101035</v>
      </c>
      <c r="N214" s="2">
        <v>1101022</v>
      </c>
      <c r="O214" s="2">
        <v>1101023</v>
      </c>
      <c r="P214" s="2"/>
      <c r="Q214" s="2">
        <v>1101019</v>
      </c>
      <c r="R214" s="2">
        <v>1101018</v>
      </c>
    </row>
    <row r="215" spans="1:18" x14ac:dyDescent="0.25">
      <c r="A215" s="2"/>
      <c r="B215" s="2" t="s">
        <v>15</v>
      </c>
      <c r="C215" s="2"/>
      <c r="D215" s="3"/>
      <c r="E215" s="3"/>
      <c r="F215" s="2"/>
      <c r="G215" s="3"/>
      <c r="H215" s="2"/>
      <c r="I215" s="96" t="s">
        <v>21</v>
      </c>
      <c r="J215" s="2"/>
      <c r="K215" s="8"/>
      <c r="L215" s="96" t="s">
        <v>20</v>
      </c>
      <c r="M215" s="96" t="s">
        <v>20</v>
      </c>
      <c r="N215" s="96" t="s">
        <v>148</v>
      </c>
      <c r="O215" s="96" t="s">
        <v>18</v>
      </c>
      <c r="P215" s="96"/>
      <c r="Q215" s="96" t="s">
        <v>17</v>
      </c>
      <c r="R215" s="96" t="s">
        <v>16</v>
      </c>
    </row>
    <row r="216" spans="1:18" x14ac:dyDescent="0.25">
      <c r="A216" s="14" t="s">
        <v>36</v>
      </c>
      <c r="B216" s="14" t="s">
        <v>3</v>
      </c>
      <c r="C216" s="15">
        <v>25</v>
      </c>
      <c r="D216" s="15">
        <v>0</v>
      </c>
      <c r="E216" s="15"/>
      <c r="F216" s="15">
        <v>15</v>
      </c>
      <c r="G216" s="15">
        <v>9.6999999999999993</v>
      </c>
      <c r="H216" s="15"/>
      <c r="I216" s="15"/>
      <c r="J216" s="15"/>
      <c r="K216" s="23"/>
      <c r="L216" s="15"/>
      <c r="M216" s="15"/>
      <c r="N216" s="15"/>
      <c r="O216" s="15"/>
      <c r="P216" s="15"/>
      <c r="Q216" s="15"/>
      <c r="R216" s="15"/>
    </row>
    <row r="217" spans="1:18" x14ac:dyDescent="0.25">
      <c r="A217" s="14"/>
      <c r="B217" s="14" t="s">
        <v>4</v>
      </c>
      <c r="C217" s="15">
        <v>14</v>
      </c>
      <c r="D217" s="15">
        <v>0</v>
      </c>
      <c r="E217" s="15"/>
      <c r="F217" s="15">
        <v>18.8</v>
      </c>
      <c r="G217" s="15">
        <v>0</v>
      </c>
      <c r="H217" s="15"/>
      <c r="I217" s="15"/>
      <c r="J217" s="15"/>
      <c r="K217" s="23"/>
      <c r="L217" s="15"/>
      <c r="M217" s="15"/>
      <c r="N217" s="15"/>
      <c r="O217" s="15"/>
      <c r="P217" s="15"/>
      <c r="Q217" s="15"/>
      <c r="R217" s="15"/>
    </row>
    <row r="218" spans="1:18" x14ac:dyDescent="0.25">
      <c r="A218" s="5" t="s">
        <v>37</v>
      </c>
      <c r="B218" s="5" t="s">
        <v>3</v>
      </c>
      <c r="C218" s="6">
        <v>15</v>
      </c>
      <c r="D218" s="6">
        <v>0</v>
      </c>
      <c r="E218" s="6"/>
      <c r="F218" s="6">
        <v>5</v>
      </c>
      <c r="G218" s="6">
        <v>9.6999999999999993</v>
      </c>
      <c r="H218" s="6"/>
      <c r="I218" s="6"/>
      <c r="J218" s="6"/>
      <c r="K218" s="25"/>
      <c r="L218" s="6"/>
      <c r="M218" s="6"/>
      <c r="N218" s="6"/>
      <c r="O218" s="6"/>
      <c r="P218" s="6"/>
      <c r="Q218" s="6"/>
      <c r="R218" s="6"/>
    </row>
    <row r="219" spans="1:18" x14ac:dyDescent="0.25">
      <c r="A219" s="5"/>
      <c r="B219" s="5" t="s">
        <v>4</v>
      </c>
      <c r="C219" s="6">
        <v>8</v>
      </c>
      <c r="D219" s="6">
        <v>27.03</v>
      </c>
      <c r="E219" s="6"/>
      <c r="F219" s="6">
        <v>4</v>
      </c>
      <c r="G219" s="6">
        <v>0</v>
      </c>
      <c r="H219" s="6"/>
      <c r="I219" s="6"/>
      <c r="J219" s="6"/>
      <c r="K219" s="25"/>
      <c r="L219" s="6"/>
      <c r="M219" s="6"/>
      <c r="N219" s="6"/>
      <c r="O219" s="6"/>
      <c r="P219" s="6"/>
      <c r="Q219" s="6"/>
      <c r="R219" s="6"/>
    </row>
    <row r="220" spans="1:18" x14ac:dyDescent="0.25">
      <c r="A220" s="14" t="s">
        <v>38</v>
      </c>
      <c r="B220" s="14" t="s">
        <v>3</v>
      </c>
      <c r="C220" s="15">
        <v>15</v>
      </c>
      <c r="D220" s="15">
        <v>19.399999999999999</v>
      </c>
      <c r="E220" s="15"/>
      <c r="F220" s="15">
        <v>5</v>
      </c>
      <c r="G220" s="15">
        <v>0</v>
      </c>
      <c r="H220" s="15"/>
      <c r="I220" s="15"/>
      <c r="J220" s="15"/>
      <c r="K220" s="23"/>
      <c r="L220" s="15"/>
      <c r="M220" s="15"/>
      <c r="N220" s="15"/>
      <c r="O220" s="15"/>
      <c r="P220" s="15"/>
      <c r="Q220" s="15"/>
      <c r="R220" s="15"/>
    </row>
    <row r="221" spans="1:18" x14ac:dyDescent="0.25">
      <c r="A221" s="14"/>
      <c r="B221" s="14" t="s">
        <v>4</v>
      </c>
      <c r="C221" s="15">
        <v>44</v>
      </c>
      <c r="D221" s="15">
        <v>0</v>
      </c>
      <c r="E221" s="15"/>
      <c r="F221" s="15">
        <v>28</v>
      </c>
      <c r="G221" s="15">
        <v>0</v>
      </c>
      <c r="H221" s="15"/>
      <c r="I221" s="15"/>
      <c r="J221" s="15"/>
      <c r="K221" s="23"/>
      <c r="L221" s="15"/>
      <c r="M221" s="15"/>
      <c r="N221" s="15"/>
      <c r="O221" s="15"/>
      <c r="P221" s="15"/>
      <c r="Q221" s="15"/>
      <c r="R221" s="15"/>
    </row>
    <row r="222" spans="1:18" x14ac:dyDescent="0.25">
      <c r="A222" s="2"/>
      <c r="B222" s="2"/>
      <c r="C222" s="4"/>
      <c r="D222" s="4"/>
      <c r="E222" s="4"/>
      <c r="F222" s="4"/>
      <c r="G222" s="4"/>
      <c r="H222" s="4"/>
      <c r="I222" s="4"/>
      <c r="J222" s="4"/>
      <c r="K222" s="8"/>
      <c r="L222" s="4"/>
      <c r="M222" s="4"/>
      <c r="N222" s="4"/>
      <c r="O222" s="4"/>
      <c r="P222" s="13"/>
      <c r="Q222" s="4"/>
      <c r="R222" s="4"/>
    </row>
    <row r="223" spans="1:18" x14ac:dyDescent="0.25">
      <c r="A223" s="2" t="s">
        <v>167</v>
      </c>
      <c r="B223" s="2"/>
      <c r="C223" s="4"/>
      <c r="D223" s="4"/>
      <c r="E223" s="4"/>
      <c r="F223" s="4"/>
      <c r="G223" s="4"/>
      <c r="H223" s="4"/>
      <c r="I223" s="4">
        <f>(53010+15000)/1000</f>
        <v>68.010000000000005</v>
      </c>
      <c r="J223" s="4"/>
      <c r="K223" s="93"/>
      <c r="L223" s="4">
        <f>231.826+510</f>
        <v>741.82600000000002</v>
      </c>
      <c r="M223" s="4">
        <v>3404.0880000000002</v>
      </c>
      <c r="N223" s="4">
        <f>64.432+30</f>
        <v>94.432000000000002</v>
      </c>
      <c r="O223" s="4">
        <v>481</v>
      </c>
      <c r="P223" s="4"/>
      <c r="Q223" s="4">
        <v>1638.8520000000001</v>
      </c>
      <c r="R223" s="13">
        <f>267.349+250</f>
        <v>517.34899999999993</v>
      </c>
    </row>
    <row r="224" spans="1:18" x14ac:dyDescent="0.25">
      <c r="A224" s="2" t="s">
        <v>168</v>
      </c>
      <c r="B224" s="2"/>
      <c r="C224" s="4"/>
      <c r="D224" s="4"/>
      <c r="E224" s="4"/>
      <c r="F224" s="4"/>
      <c r="G224" s="4"/>
      <c r="H224" s="4"/>
      <c r="I224" s="4">
        <f>(176750/1000)</f>
        <v>176.75</v>
      </c>
      <c r="J224" s="4">
        <f>SUM(I223:I224)</f>
        <v>244.76</v>
      </c>
      <c r="K224" s="93"/>
      <c r="L224" s="4">
        <v>1800</v>
      </c>
      <c r="M224" s="4">
        <v>0</v>
      </c>
      <c r="N224" s="4">
        <v>515</v>
      </c>
      <c r="O224" s="4">
        <f>550+100</f>
        <v>650</v>
      </c>
      <c r="P224" s="4"/>
      <c r="Q224" s="4">
        <v>1720</v>
      </c>
      <c r="R224" s="4">
        <v>1225</v>
      </c>
    </row>
    <row r="225" spans="1:18" x14ac:dyDescent="0.25">
      <c r="I225" s="18"/>
      <c r="J225" s="18"/>
      <c r="K225" s="18"/>
      <c r="L225" s="18"/>
      <c r="M225" s="18"/>
      <c r="N225" s="18"/>
      <c r="O225" s="18"/>
      <c r="P225" s="18"/>
      <c r="Q225" s="18"/>
      <c r="R225" s="18"/>
    </row>
    <row r="226" spans="1:18" ht="23.25" x14ac:dyDescent="0.25">
      <c r="H226" s="95" t="s">
        <v>169</v>
      </c>
      <c r="I226" s="4">
        <f>I223*1000/970</f>
        <v>70.113402061855666</v>
      </c>
      <c r="J226" s="4"/>
      <c r="K226" s="4"/>
      <c r="L226" s="4">
        <f>L223/20</f>
        <v>37.091300000000004</v>
      </c>
      <c r="M226" s="4">
        <f>M223/20</f>
        <v>170.20440000000002</v>
      </c>
      <c r="N226" s="4">
        <f>N223/5</f>
        <v>18.886400000000002</v>
      </c>
      <c r="O226" s="4">
        <f>O223/10</f>
        <v>48.1</v>
      </c>
      <c r="P226" s="4"/>
      <c r="Q226" s="4">
        <f>Q223/20</f>
        <v>81.942599999999999</v>
      </c>
      <c r="R226" s="4">
        <f>R223/10</f>
        <v>51.734899999999996</v>
      </c>
    </row>
    <row r="227" spans="1:18" x14ac:dyDescent="0.25">
      <c r="H227" s="94" t="s">
        <v>146</v>
      </c>
      <c r="I227" s="4">
        <f>SUM(C216:G217)</f>
        <v>82.5</v>
      </c>
      <c r="J227" s="4"/>
      <c r="K227" s="4"/>
      <c r="L227" s="4">
        <f>SUM(F216:F217)</f>
        <v>33.799999999999997</v>
      </c>
      <c r="M227" s="4">
        <f>SUM(G216:G217)</f>
        <v>9.6999999999999993</v>
      </c>
      <c r="N227" s="4">
        <f>SUM(F216:G217)</f>
        <v>43.5</v>
      </c>
      <c r="O227" s="4">
        <f>SUM(F216:G217)</f>
        <v>43.5</v>
      </c>
      <c r="P227" s="4"/>
      <c r="Q227" s="4">
        <f>SUM(C216:D217)</f>
        <v>39</v>
      </c>
      <c r="R227" s="4">
        <f>SUM(C216:D217)</f>
        <v>39</v>
      </c>
    </row>
    <row r="228" spans="1:18" x14ac:dyDescent="0.25">
      <c r="H228" s="94" t="s">
        <v>170</v>
      </c>
      <c r="I228" s="4">
        <f>84.0974</f>
        <v>84.097399999999993</v>
      </c>
      <c r="J228" s="4"/>
      <c r="K228" s="4"/>
      <c r="L228" s="4">
        <v>37.439399999999999</v>
      </c>
      <c r="M228" s="4">
        <v>9.702</v>
      </c>
      <c r="N228" s="4">
        <v>47.141399999999997</v>
      </c>
      <c r="O228" s="4">
        <v>47.141399999999997</v>
      </c>
      <c r="P228" s="4"/>
      <c r="Q228" s="4">
        <v>36.956000000000003</v>
      </c>
      <c r="R228" s="4">
        <v>36.956000000000003</v>
      </c>
    </row>
    <row r="229" spans="1:18" x14ac:dyDescent="0.25">
      <c r="H229" s="94" t="s">
        <v>149</v>
      </c>
      <c r="I229" s="4">
        <f>I227-I228</f>
        <v>-1.5973999999999933</v>
      </c>
      <c r="J229" s="4"/>
      <c r="K229" s="4"/>
      <c r="L229" s="4">
        <f t="shared" ref="L229:O229" si="24">L227-L228</f>
        <v>-3.639400000000002</v>
      </c>
      <c r="M229" s="4">
        <f t="shared" si="24"/>
        <v>-2.0000000000006679E-3</v>
      </c>
      <c r="N229" s="4">
        <f t="shared" si="24"/>
        <v>-3.6413999999999973</v>
      </c>
      <c r="O229" s="4">
        <f t="shared" si="24"/>
        <v>-3.6413999999999973</v>
      </c>
      <c r="P229" s="4"/>
      <c r="Q229" s="4">
        <f t="shared" ref="Q229:R229" si="25">Q227-Q228</f>
        <v>2.0439999999999969</v>
      </c>
      <c r="R229" s="4">
        <f t="shared" si="25"/>
        <v>2.0439999999999969</v>
      </c>
    </row>
    <row r="230" spans="1:18" ht="23.25" x14ac:dyDescent="0.25">
      <c r="H230" s="95" t="s">
        <v>160</v>
      </c>
      <c r="I230" s="4">
        <f>I226-I229</f>
        <v>71.710802061855659</v>
      </c>
      <c r="J230" s="4"/>
      <c r="K230" s="4"/>
      <c r="L230" s="4">
        <f>L226+L229</f>
        <v>33.451900000000002</v>
      </c>
      <c r="M230" s="4">
        <f t="shared" ref="M230" si="26">M226-M229</f>
        <v>170.20640000000003</v>
      </c>
      <c r="N230" s="4">
        <f>N226+N229</f>
        <v>15.245000000000005</v>
      </c>
      <c r="O230" s="4">
        <f>O226+O229</f>
        <v>44.458600000000004</v>
      </c>
      <c r="P230" s="4"/>
      <c r="Q230" s="4">
        <f t="shared" ref="Q230:R230" si="27">Q226-Q229</f>
        <v>79.898600000000002</v>
      </c>
      <c r="R230" s="4">
        <f t="shared" si="27"/>
        <v>49.690899999999999</v>
      </c>
    </row>
    <row r="231" spans="1:18" x14ac:dyDescent="0.25">
      <c r="H231" s="94" t="s">
        <v>113</v>
      </c>
      <c r="I231" s="4">
        <f>C218+D218+C219+D219+F218+G218+F219+G219</f>
        <v>68.73</v>
      </c>
      <c r="J231" s="4"/>
      <c r="K231" s="4"/>
      <c r="L231" s="4">
        <f>SUM(F218:F219)</f>
        <v>9</v>
      </c>
      <c r="M231" s="4">
        <f>SUM(G218)</f>
        <v>9.6999999999999993</v>
      </c>
      <c r="N231" s="4">
        <f>SUM(F218:G219)</f>
        <v>18.7</v>
      </c>
      <c r="O231" s="4">
        <f>SUM(F218:G219)</f>
        <v>18.7</v>
      </c>
      <c r="P231" s="4"/>
      <c r="Q231" s="4">
        <f>SUM(C218:D219)</f>
        <v>50.03</v>
      </c>
      <c r="R231" s="4">
        <f>SUM(C218:D219)</f>
        <v>50.03</v>
      </c>
    </row>
    <row r="232" spans="1:18" ht="23.25" x14ac:dyDescent="0.25">
      <c r="H232" s="95" t="s">
        <v>145</v>
      </c>
      <c r="I232" s="4">
        <f>I230-I231</f>
        <v>2.9808020618556554</v>
      </c>
      <c r="J232" s="4"/>
      <c r="K232" s="4"/>
      <c r="L232" s="4">
        <f t="shared" ref="L232:O232" si="28">L230-L231</f>
        <v>24.451900000000002</v>
      </c>
      <c r="M232" s="4">
        <f t="shared" si="28"/>
        <v>160.50640000000004</v>
      </c>
      <c r="N232" s="4">
        <f t="shared" si="28"/>
        <v>-3.4549999999999947</v>
      </c>
      <c r="O232" s="4">
        <f t="shared" si="28"/>
        <v>25.758600000000005</v>
      </c>
      <c r="P232" s="4"/>
      <c r="Q232" s="4">
        <f t="shared" ref="Q232:R232" si="29">Q230-Q231</f>
        <v>29.868600000000001</v>
      </c>
      <c r="R232" s="4">
        <f t="shared" si="29"/>
        <v>-0.33910000000000196</v>
      </c>
    </row>
    <row r="233" spans="1:18" x14ac:dyDescent="0.25">
      <c r="H233" s="50"/>
      <c r="I233" s="18"/>
      <c r="L233" s="18"/>
      <c r="M233" s="18"/>
      <c r="N233" s="18"/>
      <c r="O233" s="18"/>
      <c r="P233" s="18"/>
      <c r="Q233" s="18"/>
      <c r="R233" s="18"/>
    </row>
    <row r="234" spans="1:18" x14ac:dyDescent="0.25">
      <c r="H234" t="s">
        <v>143</v>
      </c>
      <c r="L234">
        <f>(33.8+9)*20</f>
        <v>856</v>
      </c>
      <c r="M234" s="18">
        <f>L234-L223</f>
        <v>114.17399999999998</v>
      </c>
      <c r="N234">
        <f>M234/20</f>
        <v>5.7086999999999986</v>
      </c>
    </row>
    <row r="236" spans="1:18" x14ac:dyDescent="0.25">
      <c r="A236" s="43"/>
      <c r="B236" s="43"/>
      <c r="C236" s="43"/>
      <c r="H236" s="92" t="s">
        <v>76</v>
      </c>
    </row>
    <row r="237" spans="1:18" x14ac:dyDescent="0.25">
      <c r="H237" t="s">
        <v>161</v>
      </c>
    </row>
    <row r="238" spans="1:18" x14ac:dyDescent="0.25">
      <c r="H238" t="s">
        <v>171</v>
      </c>
    </row>
    <row r="242" spans="1:18" x14ac:dyDescent="0.25">
      <c r="B242" t="s">
        <v>199</v>
      </c>
      <c r="D242" s="1"/>
      <c r="E242" s="1"/>
    </row>
    <row r="243" spans="1:18" x14ac:dyDescent="0.25">
      <c r="A243" s="2"/>
      <c r="B243" s="2"/>
      <c r="C243" s="2"/>
      <c r="D243" s="3"/>
      <c r="E243" s="3"/>
      <c r="F243" s="2"/>
      <c r="G243" s="2"/>
      <c r="H243" s="2"/>
      <c r="I243" s="2"/>
      <c r="J243" s="2"/>
      <c r="K243" s="2"/>
      <c r="L243" s="121" t="s">
        <v>79</v>
      </c>
      <c r="M243" s="121"/>
      <c r="N243" s="121"/>
      <c r="O243" s="121"/>
      <c r="P243" s="2"/>
      <c r="Q243" s="120" t="s">
        <v>5</v>
      </c>
      <c r="R243" s="120"/>
    </row>
    <row r="244" spans="1:18" ht="30" x14ac:dyDescent="0.25">
      <c r="A244" s="2"/>
      <c r="B244" s="2"/>
      <c r="C244" s="120" t="s">
        <v>5</v>
      </c>
      <c r="D244" s="120"/>
      <c r="E244" s="11"/>
      <c r="F244" s="121" t="s">
        <v>79</v>
      </c>
      <c r="G244" s="121"/>
      <c r="H244" s="2" t="s">
        <v>8</v>
      </c>
      <c r="I244" s="2" t="s">
        <v>7</v>
      </c>
      <c r="J244" s="2" t="s">
        <v>6</v>
      </c>
      <c r="K244" s="20" t="s">
        <v>30</v>
      </c>
      <c r="L244" s="7" t="s">
        <v>11</v>
      </c>
      <c r="M244" s="27" t="s">
        <v>40</v>
      </c>
      <c r="N244" s="7" t="s">
        <v>12</v>
      </c>
      <c r="O244" s="7" t="s">
        <v>34</v>
      </c>
      <c r="P244" s="2"/>
      <c r="Q244" s="2" t="s">
        <v>13</v>
      </c>
      <c r="R244" s="2" t="s">
        <v>14</v>
      </c>
    </row>
    <row r="245" spans="1:18" x14ac:dyDescent="0.25">
      <c r="A245" s="2"/>
      <c r="B245" s="2"/>
      <c r="C245" s="2" t="s">
        <v>10</v>
      </c>
      <c r="D245" s="3" t="s">
        <v>9</v>
      </c>
      <c r="E245" s="3"/>
      <c r="F245" s="2" t="s">
        <v>10</v>
      </c>
      <c r="G245" s="3" t="s">
        <v>9</v>
      </c>
      <c r="H245" s="2"/>
      <c r="I245" s="2">
        <v>1101024</v>
      </c>
      <c r="J245" s="2"/>
      <c r="K245" s="8" t="s">
        <v>27</v>
      </c>
      <c r="L245" s="2">
        <v>1101021</v>
      </c>
      <c r="M245" s="2">
        <v>1101035</v>
      </c>
      <c r="N245" s="2">
        <v>1101022</v>
      </c>
      <c r="O245" s="2">
        <v>1101023</v>
      </c>
      <c r="P245" s="2"/>
      <c r="Q245" s="2">
        <v>1101019</v>
      </c>
      <c r="R245" s="2">
        <v>1101018</v>
      </c>
    </row>
    <row r="246" spans="1:18" x14ac:dyDescent="0.25">
      <c r="A246" s="2"/>
      <c r="B246" s="2" t="s">
        <v>15</v>
      </c>
      <c r="C246" s="2"/>
      <c r="D246" s="3"/>
      <c r="E246" s="3"/>
      <c r="F246" s="2"/>
      <c r="G246" s="3"/>
      <c r="H246" s="2"/>
      <c r="I246" s="96" t="s">
        <v>21</v>
      </c>
      <c r="J246" s="2"/>
      <c r="K246" s="8"/>
      <c r="L246" s="96" t="s">
        <v>20</v>
      </c>
      <c r="M246" s="96" t="s">
        <v>20</v>
      </c>
      <c r="N246" s="96" t="s">
        <v>148</v>
      </c>
      <c r="O246" s="96" t="s">
        <v>18</v>
      </c>
      <c r="P246" s="96"/>
      <c r="Q246" s="96" t="s">
        <v>17</v>
      </c>
      <c r="R246" s="96" t="s">
        <v>16</v>
      </c>
    </row>
    <row r="247" spans="1:18" x14ac:dyDescent="0.25">
      <c r="A247" s="14" t="s">
        <v>36</v>
      </c>
      <c r="B247" s="14" t="s">
        <v>3</v>
      </c>
      <c r="C247" s="15">
        <v>25</v>
      </c>
      <c r="D247" s="15">
        <v>0</v>
      </c>
      <c r="E247" s="15"/>
      <c r="F247" s="15">
        <v>15</v>
      </c>
      <c r="G247" s="15">
        <v>9.6999999999999993</v>
      </c>
      <c r="H247" s="15"/>
      <c r="I247" s="15"/>
      <c r="J247" s="15"/>
      <c r="K247" s="23"/>
      <c r="L247" s="15"/>
      <c r="M247" s="15"/>
      <c r="N247" s="15"/>
      <c r="O247" s="15"/>
      <c r="P247" s="15"/>
      <c r="Q247" s="15"/>
      <c r="R247" s="15"/>
    </row>
    <row r="248" spans="1:18" x14ac:dyDescent="0.25">
      <c r="A248" s="14"/>
      <c r="B248" s="14" t="s">
        <v>4</v>
      </c>
      <c r="C248" s="15">
        <v>14</v>
      </c>
      <c r="D248" s="15">
        <v>0</v>
      </c>
      <c r="E248" s="15"/>
      <c r="F248" s="15">
        <v>18.8</v>
      </c>
      <c r="G248" s="15">
        <v>0</v>
      </c>
      <c r="H248" s="15"/>
      <c r="I248" s="15"/>
      <c r="J248" s="15"/>
      <c r="K248" s="23"/>
      <c r="L248" s="15"/>
      <c r="M248" s="15"/>
      <c r="N248" s="15"/>
      <c r="O248" s="15"/>
      <c r="P248" s="15"/>
      <c r="Q248" s="15"/>
      <c r="R248" s="15"/>
    </row>
    <row r="249" spans="1:18" x14ac:dyDescent="0.25">
      <c r="A249" s="5" t="s">
        <v>37</v>
      </c>
      <c r="B249" s="5" t="s">
        <v>3</v>
      </c>
      <c r="C249" s="6">
        <v>15</v>
      </c>
      <c r="D249" s="6">
        <v>0</v>
      </c>
      <c r="E249" s="6"/>
      <c r="F249" s="6">
        <v>5</v>
      </c>
      <c r="G249" s="6">
        <v>9.6999999999999993</v>
      </c>
      <c r="H249" s="6"/>
      <c r="I249" s="6"/>
      <c r="J249" s="6"/>
      <c r="K249" s="25"/>
      <c r="L249" s="6"/>
      <c r="M249" s="6"/>
      <c r="N249" s="6"/>
      <c r="O249" s="6"/>
      <c r="P249" s="6"/>
      <c r="Q249" s="6"/>
      <c r="R249" s="6"/>
    </row>
    <row r="250" spans="1:18" x14ac:dyDescent="0.25">
      <c r="A250" s="5"/>
      <c r="B250" s="5" t="s">
        <v>4</v>
      </c>
      <c r="C250" s="6">
        <v>8</v>
      </c>
      <c r="D250" s="6">
        <v>27.03</v>
      </c>
      <c r="E250" s="6"/>
      <c r="F250" s="6">
        <v>4</v>
      </c>
      <c r="G250" s="6">
        <v>0</v>
      </c>
      <c r="H250" s="6"/>
      <c r="I250" s="6"/>
      <c r="J250" s="6"/>
      <c r="K250" s="25"/>
      <c r="L250" s="6"/>
      <c r="M250" s="6"/>
      <c r="N250" s="6"/>
      <c r="O250" s="6"/>
      <c r="P250" s="6"/>
      <c r="Q250" s="6"/>
      <c r="R250" s="6"/>
    </row>
    <row r="251" spans="1:18" x14ac:dyDescent="0.25">
      <c r="A251" s="14" t="s">
        <v>38</v>
      </c>
      <c r="B251" s="14" t="s">
        <v>3</v>
      </c>
      <c r="C251" s="15">
        <v>15</v>
      </c>
      <c r="D251" s="15">
        <v>19.399999999999999</v>
      </c>
      <c r="E251" s="15"/>
      <c r="F251" s="15">
        <v>5</v>
      </c>
      <c r="G251" s="15">
        <v>0</v>
      </c>
      <c r="H251" s="15"/>
      <c r="I251" s="15"/>
      <c r="J251" s="15"/>
      <c r="K251" s="23"/>
      <c r="L251" s="15"/>
      <c r="M251" s="15"/>
      <c r="N251" s="15"/>
      <c r="O251" s="15"/>
      <c r="P251" s="15"/>
      <c r="Q251" s="15"/>
      <c r="R251" s="15"/>
    </row>
    <row r="252" spans="1:18" x14ac:dyDescent="0.25">
      <c r="A252" s="14"/>
      <c r="B252" s="14" t="s">
        <v>4</v>
      </c>
      <c r="C252" s="15">
        <v>44</v>
      </c>
      <c r="D252" s="15">
        <v>0</v>
      </c>
      <c r="E252" s="15"/>
      <c r="F252" s="15">
        <v>28</v>
      </c>
      <c r="G252" s="15">
        <v>0</v>
      </c>
      <c r="H252" s="15"/>
      <c r="I252" s="15"/>
      <c r="J252" s="15"/>
      <c r="K252" s="23"/>
      <c r="L252" s="15"/>
      <c r="M252" s="15"/>
      <c r="N252" s="15"/>
      <c r="O252" s="15"/>
      <c r="P252" s="15"/>
      <c r="Q252" s="15"/>
      <c r="R252" s="15"/>
    </row>
    <row r="253" spans="1:18" x14ac:dyDescent="0.25">
      <c r="A253" s="5" t="s">
        <v>186</v>
      </c>
      <c r="B253" s="14" t="s">
        <v>3</v>
      </c>
      <c r="C253" s="5">
        <f>243100*100/1000/1000</f>
        <v>24.31</v>
      </c>
      <c r="D253" s="5">
        <v>0</v>
      </c>
      <c r="E253" s="5"/>
      <c r="F253" s="5">
        <f>15000*100/1000/1000</f>
        <v>1.5</v>
      </c>
      <c r="G253" s="5">
        <v>0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25">
      <c r="A254" s="5"/>
      <c r="B254" s="14" t="s">
        <v>4</v>
      </c>
      <c r="C254" s="5">
        <f>10000*400/1000/1000</f>
        <v>4</v>
      </c>
      <c r="D254" s="5">
        <v>0</v>
      </c>
      <c r="E254" s="5"/>
      <c r="F254" s="5">
        <f>7000*400/1000/1000</f>
        <v>2.8</v>
      </c>
      <c r="G254" s="5">
        <v>0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25">
      <c r="A255" s="2"/>
      <c r="B255" s="2"/>
      <c r="C255" s="4"/>
      <c r="D255" s="4"/>
      <c r="E255" s="4"/>
      <c r="F255" s="4"/>
      <c r="G255" s="4"/>
      <c r="H255" s="4"/>
      <c r="I255" s="4"/>
      <c r="J255" s="4"/>
      <c r="K255" s="8"/>
      <c r="L255" s="4"/>
      <c r="M255" s="4"/>
      <c r="N255" s="4"/>
      <c r="O255" s="4"/>
      <c r="P255" s="13"/>
      <c r="Q255" s="4"/>
      <c r="R255" s="4"/>
    </row>
    <row r="256" spans="1:18" x14ac:dyDescent="0.25">
      <c r="A256" s="2" t="s">
        <v>196</v>
      </c>
      <c r="B256" s="2"/>
      <c r="C256" s="4"/>
      <c r="D256" s="4"/>
      <c r="E256" s="4"/>
      <c r="F256" s="4"/>
      <c r="G256" s="4"/>
      <c r="H256" s="4"/>
      <c r="I256" s="4">
        <f>(20010+21000+4020)/1000</f>
        <v>45.03</v>
      </c>
      <c r="J256" s="4"/>
      <c r="K256" s="93"/>
      <c r="L256" s="4">
        <v>542.86599999999999</v>
      </c>
      <c r="M256" s="4">
        <v>3404.0880000000002</v>
      </c>
      <c r="N256" s="4">
        <f>14.67+30</f>
        <v>44.67</v>
      </c>
      <c r="O256" s="4">
        <v>380.91199999999998</v>
      </c>
      <c r="P256" s="4"/>
      <c r="Q256" s="4">
        <v>847.01900000000001</v>
      </c>
      <c r="R256" s="13">
        <f>(121.144+100)</f>
        <v>221.14400000000001</v>
      </c>
    </row>
    <row r="257" spans="1:18" x14ac:dyDescent="0.25">
      <c r="A257" s="2" t="s">
        <v>197</v>
      </c>
      <c r="B257" s="2"/>
      <c r="C257" s="4"/>
      <c r="D257" s="4"/>
      <c r="E257" s="4"/>
      <c r="F257" s="4"/>
      <c r="G257" s="4"/>
      <c r="H257" s="4"/>
      <c r="I257" s="4">
        <f>(151730/1000)</f>
        <v>151.72999999999999</v>
      </c>
      <c r="J257" s="4">
        <f>SUM(I256:I257)</f>
        <v>196.76</v>
      </c>
      <c r="K257" s="93"/>
      <c r="L257" s="4">
        <v>1800</v>
      </c>
      <c r="M257" s="4">
        <v>0</v>
      </c>
      <c r="N257" s="4">
        <v>515</v>
      </c>
      <c r="O257" s="4">
        <f>550+100</f>
        <v>650</v>
      </c>
      <c r="P257" s="4"/>
      <c r="Q257" s="4">
        <v>2200</v>
      </c>
      <c r="R257" s="4">
        <v>1350</v>
      </c>
    </row>
    <row r="258" spans="1:18" x14ac:dyDescent="0.25">
      <c r="I258" s="18"/>
      <c r="J258" s="18"/>
      <c r="K258" s="18"/>
      <c r="L258" s="18"/>
      <c r="M258" s="18"/>
      <c r="N258" s="18"/>
      <c r="O258" s="18"/>
      <c r="P258" s="18"/>
      <c r="Q258" s="18"/>
      <c r="R258" s="18"/>
    </row>
    <row r="259" spans="1:18" ht="23.25" x14ac:dyDescent="0.25">
      <c r="B259" s="115"/>
      <c r="C259" s="102"/>
      <c r="D259" s="102"/>
      <c r="H259" s="95" t="s">
        <v>169</v>
      </c>
      <c r="I259" s="4">
        <f>I256*1000/970</f>
        <v>46.422680412371136</v>
      </c>
      <c r="J259" s="4"/>
      <c r="K259" s="4"/>
      <c r="L259" s="4">
        <f>L256/20</f>
        <v>27.1433</v>
      </c>
      <c r="M259" s="4">
        <f>M256/20</f>
        <v>170.20440000000002</v>
      </c>
      <c r="N259" s="4">
        <f>N256/5</f>
        <v>8.9340000000000011</v>
      </c>
      <c r="O259" s="4">
        <f>O256/10</f>
        <v>38.091200000000001</v>
      </c>
      <c r="P259" s="4"/>
      <c r="Q259" s="4">
        <f>Q256/20</f>
        <v>42.350949999999997</v>
      </c>
      <c r="R259" s="4">
        <f>R256/10</f>
        <v>22.1144</v>
      </c>
    </row>
    <row r="260" spans="1:18" x14ac:dyDescent="0.25">
      <c r="B260" s="115"/>
      <c r="C260" s="102"/>
      <c r="D260" s="102"/>
      <c r="H260" s="94" t="s">
        <v>172</v>
      </c>
      <c r="I260" s="4">
        <f>SUM(C249:G250)</f>
        <v>68.73</v>
      </c>
      <c r="J260" s="4"/>
      <c r="K260" s="4"/>
      <c r="L260" s="4">
        <f>SUM(F249:F250)</f>
        <v>9</v>
      </c>
      <c r="M260" s="4">
        <f>SUM(G249:G250)</f>
        <v>9.6999999999999993</v>
      </c>
      <c r="N260" s="4">
        <f>SUM(F249:G250)</f>
        <v>18.7</v>
      </c>
      <c r="O260" s="4">
        <f>SUM(F249:G250)</f>
        <v>18.7</v>
      </c>
      <c r="P260" s="4"/>
      <c r="Q260" s="4">
        <f>SUM(C249:D250)</f>
        <v>50.03</v>
      </c>
      <c r="R260" s="4">
        <f>SUM(C249:D250)</f>
        <v>50.03</v>
      </c>
    </row>
    <row r="261" spans="1:18" x14ac:dyDescent="0.25">
      <c r="B261" s="115"/>
      <c r="C261" s="102"/>
      <c r="D261" s="102"/>
      <c r="H261" s="118" t="s">
        <v>198</v>
      </c>
      <c r="I261" s="10">
        <v>10.1693</v>
      </c>
      <c r="J261" s="10"/>
      <c r="K261" s="10"/>
      <c r="L261" s="10">
        <v>9.3818000000000001</v>
      </c>
      <c r="M261" s="10">
        <v>0</v>
      </c>
      <c r="N261" s="10">
        <v>9.3818000000000001</v>
      </c>
      <c r="O261" s="10">
        <v>9.3818000000000001</v>
      </c>
      <c r="P261" s="10"/>
      <c r="Q261" s="10">
        <v>37.061599999999999</v>
      </c>
      <c r="R261" s="10">
        <v>37.061599999999999</v>
      </c>
    </row>
    <row r="262" spans="1:18" x14ac:dyDescent="0.25">
      <c r="B262" s="115"/>
      <c r="C262" s="102"/>
      <c r="D262" s="102"/>
      <c r="H262" s="94" t="s">
        <v>173</v>
      </c>
      <c r="I262" s="4">
        <f>I260-I261</f>
        <v>58.560700000000004</v>
      </c>
      <c r="J262" s="4"/>
      <c r="K262" s="4"/>
      <c r="L262" s="4">
        <f t="shared" ref="L262:O262" si="30">L260-L261</f>
        <v>-0.38180000000000014</v>
      </c>
      <c r="M262" s="4">
        <f t="shared" si="30"/>
        <v>9.6999999999999993</v>
      </c>
      <c r="N262" s="4">
        <f t="shared" si="30"/>
        <v>9.3181999999999992</v>
      </c>
      <c r="O262" s="4">
        <f t="shared" si="30"/>
        <v>9.3181999999999992</v>
      </c>
      <c r="P262" s="4"/>
      <c r="Q262" s="4">
        <f t="shared" ref="Q262:R262" si="31">Q260-Q261</f>
        <v>12.968400000000003</v>
      </c>
      <c r="R262" s="4">
        <f t="shared" si="31"/>
        <v>12.968400000000003</v>
      </c>
    </row>
    <row r="263" spans="1:18" ht="23.25" x14ac:dyDescent="0.25">
      <c r="H263" s="95" t="s">
        <v>160</v>
      </c>
      <c r="I263" s="4">
        <f>I259-I262</f>
        <v>-12.138019587628868</v>
      </c>
      <c r="J263" s="4"/>
      <c r="K263" s="4"/>
      <c r="L263" s="4">
        <f>L259+L262</f>
        <v>26.761499999999998</v>
      </c>
      <c r="M263" s="4">
        <f t="shared" ref="M263" si="32">M259-M262</f>
        <v>160.50440000000003</v>
      </c>
      <c r="N263" s="4">
        <f>N259+N262</f>
        <v>18.252200000000002</v>
      </c>
      <c r="O263" s="4">
        <f>O259+O262</f>
        <v>47.409399999999998</v>
      </c>
      <c r="P263" s="4"/>
      <c r="Q263" s="4">
        <f t="shared" ref="Q263:R263" si="33">Q259-Q262</f>
        <v>29.382549999999995</v>
      </c>
      <c r="R263" s="4">
        <f t="shared" si="33"/>
        <v>9.1459999999999972</v>
      </c>
    </row>
    <row r="264" spans="1:18" x14ac:dyDescent="0.25">
      <c r="H264" s="94" t="s">
        <v>174</v>
      </c>
      <c r="I264" s="4">
        <f>SUM(B251:G252)</f>
        <v>111.4</v>
      </c>
      <c r="J264" s="4"/>
      <c r="K264" s="4"/>
      <c r="L264" s="4">
        <f>SUM(F251:F252)</f>
        <v>33</v>
      </c>
      <c r="M264" s="4">
        <f>SUM(G251:G252)</f>
        <v>0</v>
      </c>
      <c r="N264" s="4">
        <f>SUM(F251:G252)</f>
        <v>33</v>
      </c>
      <c r="O264" s="4">
        <f>SUM(F251:G252)</f>
        <v>33</v>
      </c>
      <c r="P264" s="4"/>
      <c r="Q264" s="4">
        <f>SUM(C251:D252)</f>
        <v>78.400000000000006</v>
      </c>
      <c r="R264" s="4">
        <f>SUM(C251:D252)</f>
        <v>78.400000000000006</v>
      </c>
    </row>
    <row r="265" spans="1:18" x14ac:dyDescent="0.25">
      <c r="H265" s="95" t="s">
        <v>175</v>
      </c>
      <c r="I265" s="4">
        <f>I263-I264</f>
        <v>-123.53801958762887</v>
      </c>
      <c r="J265" s="4"/>
      <c r="K265" s="4"/>
      <c r="L265" s="4">
        <f t="shared" ref="L265:O265" si="34">L263-L264</f>
        <v>-6.2385000000000019</v>
      </c>
      <c r="M265" s="4">
        <f t="shared" si="34"/>
        <v>160.50440000000003</v>
      </c>
      <c r="N265" s="4">
        <f t="shared" si="34"/>
        <v>-14.747799999999998</v>
      </c>
      <c r="O265" s="4">
        <f t="shared" si="34"/>
        <v>14.409399999999998</v>
      </c>
      <c r="P265" s="4"/>
      <c r="Q265" s="4">
        <f t="shared" ref="Q265:R265" si="35">Q263-Q264</f>
        <v>-49.017450000000011</v>
      </c>
      <c r="R265" s="4">
        <f t="shared" si="35"/>
        <v>-69.254000000000005</v>
      </c>
    </row>
    <row r="266" spans="1:18" x14ac:dyDescent="0.25">
      <c r="H266" s="50" t="s">
        <v>192</v>
      </c>
      <c r="I266" s="18"/>
      <c r="L266" s="18">
        <f>L260+L264-L261</f>
        <v>32.618200000000002</v>
      </c>
      <c r="M266" s="18">
        <f t="shared" ref="M266:R266" si="36">M260+M264-M261</f>
        <v>9.6999999999999993</v>
      </c>
      <c r="N266" s="18">
        <f t="shared" si="36"/>
        <v>42.318200000000004</v>
      </c>
      <c r="O266" s="18">
        <f t="shared" si="36"/>
        <v>42.318200000000004</v>
      </c>
      <c r="P266" s="18"/>
      <c r="Q266" s="18">
        <f t="shared" si="36"/>
        <v>91.368400000000008</v>
      </c>
      <c r="R266" s="18">
        <f t="shared" si="36"/>
        <v>91.368400000000008</v>
      </c>
    </row>
    <row r="267" spans="1:18" x14ac:dyDescent="0.25">
      <c r="H267" t="s">
        <v>143</v>
      </c>
      <c r="L267">
        <f>L266*20</f>
        <v>652.36400000000003</v>
      </c>
      <c r="M267" s="18">
        <f>M266*20</f>
        <v>194</v>
      </c>
      <c r="N267" s="18">
        <f>N266*5</f>
        <v>211.59100000000001</v>
      </c>
      <c r="O267">
        <f>O266*10</f>
        <v>423.18200000000002</v>
      </c>
      <c r="Q267">
        <f>Q266*20</f>
        <v>1827.3680000000002</v>
      </c>
      <c r="R267">
        <f>R266*10</f>
        <v>913.68400000000008</v>
      </c>
    </row>
    <row r="268" spans="1:18" x14ac:dyDescent="0.25">
      <c r="H268" t="s">
        <v>194</v>
      </c>
      <c r="L268" s="18">
        <f t="shared" ref="L268:Q268" si="37">L267-L256</f>
        <v>109.49800000000005</v>
      </c>
      <c r="M268" s="18">
        <f t="shared" si="37"/>
        <v>-3210.0880000000002</v>
      </c>
      <c r="N268" s="18">
        <f t="shared" si="37"/>
        <v>166.92099999999999</v>
      </c>
      <c r="O268" s="18">
        <f t="shared" si="37"/>
        <v>42.270000000000039</v>
      </c>
      <c r="P268" s="18">
        <f t="shared" si="37"/>
        <v>0</v>
      </c>
      <c r="Q268" s="18">
        <f t="shared" si="37"/>
        <v>980.34900000000016</v>
      </c>
      <c r="R268" s="18">
        <f>R267-R256</f>
        <v>692.54000000000008</v>
      </c>
    </row>
    <row r="269" spans="1:18" x14ac:dyDescent="0.25">
      <c r="H269" t="s">
        <v>193</v>
      </c>
      <c r="L269" s="18">
        <v>900</v>
      </c>
      <c r="M269" s="18">
        <v>0</v>
      </c>
      <c r="N269" s="18">
        <f>150+210</f>
        <v>360</v>
      </c>
      <c r="O269" s="18">
        <v>0</v>
      </c>
      <c r="P269" s="18"/>
      <c r="Q269" s="18">
        <v>0</v>
      </c>
      <c r="R269" s="18">
        <v>750</v>
      </c>
    </row>
    <row r="270" spans="1:18" x14ac:dyDescent="0.25">
      <c r="H270" t="s">
        <v>195</v>
      </c>
      <c r="L270" s="18">
        <f>L268-L269</f>
        <v>-790.50199999999995</v>
      </c>
      <c r="M270" s="18">
        <f t="shared" ref="M270:R270" si="38">M268-M269</f>
        <v>-3210.0880000000002</v>
      </c>
      <c r="N270" s="119">
        <f t="shared" si="38"/>
        <v>-193.07900000000001</v>
      </c>
      <c r="O270" s="119">
        <f t="shared" si="38"/>
        <v>42.270000000000039</v>
      </c>
      <c r="P270" s="18">
        <f t="shared" si="38"/>
        <v>0</v>
      </c>
      <c r="Q270" s="119">
        <f t="shared" si="38"/>
        <v>980.34900000000016</v>
      </c>
      <c r="R270" s="18">
        <f t="shared" si="38"/>
        <v>-57.459999999999923</v>
      </c>
    </row>
    <row r="271" spans="1:18" x14ac:dyDescent="0.25">
      <c r="L271" s="18"/>
      <c r="M271" s="18"/>
      <c r="N271" s="18"/>
      <c r="O271" s="18"/>
      <c r="P271" s="18"/>
      <c r="Q271" s="18"/>
      <c r="R271" s="18"/>
    </row>
    <row r="272" spans="1:18" x14ac:dyDescent="0.25">
      <c r="A272" s="43"/>
      <c r="B272" s="43"/>
      <c r="C272" s="43"/>
      <c r="H272" s="92" t="s">
        <v>76</v>
      </c>
    </row>
    <row r="273" spans="2:10" x14ac:dyDescent="0.25">
      <c r="H273" t="s">
        <v>190</v>
      </c>
    </row>
    <row r="274" spans="2:10" x14ac:dyDescent="0.25">
      <c r="H274" t="s">
        <v>187</v>
      </c>
    </row>
    <row r="275" spans="2:10" x14ac:dyDescent="0.25">
      <c r="H275" t="s">
        <v>177</v>
      </c>
    </row>
    <row r="276" spans="2:10" x14ac:dyDescent="0.25">
      <c r="H276" t="s">
        <v>189</v>
      </c>
    </row>
    <row r="277" spans="2:10" x14ac:dyDescent="0.25">
      <c r="H277" t="s">
        <v>188</v>
      </c>
    </row>
    <row r="281" spans="2:10" x14ac:dyDescent="0.25">
      <c r="B281" s="122"/>
      <c r="C281" s="122"/>
    </row>
    <row r="282" spans="2:10" x14ac:dyDescent="0.25">
      <c r="B282" s="102"/>
      <c r="C282" s="102"/>
      <c r="F282" s="22"/>
      <c r="G282" s="123" t="s">
        <v>5</v>
      </c>
      <c r="H282" s="123"/>
      <c r="I282" s="123"/>
      <c r="J282" s="123"/>
    </row>
    <row r="283" spans="2:10" x14ac:dyDescent="0.25">
      <c r="B283" s="122"/>
      <c r="C283" s="122"/>
      <c r="F283" s="22" t="s">
        <v>183</v>
      </c>
      <c r="G283" s="22" t="s">
        <v>178</v>
      </c>
      <c r="H283" s="22" t="s">
        <v>179</v>
      </c>
      <c r="I283" s="22" t="s">
        <v>180</v>
      </c>
      <c r="J283" s="22" t="s">
        <v>181</v>
      </c>
    </row>
    <row r="284" spans="2:10" x14ac:dyDescent="0.25">
      <c r="F284" s="22" t="s">
        <v>184</v>
      </c>
      <c r="G284" s="22">
        <v>15</v>
      </c>
      <c r="H284" s="22">
        <v>8</v>
      </c>
      <c r="I284" s="22">
        <v>0</v>
      </c>
      <c r="J284" s="22">
        <v>27.03</v>
      </c>
    </row>
    <row r="285" spans="2:10" x14ac:dyDescent="0.25">
      <c r="F285" s="22" t="s">
        <v>185</v>
      </c>
      <c r="G285" s="22">
        <v>3.7275</v>
      </c>
      <c r="H285" s="22">
        <v>0</v>
      </c>
      <c r="I285" s="22">
        <v>0</v>
      </c>
      <c r="J285" s="22">
        <v>0</v>
      </c>
    </row>
    <row r="286" spans="2:10" x14ac:dyDescent="0.25">
      <c r="F286" s="22" t="s">
        <v>182</v>
      </c>
      <c r="G286" s="116">
        <f>G284-G285</f>
        <v>11.272500000000001</v>
      </c>
      <c r="H286" s="116">
        <f t="shared" ref="H286:J286" si="39">H284-H285</f>
        <v>8</v>
      </c>
      <c r="I286" s="22">
        <f t="shared" si="39"/>
        <v>0</v>
      </c>
      <c r="J286" s="116">
        <f t="shared" si="39"/>
        <v>27.03</v>
      </c>
    </row>
    <row r="287" spans="2:10" x14ac:dyDescent="0.25">
      <c r="F287" s="117"/>
      <c r="G287" s="117"/>
      <c r="H287" s="117"/>
      <c r="I287" s="117"/>
      <c r="J287" s="117"/>
    </row>
    <row r="288" spans="2:10" x14ac:dyDescent="0.25">
      <c r="F288" s="22"/>
      <c r="G288" s="123" t="s">
        <v>79</v>
      </c>
      <c r="H288" s="123"/>
      <c r="I288" s="123"/>
      <c r="J288" s="123"/>
    </row>
    <row r="289" spans="6:10" x14ac:dyDescent="0.25">
      <c r="F289" s="22"/>
      <c r="G289" s="22" t="s">
        <v>178</v>
      </c>
      <c r="H289" s="22" t="s">
        <v>179</v>
      </c>
      <c r="I289" s="22" t="s">
        <v>180</v>
      </c>
      <c r="J289" s="22" t="s">
        <v>181</v>
      </c>
    </row>
    <row r="290" spans="6:10" x14ac:dyDescent="0.25">
      <c r="F290" s="22" t="s">
        <v>184</v>
      </c>
      <c r="G290" s="22">
        <v>5</v>
      </c>
      <c r="H290" s="22">
        <v>4</v>
      </c>
      <c r="I290" s="22">
        <v>9.6999999999999993</v>
      </c>
      <c r="J290" s="22">
        <v>0</v>
      </c>
    </row>
    <row r="291" spans="6:10" x14ac:dyDescent="0.25">
      <c r="F291" s="22" t="s">
        <v>185</v>
      </c>
      <c r="G291" s="22">
        <v>5.3689999999999998</v>
      </c>
      <c r="H291" s="22">
        <v>4.0128000000000004</v>
      </c>
      <c r="I291" s="22">
        <v>0</v>
      </c>
      <c r="J291" s="22">
        <v>0</v>
      </c>
    </row>
    <row r="292" spans="6:10" x14ac:dyDescent="0.25">
      <c r="F292" s="22" t="s">
        <v>182</v>
      </c>
      <c r="G292" s="22">
        <f>G290-G291</f>
        <v>-0.36899999999999977</v>
      </c>
      <c r="H292" s="22">
        <f t="shared" ref="H292:J292" si="40">H290-H291</f>
        <v>-1.2800000000000367E-2</v>
      </c>
      <c r="I292" s="116">
        <f t="shared" si="40"/>
        <v>9.6999999999999993</v>
      </c>
      <c r="J292" s="22">
        <f t="shared" si="40"/>
        <v>0</v>
      </c>
    </row>
  </sheetData>
  <mergeCells count="40">
    <mergeCell ref="B281:C281"/>
    <mergeCell ref="B283:C283"/>
    <mergeCell ref="G282:J282"/>
    <mergeCell ref="G288:J288"/>
    <mergeCell ref="C40:D40"/>
    <mergeCell ref="F40:G40"/>
    <mergeCell ref="C181:D181"/>
    <mergeCell ref="F181:G181"/>
    <mergeCell ref="L5:O5"/>
    <mergeCell ref="Q5:R5"/>
    <mergeCell ref="C6:D6"/>
    <mergeCell ref="F6:G6"/>
    <mergeCell ref="L39:O39"/>
    <mergeCell ref="Q39:R39"/>
    <mergeCell ref="L91:O91"/>
    <mergeCell ref="Q91:R91"/>
    <mergeCell ref="C92:D92"/>
    <mergeCell ref="F92:G92"/>
    <mergeCell ref="L66:O66"/>
    <mergeCell ref="Q66:R66"/>
    <mergeCell ref="C67:D67"/>
    <mergeCell ref="F67:G67"/>
    <mergeCell ref="L146:O146"/>
    <mergeCell ref="Q146:R146"/>
    <mergeCell ref="C147:D147"/>
    <mergeCell ref="F147:G147"/>
    <mergeCell ref="L118:O118"/>
    <mergeCell ref="Q118:R118"/>
    <mergeCell ref="C119:D119"/>
    <mergeCell ref="F119:G119"/>
    <mergeCell ref="L180:O180"/>
    <mergeCell ref="Q180:R180"/>
    <mergeCell ref="L243:O243"/>
    <mergeCell ref="Q243:R243"/>
    <mergeCell ref="C244:D244"/>
    <mergeCell ref="F244:G244"/>
    <mergeCell ref="L212:O212"/>
    <mergeCell ref="Q212:R212"/>
    <mergeCell ref="C213:D213"/>
    <mergeCell ref="F213:G213"/>
  </mergeCells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topLeftCell="A26" zoomScaleNormal="100" workbookViewId="0">
      <selection activeCell="F48" sqref="F48"/>
    </sheetView>
  </sheetViews>
  <sheetFormatPr defaultRowHeight="15" x14ac:dyDescent="0.25"/>
  <cols>
    <col min="1" max="1" width="11.140625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4" width="9" style="51" customWidth="1"/>
    <col min="15" max="18" width="9.140625" style="51" hidden="1" customWidth="1"/>
    <col min="19" max="16384" width="9.140625" style="51"/>
  </cols>
  <sheetData>
    <row r="1" spans="1:26" x14ac:dyDescent="0.25">
      <c r="P1" s="52" t="s">
        <v>81</v>
      </c>
    </row>
    <row r="2" spans="1:26" ht="15.75" thickBot="1" x14ac:dyDescent="0.3">
      <c r="A2" s="53" t="s">
        <v>176</v>
      </c>
      <c r="C2" s="54" t="s">
        <v>83</v>
      </c>
      <c r="G2" s="54"/>
    </row>
    <row r="3" spans="1:26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6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6" x14ac:dyDescent="0.25">
      <c r="A5" s="59"/>
      <c r="B5" s="60" t="s">
        <v>88</v>
      </c>
      <c r="C5" s="61"/>
      <c r="D5" s="62">
        <f>C39-D39</f>
        <v>-150</v>
      </c>
      <c r="E5" s="62"/>
      <c r="F5" s="62">
        <f>E39-F39</f>
        <v>6128</v>
      </c>
      <c r="G5" s="61"/>
      <c r="H5" s="62">
        <f>G39-H39</f>
        <v>-3690</v>
      </c>
      <c r="I5" s="62"/>
      <c r="J5" s="62">
        <f>I39-J39</f>
        <v>-32</v>
      </c>
      <c r="K5" s="62"/>
      <c r="L5" s="62"/>
      <c r="M5" s="62"/>
      <c r="N5" s="62"/>
      <c r="O5" s="61"/>
      <c r="P5" s="62">
        <f>O39-P39</f>
        <v>0</v>
      </c>
      <c r="Q5" s="61"/>
      <c r="R5" s="62">
        <f>Q39-R39</f>
        <v>0</v>
      </c>
      <c r="S5" s="63"/>
      <c r="T5" s="101">
        <f>S39-T39</f>
        <v>26.568599999999996</v>
      </c>
    </row>
    <row r="6" spans="1:26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6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128</v>
      </c>
      <c r="V7" s="76" t="s">
        <v>129</v>
      </c>
      <c r="W7" s="76" t="s">
        <v>126</v>
      </c>
      <c r="X7" s="76" t="s">
        <v>127</v>
      </c>
      <c r="Y7" s="76" t="s">
        <v>191</v>
      </c>
      <c r="Z7" s="76" t="s">
        <v>191</v>
      </c>
    </row>
    <row r="8" spans="1:26" x14ac:dyDescent="0.25">
      <c r="A8" s="77">
        <v>42795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 t="shared" ref="S8:T37" si="0">((C8*0.1)+(E8*0.4)+(G8*0.1)+(I8*0.4)+(K8*0.1)+(M8*0.4)+(O8*0.1)+(Q8*0.4))/1000</f>
        <v>0</v>
      </c>
      <c r="T8" s="84">
        <f t="shared" si="0"/>
        <v>0</v>
      </c>
      <c r="U8" s="51">
        <f>D8*100/1000/1000</f>
        <v>0</v>
      </c>
      <c r="V8" s="51">
        <f>F8*400/1000/1000</f>
        <v>0</v>
      </c>
      <c r="W8" s="51">
        <f>H8*100/1000/1000</f>
        <v>0</v>
      </c>
      <c r="X8" s="51">
        <f>J8*400/1000/1000</f>
        <v>0</v>
      </c>
      <c r="Y8" s="51">
        <f>L8*100/1000/1000</f>
        <v>0</v>
      </c>
      <c r="Z8" s="51">
        <f>N8*400/1000/1000</f>
        <v>0</v>
      </c>
    </row>
    <row r="9" spans="1:26" x14ac:dyDescent="0.25">
      <c r="A9" s="59">
        <f t="shared" ref="A9:A14" si="1">A8+1</f>
        <v>42796</v>
      </c>
      <c r="B9" s="78" t="s">
        <v>104</v>
      </c>
      <c r="C9" s="79"/>
      <c r="D9" s="79"/>
      <c r="E9" s="79"/>
      <c r="F9" s="79"/>
      <c r="G9" s="79"/>
      <c r="H9" s="85"/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si="0"/>
        <v>0</v>
      </c>
      <c r="T9" s="84">
        <f t="shared" si="0"/>
        <v>0</v>
      </c>
      <c r="U9" s="51">
        <f t="shared" ref="U9:U38" si="2">D9*100/1000/1000</f>
        <v>0</v>
      </c>
      <c r="V9" s="51">
        <f t="shared" ref="V9:V38" si="3">F9*400/1000/1000</f>
        <v>0</v>
      </c>
      <c r="W9" s="51">
        <f t="shared" ref="W9:W38" si="4">H9*100/1000/1000</f>
        <v>0</v>
      </c>
      <c r="X9" s="51">
        <f t="shared" ref="X9:X38" si="5">J9*400/1000/1000</f>
        <v>0</v>
      </c>
      <c r="Y9" s="51">
        <f t="shared" ref="Y9:Y38" si="6">L9*100/1000/1000</f>
        <v>0</v>
      </c>
      <c r="Z9" s="51">
        <f t="shared" ref="Z9:Z38" si="7">N9*400/1000/1000</f>
        <v>0</v>
      </c>
    </row>
    <row r="10" spans="1:26" x14ac:dyDescent="0.25">
      <c r="A10" s="77">
        <f t="shared" si="1"/>
        <v>42797</v>
      </c>
      <c r="B10" s="78" t="s">
        <v>105</v>
      </c>
      <c r="C10" s="79"/>
      <c r="D10" s="79"/>
      <c r="E10" s="79"/>
      <c r="F10" s="79"/>
      <c r="G10" s="79"/>
      <c r="H10" s="85"/>
      <c r="I10" s="79"/>
      <c r="J10" s="85"/>
      <c r="K10" s="80"/>
      <c r="L10" s="80"/>
      <c r="M10" s="80"/>
      <c r="N10" s="80"/>
      <c r="O10" s="81"/>
      <c r="P10" s="82"/>
      <c r="Q10" s="81"/>
      <c r="R10" s="83"/>
      <c r="S10" s="84">
        <f t="shared" si="0"/>
        <v>0</v>
      </c>
      <c r="T10" s="84">
        <f t="shared" si="0"/>
        <v>0</v>
      </c>
      <c r="U10" s="51">
        <f t="shared" si="2"/>
        <v>0</v>
      </c>
      <c r="V10" s="51">
        <f t="shared" si="3"/>
        <v>0</v>
      </c>
      <c r="W10" s="51">
        <f t="shared" si="4"/>
        <v>0</v>
      </c>
      <c r="X10" s="51">
        <f t="shared" si="5"/>
        <v>0</v>
      </c>
      <c r="Y10" s="51">
        <f t="shared" si="6"/>
        <v>0</v>
      </c>
      <c r="Z10" s="51">
        <f t="shared" si="7"/>
        <v>0</v>
      </c>
    </row>
    <row r="11" spans="1:26" x14ac:dyDescent="0.25">
      <c r="A11" s="59">
        <f t="shared" si="1"/>
        <v>42798</v>
      </c>
      <c r="B11" s="78" t="s">
        <v>106</v>
      </c>
      <c r="C11" s="79"/>
      <c r="D11" s="79"/>
      <c r="E11" s="79"/>
      <c r="F11" s="79"/>
      <c r="G11" s="79"/>
      <c r="H11" s="85"/>
      <c r="I11" s="79"/>
      <c r="J11" s="85"/>
      <c r="K11" s="80"/>
      <c r="L11" s="80"/>
      <c r="M11" s="80"/>
      <c r="N11" s="86"/>
      <c r="O11" s="86"/>
      <c r="P11" s="86"/>
      <c r="Q11" s="86"/>
      <c r="R11" s="86"/>
      <c r="S11" s="87">
        <f t="shared" si="0"/>
        <v>0</v>
      </c>
      <c r="T11" s="87">
        <f t="shared" si="0"/>
        <v>0</v>
      </c>
      <c r="U11" s="51">
        <f t="shared" si="2"/>
        <v>0</v>
      </c>
      <c r="V11" s="51">
        <f t="shared" si="3"/>
        <v>0</v>
      </c>
      <c r="W11" s="51">
        <f t="shared" si="4"/>
        <v>0</v>
      </c>
      <c r="X11" s="51">
        <f t="shared" si="5"/>
        <v>0</v>
      </c>
      <c r="Y11" s="51">
        <f t="shared" si="6"/>
        <v>0</v>
      </c>
      <c r="Z11" s="51">
        <f t="shared" si="7"/>
        <v>0</v>
      </c>
    </row>
    <row r="12" spans="1:26" x14ac:dyDescent="0.25">
      <c r="A12" s="59">
        <f>A11+1</f>
        <v>42799</v>
      </c>
      <c r="B12" s="78" t="s">
        <v>107</v>
      </c>
      <c r="C12" s="79"/>
      <c r="D12" s="79"/>
      <c r="E12" s="79"/>
      <c r="F12" s="79"/>
      <c r="G12" s="79"/>
      <c r="H12" s="85"/>
      <c r="I12" s="79"/>
      <c r="J12" s="85"/>
      <c r="K12" s="80"/>
      <c r="L12" s="80"/>
      <c r="M12" s="80"/>
      <c r="N12" s="86"/>
      <c r="O12" s="81"/>
      <c r="P12" s="83"/>
      <c r="Q12" s="81"/>
      <c r="R12" s="83"/>
      <c r="S12" s="84">
        <f t="shared" si="0"/>
        <v>0</v>
      </c>
      <c r="T12" s="84">
        <f t="shared" si="0"/>
        <v>0</v>
      </c>
      <c r="U12" s="51">
        <f t="shared" si="2"/>
        <v>0</v>
      </c>
      <c r="V12" s="51">
        <f t="shared" si="3"/>
        <v>0</v>
      </c>
      <c r="W12" s="51">
        <f t="shared" si="4"/>
        <v>0</v>
      </c>
      <c r="X12" s="51">
        <f t="shared" si="5"/>
        <v>0</v>
      </c>
      <c r="Y12" s="51">
        <f t="shared" si="6"/>
        <v>0</v>
      </c>
      <c r="Z12" s="51">
        <f t="shared" si="7"/>
        <v>0</v>
      </c>
    </row>
    <row r="13" spans="1:26" x14ac:dyDescent="0.25">
      <c r="A13" s="77">
        <f t="shared" si="1"/>
        <v>42800</v>
      </c>
      <c r="B13" s="78" t="s">
        <v>108</v>
      </c>
      <c r="C13" s="79"/>
      <c r="D13" s="79"/>
      <c r="E13" s="79"/>
      <c r="F13" s="79"/>
      <c r="G13" s="79"/>
      <c r="H13" s="85"/>
      <c r="I13" s="79"/>
      <c r="J13" s="85"/>
      <c r="K13" s="80"/>
      <c r="L13" s="80"/>
      <c r="M13" s="80"/>
      <c r="N13" s="86"/>
      <c r="O13" s="83"/>
      <c r="P13" s="83"/>
      <c r="Q13" s="83"/>
      <c r="R13" s="83"/>
      <c r="S13" s="84">
        <f t="shared" si="0"/>
        <v>0</v>
      </c>
      <c r="T13" s="84">
        <f t="shared" si="0"/>
        <v>0</v>
      </c>
      <c r="U13" s="51">
        <f t="shared" si="2"/>
        <v>0</v>
      </c>
      <c r="V13" s="51">
        <f t="shared" si="3"/>
        <v>0</v>
      </c>
      <c r="W13" s="51">
        <f t="shared" si="4"/>
        <v>0</v>
      </c>
      <c r="X13" s="51">
        <f t="shared" si="5"/>
        <v>0</v>
      </c>
      <c r="Y13" s="51">
        <f t="shared" si="6"/>
        <v>0</v>
      </c>
      <c r="Z13" s="51">
        <f t="shared" si="7"/>
        <v>0</v>
      </c>
    </row>
    <row r="14" spans="1:26" x14ac:dyDescent="0.25">
      <c r="A14" s="59">
        <f t="shared" si="1"/>
        <v>42801</v>
      </c>
      <c r="B14" s="78" t="s">
        <v>110</v>
      </c>
      <c r="C14" s="79"/>
      <c r="D14" s="79"/>
      <c r="E14" s="79"/>
      <c r="F14" s="79"/>
      <c r="G14" s="79"/>
      <c r="H14" s="85"/>
      <c r="I14" s="79"/>
      <c r="J14" s="85"/>
      <c r="K14" s="80"/>
      <c r="L14" s="80"/>
      <c r="M14" s="80"/>
      <c r="N14" s="86"/>
      <c r="O14" s="83"/>
      <c r="P14" s="83"/>
      <c r="Q14" s="83"/>
      <c r="R14" s="83"/>
      <c r="S14" s="84">
        <f t="shared" si="0"/>
        <v>0</v>
      </c>
      <c r="T14" s="84">
        <f t="shared" si="0"/>
        <v>0</v>
      </c>
      <c r="U14" s="51">
        <f t="shared" si="2"/>
        <v>0</v>
      </c>
      <c r="V14" s="51">
        <f t="shared" si="3"/>
        <v>0</v>
      </c>
      <c r="W14" s="51">
        <f t="shared" si="4"/>
        <v>0</v>
      </c>
      <c r="X14" s="51">
        <f t="shared" si="5"/>
        <v>0</v>
      </c>
      <c r="Y14" s="51">
        <f t="shared" si="6"/>
        <v>0</v>
      </c>
      <c r="Z14" s="51">
        <f t="shared" si="7"/>
        <v>0</v>
      </c>
    </row>
    <row r="15" spans="1:26" x14ac:dyDescent="0.25">
      <c r="A15" s="77">
        <f>A14+1</f>
        <v>42802</v>
      </c>
      <c r="B15" s="78" t="s">
        <v>103</v>
      </c>
      <c r="C15" s="79"/>
      <c r="D15" s="85"/>
      <c r="E15" s="79"/>
      <c r="F15" s="85"/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0</v>
      </c>
      <c r="T15" s="84">
        <f t="shared" si="0"/>
        <v>0</v>
      </c>
      <c r="U15" s="51">
        <f t="shared" si="2"/>
        <v>0</v>
      </c>
      <c r="V15" s="51">
        <f t="shared" si="3"/>
        <v>0</v>
      </c>
      <c r="W15" s="51">
        <f t="shared" si="4"/>
        <v>0</v>
      </c>
      <c r="X15" s="51">
        <f t="shared" si="5"/>
        <v>0</v>
      </c>
      <c r="Y15" s="51">
        <f t="shared" si="6"/>
        <v>0</v>
      </c>
      <c r="Z15" s="51">
        <f t="shared" si="7"/>
        <v>0</v>
      </c>
    </row>
    <row r="16" spans="1:26" x14ac:dyDescent="0.25">
      <c r="A16" s="59">
        <f t="shared" ref="A16:A21" si="8">A15+1</f>
        <v>42803</v>
      </c>
      <c r="B16" s="78" t="s">
        <v>104</v>
      </c>
      <c r="C16" s="79"/>
      <c r="D16" s="85"/>
      <c r="E16" s="79"/>
      <c r="F16" s="85"/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0"/>
        <v>0</v>
      </c>
      <c r="T16" s="84">
        <f t="shared" si="0"/>
        <v>0</v>
      </c>
      <c r="U16" s="51">
        <f t="shared" si="2"/>
        <v>0</v>
      </c>
      <c r="V16" s="51">
        <f t="shared" si="3"/>
        <v>0</v>
      </c>
      <c r="W16" s="51">
        <f t="shared" si="4"/>
        <v>0</v>
      </c>
      <c r="X16" s="51">
        <f t="shared" si="5"/>
        <v>0</v>
      </c>
      <c r="Y16" s="51">
        <f t="shared" si="6"/>
        <v>0</v>
      </c>
      <c r="Z16" s="51">
        <f t="shared" si="7"/>
        <v>0</v>
      </c>
    </row>
    <row r="17" spans="1:26" x14ac:dyDescent="0.25">
      <c r="A17" s="77">
        <f>A16+1</f>
        <v>42804</v>
      </c>
      <c r="B17" s="78" t="s">
        <v>105</v>
      </c>
      <c r="C17" s="79"/>
      <c r="D17" s="85"/>
      <c r="E17" s="79"/>
      <c r="F17" s="85"/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0"/>
        <v>0</v>
      </c>
      <c r="T17" s="84">
        <f t="shared" si="0"/>
        <v>0</v>
      </c>
      <c r="U17" s="51">
        <f t="shared" si="2"/>
        <v>0</v>
      </c>
      <c r="V17" s="51">
        <f t="shared" si="3"/>
        <v>0</v>
      </c>
      <c r="W17" s="51">
        <f t="shared" si="4"/>
        <v>0</v>
      </c>
      <c r="X17" s="51">
        <f t="shared" si="5"/>
        <v>0</v>
      </c>
      <c r="Y17" s="51">
        <f t="shared" si="6"/>
        <v>0</v>
      </c>
      <c r="Z17" s="51">
        <f t="shared" si="7"/>
        <v>0</v>
      </c>
    </row>
    <row r="18" spans="1:26" x14ac:dyDescent="0.25">
      <c r="A18" s="59">
        <f t="shared" si="8"/>
        <v>42805</v>
      </c>
      <c r="B18" s="78" t="s">
        <v>106</v>
      </c>
      <c r="C18" s="79"/>
      <c r="D18" s="85"/>
      <c r="E18" s="79"/>
      <c r="F18" s="85"/>
      <c r="G18" s="79"/>
      <c r="H18" s="85">
        <v>12250</v>
      </c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0"/>
        <v>0</v>
      </c>
      <c r="T18" s="87">
        <f t="shared" si="0"/>
        <v>1.2250000000000001</v>
      </c>
      <c r="U18" s="51">
        <f t="shared" si="2"/>
        <v>0</v>
      </c>
      <c r="V18" s="51">
        <f t="shared" si="3"/>
        <v>0</v>
      </c>
      <c r="W18" s="51">
        <f t="shared" si="4"/>
        <v>1.2250000000000001</v>
      </c>
      <c r="X18" s="51">
        <f t="shared" si="5"/>
        <v>0</v>
      </c>
      <c r="Y18" s="51">
        <f t="shared" si="6"/>
        <v>0</v>
      </c>
      <c r="Z18" s="51">
        <f t="shared" si="7"/>
        <v>0</v>
      </c>
    </row>
    <row r="19" spans="1:26" x14ac:dyDescent="0.25">
      <c r="A19" s="59">
        <f t="shared" si="8"/>
        <v>42806</v>
      </c>
      <c r="B19" s="78" t="s">
        <v>107</v>
      </c>
      <c r="C19" s="79"/>
      <c r="D19" s="85"/>
      <c r="E19" s="79"/>
      <c r="F19" s="85"/>
      <c r="G19" s="79">
        <v>25000</v>
      </c>
      <c r="H19" s="85">
        <v>28560</v>
      </c>
      <c r="I19" s="79">
        <v>5000</v>
      </c>
      <c r="J19" s="85">
        <v>4800</v>
      </c>
      <c r="K19" s="80"/>
      <c r="L19" s="80"/>
      <c r="M19" s="86"/>
      <c r="N19" s="86"/>
      <c r="O19" s="81"/>
      <c r="P19" s="81"/>
      <c r="Q19" s="81"/>
      <c r="R19" s="81"/>
      <c r="S19" s="84">
        <f t="shared" si="0"/>
        <v>4.5</v>
      </c>
      <c r="T19" s="84">
        <f t="shared" si="0"/>
        <v>4.7759999999999998</v>
      </c>
      <c r="U19" s="51">
        <f t="shared" si="2"/>
        <v>0</v>
      </c>
      <c r="V19" s="51">
        <f t="shared" si="3"/>
        <v>0</v>
      </c>
      <c r="W19" s="51">
        <f t="shared" si="4"/>
        <v>2.8559999999999999</v>
      </c>
      <c r="X19" s="51">
        <f t="shared" si="5"/>
        <v>1.92</v>
      </c>
      <c r="Y19" s="51">
        <f t="shared" si="6"/>
        <v>0</v>
      </c>
      <c r="Z19" s="51">
        <f t="shared" si="7"/>
        <v>0</v>
      </c>
    </row>
    <row r="20" spans="1:26" x14ac:dyDescent="0.25">
      <c r="A20" s="77">
        <f t="shared" si="8"/>
        <v>42807</v>
      </c>
      <c r="B20" s="78" t="s">
        <v>108</v>
      </c>
      <c r="C20" s="112"/>
      <c r="D20" s="112"/>
      <c r="E20" s="112"/>
      <c r="F20" s="113"/>
      <c r="G20" s="112"/>
      <c r="H20" s="112"/>
      <c r="I20" s="112"/>
      <c r="J20" s="112"/>
      <c r="K20" s="112"/>
      <c r="L20" s="112"/>
      <c r="M20" s="113"/>
      <c r="N20" s="113"/>
      <c r="O20" s="114"/>
      <c r="P20" s="114"/>
      <c r="Q20" s="114"/>
      <c r="R20" s="114"/>
      <c r="S20" s="84">
        <f t="shared" si="0"/>
        <v>0</v>
      </c>
      <c r="T20" s="84">
        <f t="shared" si="0"/>
        <v>0</v>
      </c>
      <c r="U20" s="51">
        <f t="shared" si="2"/>
        <v>0</v>
      </c>
      <c r="V20" s="51">
        <f t="shared" si="3"/>
        <v>0</v>
      </c>
      <c r="W20" s="51">
        <f t="shared" si="4"/>
        <v>0</v>
      </c>
      <c r="X20" s="51">
        <f t="shared" si="5"/>
        <v>0</v>
      </c>
      <c r="Y20" s="51">
        <f t="shared" si="6"/>
        <v>0</v>
      </c>
      <c r="Z20" s="51">
        <f t="shared" si="7"/>
        <v>0</v>
      </c>
    </row>
    <row r="21" spans="1:26" x14ac:dyDescent="0.25">
      <c r="A21" s="59">
        <f t="shared" si="8"/>
        <v>42808</v>
      </c>
      <c r="B21" s="78" t="s">
        <v>110</v>
      </c>
      <c r="C21" s="79"/>
      <c r="D21" s="85"/>
      <c r="E21" s="79"/>
      <c r="F21" s="85"/>
      <c r="G21" s="79">
        <v>25000</v>
      </c>
      <c r="H21" s="85">
        <v>12880</v>
      </c>
      <c r="I21" s="79">
        <v>5000</v>
      </c>
      <c r="J21" s="85">
        <v>5232</v>
      </c>
      <c r="K21" s="80"/>
      <c r="L21" s="80"/>
      <c r="M21" s="86"/>
      <c r="N21" s="86"/>
      <c r="O21" s="81"/>
      <c r="P21" s="86"/>
      <c r="Q21" s="81"/>
      <c r="R21" s="83"/>
      <c r="S21" s="84">
        <f t="shared" si="0"/>
        <v>4.5</v>
      </c>
      <c r="T21" s="84">
        <f t="shared" si="0"/>
        <v>3.3808000000000002</v>
      </c>
      <c r="U21" s="51">
        <f t="shared" si="2"/>
        <v>0</v>
      </c>
      <c r="V21" s="51">
        <f t="shared" si="3"/>
        <v>0</v>
      </c>
      <c r="W21" s="51">
        <f t="shared" si="4"/>
        <v>1.288</v>
      </c>
      <c r="X21" s="51">
        <f t="shared" si="5"/>
        <v>2.0928</v>
      </c>
      <c r="Y21" s="51">
        <f t="shared" si="6"/>
        <v>0</v>
      </c>
      <c r="Z21" s="51">
        <f t="shared" si="7"/>
        <v>0</v>
      </c>
    </row>
    <row r="22" spans="1:26" x14ac:dyDescent="0.25">
      <c r="A22" s="77">
        <f>A21+1</f>
        <v>42809</v>
      </c>
      <c r="B22" s="78" t="s">
        <v>103</v>
      </c>
      <c r="C22" s="88">
        <v>25000</v>
      </c>
      <c r="D22" s="85"/>
      <c r="E22" s="79">
        <v>2000</v>
      </c>
      <c r="F22" s="85"/>
      <c r="G22" s="79"/>
      <c r="H22" s="79"/>
      <c r="I22" s="79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0"/>
        <v>3.3</v>
      </c>
      <c r="T22" s="84">
        <f t="shared" si="0"/>
        <v>0</v>
      </c>
      <c r="U22" s="51">
        <f t="shared" si="2"/>
        <v>0</v>
      </c>
      <c r="V22" s="51">
        <f t="shared" si="3"/>
        <v>0</v>
      </c>
      <c r="W22" s="51">
        <f t="shared" si="4"/>
        <v>0</v>
      </c>
      <c r="X22" s="51">
        <f t="shared" si="5"/>
        <v>0</v>
      </c>
      <c r="Y22" s="51">
        <f t="shared" si="6"/>
        <v>0</v>
      </c>
      <c r="Z22" s="51">
        <f t="shared" si="7"/>
        <v>0</v>
      </c>
    </row>
    <row r="23" spans="1:26" x14ac:dyDescent="0.25">
      <c r="A23" s="59">
        <f t="shared" ref="A23:A28" si="9">A22+1</f>
        <v>42810</v>
      </c>
      <c r="B23" s="78" t="s">
        <v>104</v>
      </c>
      <c r="C23" s="88">
        <v>25000</v>
      </c>
      <c r="D23" s="85"/>
      <c r="E23" s="79">
        <v>10000</v>
      </c>
      <c r="F23" s="79"/>
      <c r="G23" s="79"/>
      <c r="H23" s="79"/>
      <c r="I23" s="79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0"/>
        <v>6.5</v>
      </c>
      <c r="T23" s="84">
        <f t="shared" si="0"/>
        <v>0</v>
      </c>
      <c r="U23" s="51">
        <f t="shared" si="2"/>
        <v>0</v>
      </c>
      <c r="V23" s="51">
        <f t="shared" si="3"/>
        <v>0</v>
      </c>
      <c r="W23" s="51">
        <f t="shared" si="4"/>
        <v>0</v>
      </c>
      <c r="X23" s="51">
        <f t="shared" si="5"/>
        <v>0</v>
      </c>
      <c r="Y23" s="51">
        <f t="shared" si="6"/>
        <v>0</v>
      </c>
      <c r="Z23" s="51">
        <f t="shared" si="7"/>
        <v>0</v>
      </c>
    </row>
    <row r="24" spans="1:26" x14ac:dyDescent="0.25">
      <c r="A24" s="77">
        <f t="shared" si="9"/>
        <v>42811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0"/>
        <v>0</v>
      </c>
      <c r="T24" s="84">
        <f t="shared" si="0"/>
        <v>0</v>
      </c>
      <c r="U24" s="51">
        <f t="shared" si="2"/>
        <v>0</v>
      </c>
      <c r="V24" s="51">
        <f t="shared" si="3"/>
        <v>0</v>
      </c>
      <c r="W24" s="51">
        <f t="shared" si="4"/>
        <v>0</v>
      </c>
      <c r="X24" s="51">
        <f t="shared" si="5"/>
        <v>0</v>
      </c>
      <c r="Y24" s="51">
        <f t="shared" si="6"/>
        <v>0</v>
      </c>
      <c r="Z24" s="51">
        <f t="shared" si="7"/>
        <v>0</v>
      </c>
    </row>
    <row r="25" spans="1:26" x14ac:dyDescent="0.25">
      <c r="A25" s="59">
        <f t="shared" si="9"/>
        <v>42812</v>
      </c>
      <c r="B25" s="78" t="s">
        <v>106</v>
      </c>
      <c r="C25" s="112"/>
      <c r="D25" s="114"/>
      <c r="E25" s="114"/>
      <c r="F25" s="114"/>
      <c r="G25" s="114"/>
      <c r="H25" s="114"/>
      <c r="I25" s="114"/>
      <c r="J25" s="114"/>
      <c r="K25" s="112"/>
      <c r="L25" s="113"/>
      <c r="M25" s="112"/>
      <c r="N25" s="114"/>
      <c r="O25" s="114"/>
      <c r="P25" s="113"/>
      <c r="Q25" s="114"/>
      <c r="R25" s="114"/>
      <c r="S25" s="87">
        <f t="shared" si="0"/>
        <v>0</v>
      </c>
      <c r="T25" s="87">
        <f t="shared" si="0"/>
        <v>0</v>
      </c>
      <c r="U25" s="51">
        <f t="shared" si="2"/>
        <v>0</v>
      </c>
      <c r="V25" s="51">
        <f t="shared" si="3"/>
        <v>0</v>
      </c>
      <c r="W25" s="51">
        <f t="shared" si="4"/>
        <v>0</v>
      </c>
      <c r="X25" s="51">
        <f t="shared" si="5"/>
        <v>0</v>
      </c>
      <c r="Y25" s="51">
        <f t="shared" si="6"/>
        <v>0</v>
      </c>
      <c r="Z25" s="51">
        <f t="shared" si="7"/>
        <v>0</v>
      </c>
    </row>
    <row r="26" spans="1:26" x14ac:dyDescent="0.25">
      <c r="A26" s="59">
        <f t="shared" si="9"/>
        <v>42813</v>
      </c>
      <c r="B26" s="78" t="s">
        <v>107</v>
      </c>
      <c r="C26" s="79">
        <v>25000</v>
      </c>
      <c r="D26" s="88"/>
      <c r="E26" s="88"/>
      <c r="F26" s="88"/>
      <c r="G26" s="88"/>
      <c r="H26" s="88"/>
      <c r="I26" s="88"/>
      <c r="J26" s="88"/>
      <c r="K26" s="80"/>
      <c r="L26" s="86"/>
      <c r="M26" s="80"/>
      <c r="N26" s="81"/>
      <c r="O26" s="81"/>
      <c r="P26" s="86"/>
      <c r="Q26" s="81"/>
      <c r="R26" s="86"/>
      <c r="S26" s="87">
        <f t="shared" si="0"/>
        <v>2.5</v>
      </c>
      <c r="T26" s="87">
        <f t="shared" si="0"/>
        <v>0</v>
      </c>
      <c r="U26" s="51">
        <f t="shared" si="2"/>
        <v>0</v>
      </c>
      <c r="V26" s="51">
        <f t="shared" si="3"/>
        <v>0</v>
      </c>
      <c r="W26" s="51">
        <f t="shared" si="4"/>
        <v>0</v>
      </c>
      <c r="X26" s="51">
        <f t="shared" si="5"/>
        <v>0</v>
      </c>
      <c r="Y26" s="51">
        <f t="shared" si="6"/>
        <v>0</v>
      </c>
      <c r="Z26" s="51">
        <f t="shared" si="7"/>
        <v>0</v>
      </c>
    </row>
    <row r="27" spans="1:26" x14ac:dyDescent="0.25">
      <c r="A27" s="77">
        <f t="shared" si="9"/>
        <v>42814</v>
      </c>
      <c r="B27" s="78" t="s">
        <v>108</v>
      </c>
      <c r="C27" s="79">
        <v>25000</v>
      </c>
      <c r="D27" s="85">
        <v>7875</v>
      </c>
      <c r="E27" s="88"/>
      <c r="F27" s="88"/>
      <c r="G27" s="88"/>
      <c r="H27" s="88"/>
      <c r="I27" s="88"/>
      <c r="J27" s="88"/>
      <c r="K27" s="80"/>
      <c r="L27" s="86"/>
      <c r="M27" s="80"/>
      <c r="N27" s="81"/>
      <c r="O27" s="81"/>
      <c r="P27" s="86"/>
      <c r="Q27" s="81"/>
      <c r="R27" s="86"/>
      <c r="S27" s="87">
        <f t="shared" si="0"/>
        <v>2.5</v>
      </c>
      <c r="T27" s="87">
        <f t="shared" si="0"/>
        <v>0.78749999999999998</v>
      </c>
      <c r="U27" s="51">
        <f t="shared" si="2"/>
        <v>0.78749999999999998</v>
      </c>
      <c r="V27" s="51">
        <f t="shared" si="3"/>
        <v>0</v>
      </c>
      <c r="W27" s="51">
        <f t="shared" si="4"/>
        <v>0</v>
      </c>
      <c r="X27" s="51">
        <f t="shared" si="5"/>
        <v>0</v>
      </c>
      <c r="Y27" s="51">
        <f t="shared" si="6"/>
        <v>0</v>
      </c>
      <c r="Z27" s="51">
        <f t="shared" si="7"/>
        <v>0</v>
      </c>
    </row>
    <row r="28" spans="1:26" x14ac:dyDescent="0.25">
      <c r="A28" s="59">
        <f t="shared" si="9"/>
        <v>42815</v>
      </c>
      <c r="B28" s="78" t="s">
        <v>110</v>
      </c>
      <c r="C28" s="79">
        <v>25000</v>
      </c>
      <c r="D28" s="85">
        <v>29400</v>
      </c>
      <c r="E28" s="88"/>
      <c r="F28" s="88"/>
      <c r="G28" s="88"/>
      <c r="H28" s="88"/>
      <c r="I28" s="88"/>
      <c r="J28" s="88"/>
      <c r="K28" s="81"/>
      <c r="L28" s="86"/>
      <c r="M28" s="80"/>
      <c r="N28" s="81"/>
      <c r="O28" s="81"/>
      <c r="P28" s="86"/>
      <c r="Q28" s="81"/>
      <c r="R28" s="86"/>
      <c r="S28" s="87">
        <f t="shared" si="0"/>
        <v>2.5</v>
      </c>
      <c r="T28" s="87">
        <f t="shared" si="0"/>
        <v>2.94</v>
      </c>
      <c r="U28" s="51">
        <f t="shared" si="2"/>
        <v>2.94</v>
      </c>
      <c r="V28" s="51">
        <f t="shared" si="3"/>
        <v>0</v>
      </c>
      <c r="W28" s="51">
        <f t="shared" si="4"/>
        <v>0</v>
      </c>
      <c r="X28" s="51">
        <f t="shared" si="5"/>
        <v>0</v>
      </c>
      <c r="Y28" s="51">
        <f t="shared" si="6"/>
        <v>0</v>
      </c>
      <c r="Z28" s="51">
        <f t="shared" si="7"/>
        <v>0</v>
      </c>
    </row>
    <row r="29" spans="1:26" x14ac:dyDescent="0.25">
      <c r="A29" s="77">
        <f>A28+1</f>
        <v>42816</v>
      </c>
      <c r="B29" s="78" t="s">
        <v>103</v>
      </c>
      <c r="C29" s="79">
        <v>25000</v>
      </c>
      <c r="D29" s="85">
        <v>30275</v>
      </c>
      <c r="E29" s="88"/>
      <c r="F29" s="88"/>
      <c r="G29" s="88"/>
      <c r="H29" s="85"/>
      <c r="I29" s="88"/>
      <c r="J29" s="88"/>
      <c r="K29" s="81"/>
      <c r="L29" s="86"/>
      <c r="M29" s="80"/>
      <c r="N29" s="81"/>
      <c r="O29" s="81"/>
      <c r="P29" s="86"/>
      <c r="Q29" s="81"/>
      <c r="R29" s="81"/>
      <c r="S29" s="87">
        <f t="shared" si="0"/>
        <v>2.5</v>
      </c>
      <c r="T29" s="87">
        <f t="shared" si="0"/>
        <v>3.0274999999999999</v>
      </c>
      <c r="U29" s="51">
        <f t="shared" si="2"/>
        <v>3.0274999999999999</v>
      </c>
      <c r="V29" s="51">
        <f t="shared" si="3"/>
        <v>0</v>
      </c>
      <c r="W29" s="51">
        <f t="shared" si="4"/>
        <v>0</v>
      </c>
      <c r="X29" s="51">
        <f t="shared" si="5"/>
        <v>0</v>
      </c>
      <c r="Y29" s="51">
        <f t="shared" si="6"/>
        <v>0</v>
      </c>
      <c r="Z29" s="51">
        <f t="shared" si="7"/>
        <v>0</v>
      </c>
    </row>
    <row r="30" spans="1:26" x14ac:dyDescent="0.25">
      <c r="A30" s="59">
        <f t="shared" ref="A30:A38" si="10">A29+1</f>
        <v>42817</v>
      </c>
      <c r="B30" s="78" t="s">
        <v>104</v>
      </c>
      <c r="C30" s="79"/>
      <c r="D30" s="85">
        <v>31325</v>
      </c>
      <c r="E30" s="88"/>
      <c r="F30" s="85"/>
      <c r="G30" s="88"/>
      <c r="H30" s="85"/>
      <c r="I30" s="88"/>
      <c r="J30" s="85"/>
      <c r="K30" s="80">
        <v>25000</v>
      </c>
      <c r="L30" s="86"/>
      <c r="M30" s="80"/>
      <c r="N30" s="81"/>
      <c r="O30" s="81"/>
      <c r="P30" s="81"/>
      <c r="Q30" s="81"/>
      <c r="R30" s="81"/>
      <c r="S30" s="87">
        <f t="shared" si="0"/>
        <v>2.5</v>
      </c>
      <c r="T30" s="87">
        <f t="shared" si="0"/>
        <v>3.1324999999999998</v>
      </c>
      <c r="U30" s="51">
        <f t="shared" si="2"/>
        <v>3.1324999999999998</v>
      </c>
      <c r="V30" s="51">
        <f t="shared" si="3"/>
        <v>0</v>
      </c>
      <c r="W30" s="51">
        <f t="shared" si="4"/>
        <v>0</v>
      </c>
      <c r="X30" s="51">
        <f t="shared" si="5"/>
        <v>0</v>
      </c>
      <c r="Y30" s="51">
        <f t="shared" si="6"/>
        <v>0</v>
      </c>
      <c r="Z30" s="51">
        <f t="shared" si="7"/>
        <v>0</v>
      </c>
    </row>
    <row r="31" spans="1:26" x14ac:dyDescent="0.25">
      <c r="A31" s="77">
        <f t="shared" si="10"/>
        <v>42818</v>
      </c>
      <c r="B31" s="78" t="s">
        <v>105</v>
      </c>
      <c r="C31" s="79"/>
      <c r="D31" s="85">
        <v>32375</v>
      </c>
      <c r="E31" s="88"/>
      <c r="F31" s="85"/>
      <c r="G31" s="88"/>
      <c r="H31" s="85"/>
      <c r="I31" s="88"/>
      <c r="J31" s="88"/>
      <c r="K31" s="80">
        <v>25000</v>
      </c>
      <c r="L31" s="86"/>
      <c r="M31" s="80"/>
      <c r="N31" s="81"/>
      <c r="O31" s="81"/>
      <c r="P31" s="81"/>
      <c r="Q31" s="81"/>
      <c r="R31" s="81"/>
      <c r="S31" s="87">
        <f t="shared" si="0"/>
        <v>2.5</v>
      </c>
      <c r="T31" s="87">
        <f t="shared" si="0"/>
        <v>3.2374999999999998</v>
      </c>
      <c r="U31" s="51">
        <f t="shared" si="2"/>
        <v>3.2374999999999998</v>
      </c>
      <c r="V31" s="51">
        <f t="shared" si="3"/>
        <v>0</v>
      </c>
      <c r="W31" s="51">
        <f t="shared" si="4"/>
        <v>0</v>
      </c>
      <c r="X31" s="51">
        <f t="shared" si="5"/>
        <v>0</v>
      </c>
      <c r="Y31" s="51">
        <f t="shared" si="6"/>
        <v>0</v>
      </c>
      <c r="Z31" s="51">
        <f t="shared" si="7"/>
        <v>0</v>
      </c>
    </row>
    <row r="32" spans="1:26" x14ac:dyDescent="0.25">
      <c r="A32" s="59">
        <f t="shared" si="10"/>
        <v>42819</v>
      </c>
      <c r="B32" s="78" t="s">
        <v>106</v>
      </c>
      <c r="C32" s="79"/>
      <c r="D32" s="85">
        <v>18900</v>
      </c>
      <c r="E32" s="88"/>
      <c r="F32" s="85"/>
      <c r="G32" s="88"/>
      <c r="H32" s="88"/>
      <c r="I32" s="88"/>
      <c r="J32" s="88"/>
      <c r="K32" s="80">
        <v>25000</v>
      </c>
      <c r="L32" s="86">
        <v>12775</v>
      </c>
      <c r="M32" s="81"/>
      <c r="N32" s="81"/>
      <c r="O32" s="81"/>
      <c r="P32" s="86"/>
      <c r="Q32" s="81"/>
      <c r="R32" s="81"/>
      <c r="S32" s="87">
        <f t="shared" si="0"/>
        <v>2.5</v>
      </c>
      <c r="T32" s="87">
        <f t="shared" si="0"/>
        <v>3.1675</v>
      </c>
      <c r="U32" s="51">
        <f t="shared" si="2"/>
        <v>1.89</v>
      </c>
      <c r="V32" s="51">
        <f t="shared" si="3"/>
        <v>0</v>
      </c>
      <c r="W32" s="51">
        <f t="shared" si="4"/>
        <v>0</v>
      </c>
      <c r="X32" s="51">
        <f t="shared" si="5"/>
        <v>0</v>
      </c>
      <c r="Y32" s="51">
        <f t="shared" si="6"/>
        <v>1.2775000000000001</v>
      </c>
      <c r="Z32" s="51">
        <f t="shared" si="7"/>
        <v>0</v>
      </c>
    </row>
    <row r="33" spans="1:27" x14ac:dyDescent="0.25">
      <c r="A33" s="59">
        <f t="shared" si="10"/>
        <v>42820</v>
      </c>
      <c r="B33" s="78" t="s">
        <v>107</v>
      </c>
      <c r="C33" s="88"/>
      <c r="D33" s="79"/>
      <c r="E33" s="88"/>
      <c r="F33" s="88"/>
      <c r="G33" s="88"/>
      <c r="H33" s="88"/>
      <c r="I33" s="88"/>
      <c r="J33" s="88"/>
      <c r="K33" s="80">
        <v>25000</v>
      </c>
      <c r="L33" s="86">
        <v>23275</v>
      </c>
      <c r="M33" s="81"/>
      <c r="N33" s="81"/>
      <c r="O33" s="81"/>
      <c r="P33" s="83"/>
      <c r="Q33" s="81"/>
      <c r="R33" s="83"/>
      <c r="S33" s="84">
        <f t="shared" si="0"/>
        <v>2.5</v>
      </c>
      <c r="T33" s="84">
        <f t="shared" si="0"/>
        <v>2.3275000000000001</v>
      </c>
      <c r="U33" s="51">
        <f t="shared" si="2"/>
        <v>0</v>
      </c>
      <c r="V33" s="51">
        <f t="shared" si="3"/>
        <v>0</v>
      </c>
      <c r="W33" s="51">
        <f t="shared" si="4"/>
        <v>0</v>
      </c>
      <c r="X33" s="51">
        <f t="shared" si="5"/>
        <v>0</v>
      </c>
      <c r="Y33" s="51">
        <f t="shared" si="6"/>
        <v>2.3275000000000001</v>
      </c>
      <c r="Z33" s="51">
        <f t="shared" si="7"/>
        <v>0</v>
      </c>
    </row>
    <row r="34" spans="1:27" x14ac:dyDescent="0.25">
      <c r="A34" s="77">
        <f t="shared" si="10"/>
        <v>42821</v>
      </c>
      <c r="B34" s="78" t="s">
        <v>108</v>
      </c>
      <c r="C34" s="88"/>
      <c r="D34" s="79"/>
      <c r="E34" s="88">
        <v>8000</v>
      </c>
      <c r="F34" s="85">
        <v>600</v>
      </c>
      <c r="G34" s="88"/>
      <c r="H34" s="88"/>
      <c r="I34" s="88"/>
      <c r="J34" s="88"/>
      <c r="K34" s="80">
        <v>5000</v>
      </c>
      <c r="L34" s="81"/>
      <c r="M34" s="81"/>
      <c r="N34" s="86">
        <v>5952</v>
      </c>
      <c r="O34" s="81"/>
      <c r="P34" s="83"/>
      <c r="Q34" s="81"/>
      <c r="R34" s="83"/>
      <c r="S34" s="84">
        <f t="shared" si="0"/>
        <v>3.7</v>
      </c>
      <c r="T34" s="84">
        <f t="shared" si="0"/>
        <v>2.6208</v>
      </c>
      <c r="U34" s="51">
        <f t="shared" si="2"/>
        <v>0</v>
      </c>
      <c r="V34" s="51">
        <f t="shared" si="3"/>
        <v>0.24</v>
      </c>
      <c r="W34" s="51">
        <f t="shared" si="4"/>
        <v>0</v>
      </c>
      <c r="X34" s="51">
        <f t="shared" si="5"/>
        <v>0</v>
      </c>
      <c r="Y34" s="51">
        <f t="shared" si="6"/>
        <v>0</v>
      </c>
      <c r="Z34" s="51">
        <f t="shared" si="7"/>
        <v>2.3808000000000002</v>
      </c>
    </row>
    <row r="35" spans="1:27" x14ac:dyDescent="0.25">
      <c r="A35" s="59">
        <f t="shared" si="10"/>
        <v>42822</v>
      </c>
      <c r="B35" s="78" t="s">
        <v>110</v>
      </c>
      <c r="C35" s="88"/>
      <c r="D35" s="79"/>
      <c r="E35" s="88"/>
      <c r="F35" s="85">
        <v>13272</v>
      </c>
      <c r="G35" s="88"/>
      <c r="H35" s="88"/>
      <c r="I35" s="88"/>
      <c r="J35" s="88"/>
      <c r="K35" s="80"/>
      <c r="L35" s="86"/>
      <c r="M35" s="80">
        <v>12500</v>
      </c>
      <c r="N35" s="81"/>
      <c r="O35" s="81"/>
      <c r="P35" s="81"/>
      <c r="Q35" s="81"/>
      <c r="R35" s="83"/>
      <c r="S35" s="84">
        <f t="shared" si="0"/>
        <v>5</v>
      </c>
      <c r="T35" s="84">
        <f t="shared" si="0"/>
        <v>5.3087999999999997</v>
      </c>
      <c r="U35" s="51">
        <f t="shared" si="2"/>
        <v>0</v>
      </c>
      <c r="V35" s="51">
        <f t="shared" si="3"/>
        <v>5.3087999999999997</v>
      </c>
      <c r="W35" s="51">
        <f t="shared" si="4"/>
        <v>0</v>
      </c>
      <c r="X35" s="51">
        <f t="shared" si="5"/>
        <v>0</v>
      </c>
      <c r="Y35" s="51">
        <f t="shared" si="6"/>
        <v>0</v>
      </c>
      <c r="Z35" s="51">
        <f t="shared" si="7"/>
        <v>0</v>
      </c>
    </row>
    <row r="36" spans="1:27" x14ac:dyDescent="0.25">
      <c r="A36" s="59">
        <f t="shared" si="10"/>
        <v>42823</v>
      </c>
      <c r="B36" s="78" t="s">
        <v>103</v>
      </c>
      <c r="C36" s="88"/>
      <c r="D36" s="79"/>
      <c r="E36" s="88"/>
      <c r="F36" s="85"/>
      <c r="G36" s="88"/>
      <c r="H36" s="88"/>
      <c r="I36" s="88"/>
      <c r="J36" s="88"/>
      <c r="K36" s="80"/>
      <c r="L36" s="81"/>
      <c r="M36" s="80">
        <v>12500</v>
      </c>
      <c r="N36" s="81"/>
      <c r="O36" s="81"/>
      <c r="P36" s="81"/>
      <c r="Q36" s="81"/>
      <c r="R36" s="83"/>
      <c r="S36" s="84">
        <f t="shared" si="0"/>
        <v>5</v>
      </c>
      <c r="T36" s="84">
        <f t="shared" si="0"/>
        <v>0</v>
      </c>
      <c r="U36" s="51">
        <f t="shared" si="2"/>
        <v>0</v>
      </c>
      <c r="V36" s="51">
        <f t="shared" si="3"/>
        <v>0</v>
      </c>
      <c r="W36" s="51">
        <f t="shared" si="4"/>
        <v>0</v>
      </c>
      <c r="X36" s="51">
        <f t="shared" si="5"/>
        <v>0</v>
      </c>
      <c r="Y36" s="51">
        <f t="shared" si="6"/>
        <v>0</v>
      </c>
      <c r="Z36" s="51">
        <f t="shared" si="7"/>
        <v>0</v>
      </c>
    </row>
    <row r="37" spans="1:27" x14ac:dyDescent="0.25">
      <c r="A37" s="59">
        <f t="shared" si="10"/>
        <v>42824</v>
      </c>
      <c r="B37" s="78" t="s">
        <v>104</v>
      </c>
      <c r="C37" s="88"/>
      <c r="D37" s="85"/>
      <c r="E37" s="88"/>
      <c r="F37" s="85"/>
      <c r="G37" s="88"/>
      <c r="H37" s="88"/>
      <c r="I37" s="88"/>
      <c r="J37" s="88"/>
      <c r="K37" s="80"/>
      <c r="L37" s="81"/>
      <c r="M37" s="80">
        <v>12500</v>
      </c>
      <c r="N37" s="81"/>
      <c r="O37" s="81"/>
      <c r="P37" s="81"/>
      <c r="Q37" s="81"/>
      <c r="R37" s="81"/>
      <c r="S37" s="84">
        <f t="shared" si="0"/>
        <v>5</v>
      </c>
      <c r="T37" s="84">
        <f t="shared" si="0"/>
        <v>0</v>
      </c>
      <c r="U37" s="51">
        <f t="shared" si="2"/>
        <v>0</v>
      </c>
      <c r="V37" s="51">
        <f t="shared" si="3"/>
        <v>0</v>
      </c>
      <c r="W37" s="51">
        <f t="shared" si="4"/>
        <v>0</v>
      </c>
      <c r="X37" s="51">
        <f t="shared" si="5"/>
        <v>0</v>
      </c>
      <c r="Y37" s="51">
        <f t="shared" si="6"/>
        <v>0</v>
      </c>
      <c r="Z37" s="51">
        <f t="shared" si="7"/>
        <v>0</v>
      </c>
    </row>
    <row r="38" spans="1:27" x14ac:dyDescent="0.25">
      <c r="A38" s="59">
        <f t="shared" si="10"/>
        <v>42825</v>
      </c>
      <c r="B38" s="78" t="s">
        <v>105</v>
      </c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0">
        <v>12500</v>
      </c>
      <c r="N38" s="81"/>
      <c r="O38" s="81"/>
      <c r="P38" s="81"/>
      <c r="Q38" s="81"/>
      <c r="R38" s="81"/>
      <c r="S38" s="84">
        <f t="shared" ref="S38:T38" si="11">((C38*0.1)+(E38*0.4)+(G38*0.1)+(I38*0.4)+(K38*0.1)+(M38*0.4)+(O38*0.1)+(Q38*0.4))/1000</f>
        <v>5</v>
      </c>
      <c r="T38" s="84">
        <f t="shared" si="11"/>
        <v>0</v>
      </c>
      <c r="U38" s="51">
        <f t="shared" si="2"/>
        <v>0</v>
      </c>
      <c r="V38" s="51">
        <f t="shared" si="3"/>
        <v>0</v>
      </c>
      <c r="W38" s="51">
        <f t="shared" si="4"/>
        <v>0</v>
      </c>
      <c r="X38" s="51">
        <f t="shared" si="5"/>
        <v>0</v>
      </c>
      <c r="Y38" s="51">
        <f t="shared" si="6"/>
        <v>0</v>
      </c>
      <c r="Z38" s="51">
        <f t="shared" si="7"/>
        <v>0</v>
      </c>
    </row>
    <row r="39" spans="1:27" x14ac:dyDescent="0.25">
      <c r="A39" s="124" t="s">
        <v>111</v>
      </c>
      <c r="B39" s="125"/>
      <c r="C39" s="89">
        <f t="shared" ref="C39:T39" si="12">SUM(C8:C38)</f>
        <v>150000</v>
      </c>
      <c r="D39" s="89">
        <f t="shared" si="12"/>
        <v>150150</v>
      </c>
      <c r="E39" s="89">
        <f t="shared" si="12"/>
        <v>20000</v>
      </c>
      <c r="F39" s="89">
        <f t="shared" si="12"/>
        <v>13872</v>
      </c>
      <c r="G39" s="89">
        <f t="shared" si="12"/>
        <v>50000</v>
      </c>
      <c r="H39" s="89">
        <f t="shared" si="12"/>
        <v>53690</v>
      </c>
      <c r="I39" s="89">
        <f t="shared" si="12"/>
        <v>10000</v>
      </c>
      <c r="J39" s="89">
        <f t="shared" si="12"/>
        <v>10032</v>
      </c>
      <c r="K39" s="89">
        <f t="shared" si="12"/>
        <v>105000</v>
      </c>
      <c r="L39" s="89">
        <f t="shared" si="12"/>
        <v>36050</v>
      </c>
      <c r="M39" s="89">
        <f t="shared" si="12"/>
        <v>50000</v>
      </c>
      <c r="N39" s="89">
        <f t="shared" si="12"/>
        <v>5952</v>
      </c>
      <c r="O39" s="89">
        <f t="shared" si="12"/>
        <v>0</v>
      </c>
      <c r="P39" s="89">
        <f t="shared" si="12"/>
        <v>0</v>
      </c>
      <c r="Q39" s="89">
        <f t="shared" si="12"/>
        <v>0</v>
      </c>
      <c r="R39" s="89">
        <f t="shared" si="12"/>
        <v>0</v>
      </c>
      <c r="S39" s="90">
        <f t="shared" si="12"/>
        <v>62.5</v>
      </c>
      <c r="T39" s="90">
        <f t="shared" si="12"/>
        <v>35.931400000000004</v>
      </c>
      <c r="U39" s="51">
        <f>SUM(U8:U38)</f>
        <v>15.015000000000001</v>
      </c>
      <c r="V39" s="51">
        <f t="shared" ref="V39:Z39" si="13">SUM(V8:V38)</f>
        <v>5.5488</v>
      </c>
      <c r="W39" s="51">
        <f t="shared" si="13"/>
        <v>5.3689999999999998</v>
      </c>
      <c r="X39" s="51">
        <f t="shared" si="13"/>
        <v>4.0128000000000004</v>
      </c>
      <c r="Y39" s="51">
        <f t="shared" si="13"/>
        <v>3.6050000000000004</v>
      </c>
      <c r="Z39" s="51">
        <f t="shared" si="13"/>
        <v>2.3808000000000002</v>
      </c>
      <c r="AA39" s="51">
        <f>SUM(U39:Z39)</f>
        <v>35.931400000000004</v>
      </c>
    </row>
    <row r="40" spans="1:27" x14ac:dyDescent="0.25">
      <c r="A40" s="124" t="s">
        <v>112</v>
      </c>
      <c r="B40" s="125"/>
      <c r="C40" s="91">
        <f>C39*0.1/1000</f>
        <v>15</v>
      </c>
      <c r="D40" s="91">
        <f t="shared" ref="D40" si="14">D39*0.1/1000</f>
        <v>15.015000000000001</v>
      </c>
      <c r="E40" s="91">
        <f t="shared" ref="E40:J40" si="15">E39*0.4/1000</f>
        <v>8</v>
      </c>
      <c r="F40" s="91">
        <f t="shared" si="15"/>
        <v>5.5488</v>
      </c>
      <c r="G40" s="91">
        <f>G39*0.1/1000</f>
        <v>5</v>
      </c>
      <c r="H40" s="91">
        <f>H39*0.1/1000</f>
        <v>5.3689999999999998</v>
      </c>
      <c r="I40" s="91">
        <f t="shared" si="15"/>
        <v>4</v>
      </c>
      <c r="J40" s="91">
        <f t="shared" si="15"/>
        <v>4.0128000000000004</v>
      </c>
      <c r="K40" s="91">
        <f>K39*0.1/1000</f>
        <v>10.5</v>
      </c>
      <c r="L40" s="91">
        <f>L39*0.1/1000</f>
        <v>3.605</v>
      </c>
      <c r="M40" s="91">
        <f>M39*0.4/1000</f>
        <v>20</v>
      </c>
      <c r="N40" s="91">
        <f>N39*0.4/1000</f>
        <v>2.3808000000000002</v>
      </c>
      <c r="O40" s="91">
        <f>O39*0.1/1000</f>
        <v>0</v>
      </c>
      <c r="P40" s="91">
        <f t="shared" ref="P40" si="16">P39*0.1/1000</f>
        <v>0</v>
      </c>
      <c r="Q40" s="91">
        <f>Q39*0.4/1000</f>
        <v>0</v>
      </c>
      <c r="R40" s="91">
        <f>R39*0.4/1000</f>
        <v>0</v>
      </c>
      <c r="S40" s="91"/>
      <c r="T40" s="91"/>
      <c r="V40" s="51">
        <f>SUM(U39:V39)</f>
        <v>20.563800000000001</v>
      </c>
      <c r="X40" s="51">
        <f>SUM(W39:X39)</f>
        <v>9.3818000000000001</v>
      </c>
      <c r="Z40" s="51">
        <f>SUM(Y39:Z39)</f>
        <v>5.9858000000000011</v>
      </c>
      <c r="AA40" s="51">
        <f>V40+Z40</f>
        <v>26.549600000000002</v>
      </c>
    </row>
    <row r="41" spans="1:27" x14ac:dyDescent="0.25">
      <c r="C41" s="51">
        <v>150000</v>
      </c>
      <c r="E41" s="51">
        <v>20000</v>
      </c>
      <c r="G41" s="51">
        <v>50000</v>
      </c>
      <c r="I41" s="51">
        <v>10000</v>
      </c>
      <c r="K41" s="51">
        <v>105000</v>
      </c>
      <c r="M41" s="51">
        <v>67582</v>
      </c>
    </row>
    <row r="42" spans="1:27" x14ac:dyDescent="0.25">
      <c r="A42" s="52"/>
    </row>
    <row r="43" spans="1:27" x14ac:dyDescent="0.25">
      <c r="A43" s="52"/>
    </row>
    <row r="45" spans="1:27" x14ac:dyDescent="0.25">
      <c r="O45" s="52"/>
      <c r="P45" s="52"/>
      <c r="Q45" s="52"/>
      <c r="R45" s="52"/>
    </row>
  </sheetData>
  <mergeCells count="6">
    <mergeCell ref="A40:B40"/>
    <mergeCell ref="C3:R3"/>
    <mergeCell ref="C4:J4"/>
    <mergeCell ref="K4:R4"/>
    <mergeCell ref="S6:T6"/>
    <mergeCell ref="A39:B39"/>
  </mergeCells>
  <conditionalFormatting sqref="F5 H5:N5">
    <cfRule type="cellIs" dxfId="113" priority="1" stopIfTrue="1" operator="greaterThan">
      <formula>0</formula>
    </cfRule>
    <cfRule type="cellIs" dxfId="112" priority="2" stopIfTrue="1" operator="lessThanOrEqual">
      <formula>0</formula>
    </cfRule>
  </conditionalFormatting>
  <conditionalFormatting sqref="T5">
    <cfRule type="cellIs" dxfId="111" priority="13" stopIfTrue="1" operator="greaterThan">
      <formula>0</formula>
    </cfRule>
    <cfRule type="cellIs" dxfId="110" priority="14" stopIfTrue="1" operator="lessThanOrEqual">
      <formula>0</formula>
    </cfRule>
  </conditionalFormatting>
  <conditionalFormatting sqref="O5">
    <cfRule type="cellIs" dxfId="109" priority="12" operator="lessThan">
      <formula>0</formula>
    </cfRule>
  </conditionalFormatting>
  <conditionalFormatting sqref="D5:E5">
    <cfRule type="cellIs" dxfId="108" priority="10" stopIfTrue="1" operator="greaterThan">
      <formula>0</formula>
    </cfRule>
    <cfRule type="cellIs" dxfId="107" priority="11" stopIfTrue="1" operator="lessThanOrEqual">
      <formula>0</formula>
    </cfRule>
  </conditionalFormatting>
  <conditionalFormatting sqref="G5">
    <cfRule type="cellIs" dxfId="106" priority="9" operator="lessThan">
      <formula>0</formula>
    </cfRule>
  </conditionalFormatting>
  <conditionalFormatting sqref="Q5">
    <cfRule type="cellIs" dxfId="105" priority="8" operator="lessThan">
      <formula>0</formula>
    </cfRule>
  </conditionalFormatting>
  <conditionalFormatting sqref="C5">
    <cfRule type="cellIs" dxfId="104" priority="7" operator="lessThan">
      <formula>0</formula>
    </cfRule>
  </conditionalFormatting>
  <conditionalFormatting sqref="P5">
    <cfRule type="cellIs" dxfId="103" priority="5" stopIfTrue="1" operator="greaterThan">
      <formula>0</formula>
    </cfRule>
    <cfRule type="cellIs" dxfId="102" priority="6" stopIfTrue="1" operator="lessThanOrEqual">
      <formula>0</formula>
    </cfRule>
  </conditionalFormatting>
  <conditionalFormatting sqref="R5">
    <cfRule type="cellIs" dxfId="101" priority="3" stopIfTrue="1" operator="greaterThan">
      <formula>0</formula>
    </cfRule>
    <cfRule type="cellIs" dxfId="100" priority="4" stopIfTrue="1" operator="lessThanOrEqual">
      <formula>0</formula>
    </cfRule>
  </conditionalFormatting>
  <pageMargins left="0.7" right="0.7" top="0.75" bottom="0.75" header="0.3" footer="0.3"/>
  <pageSetup paperSize="9" scale="7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zoomScaleNormal="100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U39" sqref="U39"/>
    </sheetView>
  </sheetViews>
  <sheetFormatPr defaultRowHeight="15" x14ac:dyDescent="0.25"/>
  <cols>
    <col min="1" max="1" width="11.140625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0" width="9" style="51" customWidth="1"/>
    <col min="11" max="14" width="9" style="51" hidden="1" customWidth="1"/>
    <col min="15" max="18" width="9.140625" style="51" hidden="1" customWidth="1"/>
    <col min="19" max="16384" width="9.140625" style="51"/>
  </cols>
  <sheetData>
    <row r="1" spans="1:24" x14ac:dyDescent="0.25">
      <c r="P1" s="52" t="s">
        <v>81</v>
      </c>
    </row>
    <row r="2" spans="1:24" ht="15.75" thickBot="1" x14ac:dyDescent="0.3">
      <c r="A2" s="53" t="s">
        <v>176</v>
      </c>
      <c r="C2" s="54" t="s">
        <v>83</v>
      </c>
      <c r="G2" s="54"/>
    </row>
    <row r="3" spans="1:24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4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4" x14ac:dyDescent="0.25">
      <c r="A5" s="59"/>
      <c r="B5" s="60" t="s">
        <v>88</v>
      </c>
      <c r="C5" s="61"/>
      <c r="D5" s="62">
        <f>C39-D39</f>
        <v>51125</v>
      </c>
      <c r="E5" s="62"/>
      <c r="F5" s="62">
        <f>E39-F39</f>
        <v>20000</v>
      </c>
      <c r="G5" s="61"/>
      <c r="H5" s="62">
        <f>G39-H39</f>
        <v>-3690</v>
      </c>
      <c r="I5" s="62"/>
      <c r="J5" s="62">
        <f>I39-J39</f>
        <v>-32</v>
      </c>
      <c r="K5" s="62"/>
      <c r="L5" s="62"/>
      <c r="M5" s="62"/>
      <c r="N5" s="62"/>
      <c r="O5" s="61"/>
      <c r="P5" s="62">
        <f>O39-P39</f>
        <v>0</v>
      </c>
      <c r="Q5" s="61"/>
      <c r="R5" s="62">
        <f>Q39-R39</f>
        <v>0</v>
      </c>
      <c r="S5" s="63"/>
      <c r="T5" s="101">
        <f>S39-T39</f>
        <v>43.230699999999999</v>
      </c>
    </row>
    <row r="6" spans="1:24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4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128</v>
      </c>
      <c r="V7" s="76" t="s">
        <v>129</v>
      </c>
      <c r="W7" s="76" t="s">
        <v>126</v>
      </c>
      <c r="X7" s="76" t="s">
        <v>127</v>
      </c>
    </row>
    <row r="8" spans="1:24" x14ac:dyDescent="0.25">
      <c r="A8" s="77">
        <v>42795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 t="shared" ref="S8:T37" si="0">((C8*0.1)+(E8*0.4)+(G8*0.1)+(I8*0.4)+(K8*0.1)+(M8*0.4)+(O8*0.1)+(Q8*0.4))/1000</f>
        <v>0</v>
      </c>
      <c r="T8" s="84">
        <f t="shared" si="0"/>
        <v>0</v>
      </c>
      <c r="U8" s="51">
        <f>D8*100/1000/1000</f>
        <v>0</v>
      </c>
      <c r="V8" s="51">
        <f>F8*400/1000/1000</f>
        <v>0</v>
      </c>
      <c r="W8" s="51">
        <f>H8*100/1000/1000</f>
        <v>0</v>
      </c>
      <c r="X8" s="51">
        <f>J8*400/1000/1000</f>
        <v>0</v>
      </c>
    </row>
    <row r="9" spans="1:24" x14ac:dyDescent="0.25">
      <c r="A9" s="59">
        <f t="shared" ref="A9:A14" si="1">A8+1</f>
        <v>42796</v>
      </c>
      <c r="B9" s="78" t="s">
        <v>104</v>
      </c>
      <c r="C9" s="79"/>
      <c r="D9" s="79"/>
      <c r="E9" s="79"/>
      <c r="F9" s="79"/>
      <c r="G9" s="79"/>
      <c r="H9" s="85"/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si="0"/>
        <v>0</v>
      </c>
      <c r="T9" s="84">
        <f t="shared" si="0"/>
        <v>0</v>
      </c>
      <c r="U9" s="51">
        <f t="shared" ref="U9:U38" si="2">D9*100/1000/1000</f>
        <v>0</v>
      </c>
      <c r="V9" s="51">
        <f t="shared" ref="V9:V38" si="3">F9*400/1000/1000</f>
        <v>0</v>
      </c>
      <c r="W9" s="51">
        <f t="shared" ref="W9:W38" si="4">H9*100/1000/1000</f>
        <v>0</v>
      </c>
      <c r="X9" s="51">
        <f t="shared" ref="X9:X38" si="5">J9*400/1000/1000</f>
        <v>0</v>
      </c>
    </row>
    <row r="10" spans="1:24" x14ac:dyDescent="0.25">
      <c r="A10" s="77">
        <f t="shared" si="1"/>
        <v>42797</v>
      </c>
      <c r="B10" s="78" t="s">
        <v>105</v>
      </c>
      <c r="C10" s="79"/>
      <c r="D10" s="79"/>
      <c r="E10" s="79"/>
      <c r="F10" s="79"/>
      <c r="G10" s="79"/>
      <c r="H10" s="85"/>
      <c r="I10" s="79"/>
      <c r="J10" s="85"/>
      <c r="K10" s="80"/>
      <c r="L10" s="80"/>
      <c r="M10" s="80"/>
      <c r="N10" s="80"/>
      <c r="O10" s="81"/>
      <c r="P10" s="82"/>
      <c r="Q10" s="81"/>
      <c r="R10" s="83"/>
      <c r="S10" s="84">
        <f t="shared" si="0"/>
        <v>0</v>
      </c>
      <c r="T10" s="84">
        <f t="shared" si="0"/>
        <v>0</v>
      </c>
      <c r="U10" s="51">
        <f t="shared" si="2"/>
        <v>0</v>
      </c>
      <c r="V10" s="51">
        <f t="shared" si="3"/>
        <v>0</v>
      </c>
      <c r="W10" s="51">
        <f t="shared" si="4"/>
        <v>0</v>
      </c>
      <c r="X10" s="51">
        <f t="shared" si="5"/>
        <v>0</v>
      </c>
    </row>
    <row r="11" spans="1:24" x14ac:dyDescent="0.25">
      <c r="A11" s="59">
        <f t="shared" si="1"/>
        <v>42798</v>
      </c>
      <c r="B11" s="78" t="s">
        <v>106</v>
      </c>
      <c r="C11" s="79"/>
      <c r="D11" s="79"/>
      <c r="E11" s="79"/>
      <c r="F11" s="79"/>
      <c r="G11" s="79"/>
      <c r="H11" s="85"/>
      <c r="I11" s="79"/>
      <c r="J11" s="85"/>
      <c r="K11" s="80"/>
      <c r="L11" s="80"/>
      <c r="M11" s="80"/>
      <c r="N11" s="86"/>
      <c r="O11" s="86"/>
      <c r="P11" s="86"/>
      <c r="Q11" s="86"/>
      <c r="R11" s="86"/>
      <c r="S11" s="87">
        <f t="shared" si="0"/>
        <v>0</v>
      </c>
      <c r="T11" s="87">
        <f t="shared" si="0"/>
        <v>0</v>
      </c>
      <c r="U11" s="51">
        <f t="shared" si="2"/>
        <v>0</v>
      </c>
      <c r="V11" s="51">
        <f t="shared" si="3"/>
        <v>0</v>
      </c>
      <c r="W11" s="51">
        <f t="shared" si="4"/>
        <v>0</v>
      </c>
      <c r="X11" s="51">
        <f t="shared" si="5"/>
        <v>0</v>
      </c>
    </row>
    <row r="12" spans="1:24" x14ac:dyDescent="0.25">
      <c r="A12" s="59">
        <f>A11+1</f>
        <v>42799</v>
      </c>
      <c r="B12" s="78" t="s">
        <v>107</v>
      </c>
      <c r="C12" s="79"/>
      <c r="D12" s="79"/>
      <c r="E12" s="79"/>
      <c r="F12" s="79"/>
      <c r="G12" s="79"/>
      <c r="H12" s="85"/>
      <c r="I12" s="79"/>
      <c r="J12" s="85"/>
      <c r="K12" s="80"/>
      <c r="L12" s="80"/>
      <c r="M12" s="80"/>
      <c r="N12" s="86"/>
      <c r="O12" s="81"/>
      <c r="P12" s="83"/>
      <c r="Q12" s="81"/>
      <c r="R12" s="83"/>
      <c r="S12" s="84">
        <f t="shared" si="0"/>
        <v>0</v>
      </c>
      <c r="T12" s="84">
        <f t="shared" si="0"/>
        <v>0</v>
      </c>
      <c r="U12" s="51">
        <f t="shared" si="2"/>
        <v>0</v>
      </c>
      <c r="V12" s="51">
        <f t="shared" si="3"/>
        <v>0</v>
      </c>
      <c r="W12" s="51">
        <f t="shared" si="4"/>
        <v>0</v>
      </c>
      <c r="X12" s="51">
        <f t="shared" si="5"/>
        <v>0</v>
      </c>
    </row>
    <row r="13" spans="1:24" x14ac:dyDescent="0.25">
      <c r="A13" s="77">
        <f t="shared" si="1"/>
        <v>42800</v>
      </c>
      <c r="B13" s="78" t="s">
        <v>108</v>
      </c>
      <c r="C13" s="79"/>
      <c r="D13" s="79"/>
      <c r="E13" s="79"/>
      <c r="F13" s="79"/>
      <c r="G13" s="79"/>
      <c r="H13" s="85"/>
      <c r="I13" s="79"/>
      <c r="J13" s="85"/>
      <c r="K13" s="80"/>
      <c r="L13" s="80"/>
      <c r="M13" s="80"/>
      <c r="N13" s="86"/>
      <c r="O13" s="83"/>
      <c r="P13" s="83"/>
      <c r="Q13" s="83"/>
      <c r="R13" s="83"/>
      <c r="S13" s="84">
        <f t="shared" si="0"/>
        <v>0</v>
      </c>
      <c r="T13" s="84">
        <f t="shared" si="0"/>
        <v>0</v>
      </c>
      <c r="U13" s="51">
        <f t="shared" si="2"/>
        <v>0</v>
      </c>
      <c r="V13" s="51">
        <f t="shared" si="3"/>
        <v>0</v>
      </c>
      <c r="W13" s="51">
        <f t="shared" si="4"/>
        <v>0</v>
      </c>
      <c r="X13" s="51">
        <f t="shared" si="5"/>
        <v>0</v>
      </c>
    </row>
    <row r="14" spans="1:24" x14ac:dyDescent="0.25">
      <c r="A14" s="59">
        <f t="shared" si="1"/>
        <v>42801</v>
      </c>
      <c r="B14" s="78" t="s">
        <v>110</v>
      </c>
      <c r="C14" s="79"/>
      <c r="D14" s="79"/>
      <c r="E14" s="79"/>
      <c r="F14" s="79"/>
      <c r="G14" s="79"/>
      <c r="H14" s="85"/>
      <c r="I14" s="79"/>
      <c r="J14" s="85"/>
      <c r="K14" s="80"/>
      <c r="L14" s="80"/>
      <c r="M14" s="80"/>
      <c r="N14" s="86"/>
      <c r="O14" s="83"/>
      <c r="P14" s="83"/>
      <c r="Q14" s="83"/>
      <c r="R14" s="83"/>
      <c r="S14" s="84">
        <f t="shared" si="0"/>
        <v>0</v>
      </c>
      <c r="T14" s="84">
        <f t="shared" si="0"/>
        <v>0</v>
      </c>
      <c r="U14" s="51">
        <f t="shared" si="2"/>
        <v>0</v>
      </c>
      <c r="V14" s="51">
        <f t="shared" si="3"/>
        <v>0</v>
      </c>
      <c r="W14" s="51">
        <f t="shared" si="4"/>
        <v>0</v>
      </c>
      <c r="X14" s="51">
        <f t="shared" si="5"/>
        <v>0</v>
      </c>
    </row>
    <row r="15" spans="1:24" x14ac:dyDescent="0.25">
      <c r="A15" s="77">
        <f>A14+1</f>
        <v>42802</v>
      </c>
      <c r="B15" s="78" t="s">
        <v>103</v>
      </c>
      <c r="C15" s="79"/>
      <c r="D15" s="85"/>
      <c r="E15" s="79"/>
      <c r="F15" s="85"/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0</v>
      </c>
      <c r="T15" s="84">
        <f t="shared" si="0"/>
        <v>0</v>
      </c>
      <c r="U15" s="51">
        <f t="shared" si="2"/>
        <v>0</v>
      </c>
      <c r="V15" s="51">
        <f t="shared" si="3"/>
        <v>0</v>
      </c>
      <c r="W15" s="51">
        <f t="shared" si="4"/>
        <v>0</v>
      </c>
      <c r="X15" s="51">
        <f t="shared" si="5"/>
        <v>0</v>
      </c>
    </row>
    <row r="16" spans="1:24" x14ac:dyDescent="0.25">
      <c r="A16" s="59">
        <f t="shared" ref="A16:A21" si="6">A15+1</f>
        <v>42803</v>
      </c>
      <c r="B16" s="78" t="s">
        <v>104</v>
      </c>
      <c r="C16" s="79"/>
      <c r="D16" s="85"/>
      <c r="E16" s="79"/>
      <c r="F16" s="85"/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0"/>
        <v>0</v>
      </c>
      <c r="T16" s="84">
        <f t="shared" si="0"/>
        <v>0</v>
      </c>
      <c r="U16" s="51">
        <f t="shared" si="2"/>
        <v>0</v>
      </c>
      <c r="V16" s="51">
        <f t="shared" si="3"/>
        <v>0</v>
      </c>
      <c r="W16" s="51">
        <f t="shared" si="4"/>
        <v>0</v>
      </c>
      <c r="X16" s="51">
        <f t="shared" si="5"/>
        <v>0</v>
      </c>
    </row>
    <row r="17" spans="1:24" x14ac:dyDescent="0.25">
      <c r="A17" s="77">
        <f>A16+1</f>
        <v>42804</v>
      </c>
      <c r="B17" s="78" t="s">
        <v>105</v>
      </c>
      <c r="C17" s="79"/>
      <c r="D17" s="85"/>
      <c r="E17" s="79"/>
      <c r="F17" s="85"/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0"/>
        <v>0</v>
      </c>
      <c r="T17" s="84">
        <f t="shared" si="0"/>
        <v>0</v>
      </c>
      <c r="U17" s="51">
        <f t="shared" si="2"/>
        <v>0</v>
      </c>
      <c r="V17" s="51">
        <f t="shared" si="3"/>
        <v>0</v>
      </c>
      <c r="W17" s="51">
        <f t="shared" si="4"/>
        <v>0</v>
      </c>
      <c r="X17" s="51">
        <f t="shared" si="5"/>
        <v>0</v>
      </c>
    </row>
    <row r="18" spans="1:24" x14ac:dyDescent="0.25">
      <c r="A18" s="59">
        <f t="shared" si="6"/>
        <v>42805</v>
      </c>
      <c r="B18" s="78" t="s">
        <v>106</v>
      </c>
      <c r="C18" s="79"/>
      <c r="D18" s="85"/>
      <c r="E18" s="79"/>
      <c r="F18" s="85"/>
      <c r="G18" s="79"/>
      <c r="H18" s="85">
        <v>12250</v>
      </c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0"/>
        <v>0</v>
      </c>
      <c r="T18" s="87">
        <f t="shared" si="0"/>
        <v>1.2250000000000001</v>
      </c>
      <c r="U18" s="51">
        <f t="shared" si="2"/>
        <v>0</v>
      </c>
      <c r="V18" s="51">
        <f t="shared" si="3"/>
        <v>0</v>
      </c>
      <c r="W18" s="51">
        <f t="shared" si="4"/>
        <v>1.2250000000000001</v>
      </c>
      <c r="X18" s="51">
        <f t="shared" si="5"/>
        <v>0</v>
      </c>
    </row>
    <row r="19" spans="1:24" x14ac:dyDescent="0.25">
      <c r="A19" s="59">
        <f t="shared" si="6"/>
        <v>42806</v>
      </c>
      <c r="B19" s="78" t="s">
        <v>107</v>
      </c>
      <c r="C19" s="79"/>
      <c r="D19" s="85"/>
      <c r="E19" s="79"/>
      <c r="F19" s="85"/>
      <c r="G19" s="79">
        <v>25000</v>
      </c>
      <c r="H19" s="85">
        <v>28560</v>
      </c>
      <c r="I19" s="79">
        <v>5000</v>
      </c>
      <c r="J19" s="85">
        <v>4800</v>
      </c>
      <c r="K19" s="80"/>
      <c r="L19" s="80"/>
      <c r="M19" s="86"/>
      <c r="N19" s="86"/>
      <c r="O19" s="81"/>
      <c r="P19" s="81"/>
      <c r="Q19" s="81"/>
      <c r="R19" s="81"/>
      <c r="S19" s="84">
        <f t="shared" si="0"/>
        <v>4.5</v>
      </c>
      <c r="T19" s="84">
        <f t="shared" si="0"/>
        <v>4.7759999999999998</v>
      </c>
      <c r="U19" s="51">
        <f t="shared" si="2"/>
        <v>0</v>
      </c>
      <c r="V19" s="51">
        <f t="shared" si="3"/>
        <v>0</v>
      </c>
      <c r="W19" s="51">
        <f t="shared" si="4"/>
        <v>2.8559999999999999</v>
      </c>
      <c r="X19" s="51">
        <f t="shared" si="5"/>
        <v>1.92</v>
      </c>
    </row>
    <row r="20" spans="1:24" x14ac:dyDescent="0.25">
      <c r="A20" s="77">
        <f t="shared" si="6"/>
        <v>42807</v>
      </c>
      <c r="B20" s="78" t="s">
        <v>108</v>
      </c>
      <c r="C20" s="112"/>
      <c r="D20" s="112"/>
      <c r="E20" s="112"/>
      <c r="F20" s="113"/>
      <c r="G20" s="112"/>
      <c r="H20" s="112"/>
      <c r="I20" s="112"/>
      <c r="J20" s="112"/>
      <c r="K20" s="112"/>
      <c r="L20" s="112"/>
      <c r="M20" s="113"/>
      <c r="N20" s="113"/>
      <c r="O20" s="114"/>
      <c r="P20" s="114"/>
      <c r="Q20" s="114"/>
      <c r="R20" s="114"/>
      <c r="S20" s="84">
        <f t="shared" si="0"/>
        <v>0</v>
      </c>
      <c r="T20" s="84">
        <f t="shared" si="0"/>
        <v>0</v>
      </c>
      <c r="U20" s="51">
        <f t="shared" si="2"/>
        <v>0</v>
      </c>
      <c r="V20" s="51">
        <f t="shared" si="3"/>
        <v>0</v>
      </c>
      <c r="W20" s="51">
        <f t="shared" si="4"/>
        <v>0</v>
      </c>
      <c r="X20" s="51">
        <f t="shared" si="5"/>
        <v>0</v>
      </c>
    </row>
    <row r="21" spans="1:24" x14ac:dyDescent="0.25">
      <c r="A21" s="59">
        <f t="shared" si="6"/>
        <v>42808</v>
      </c>
      <c r="B21" s="78" t="s">
        <v>110</v>
      </c>
      <c r="C21" s="79"/>
      <c r="D21" s="85"/>
      <c r="E21" s="79"/>
      <c r="F21" s="85"/>
      <c r="G21" s="79">
        <v>25000</v>
      </c>
      <c r="H21" s="85">
        <v>12880</v>
      </c>
      <c r="I21" s="79">
        <v>5000</v>
      </c>
      <c r="J21" s="85">
        <v>5232</v>
      </c>
      <c r="K21" s="80"/>
      <c r="L21" s="80"/>
      <c r="M21" s="86"/>
      <c r="N21" s="86"/>
      <c r="O21" s="81"/>
      <c r="P21" s="86"/>
      <c r="Q21" s="81"/>
      <c r="R21" s="83"/>
      <c r="S21" s="84">
        <f t="shared" si="0"/>
        <v>4.5</v>
      </c>
      <c r="T21" s="84">
        <f t="shared" si="0"/>
        <v>3.3808000000000002</v>
      </c>
      <c r="U21" s="51">
        <f t="shared" si="2"/>
        <v>0</v>
      </c>
      <c r="V21" s="51">
        <f t="shared" si="3"/>
        <v>0</v>
      </c>
      <c r="W21" s="51">
        <f t="shared" si="4"/>
        <v>1.288</v>
      </c>
      <c r="X21" s="51">
        <f t="shared" si="5"/>
        <v>2.0928</v>
      </c>
    </row>
    <row r="22" spans="1:24" x14ac:dyDescent="0.25">
      <c r="A22" s="77">
        <f>A21+1</f>
        <v>42809</v>
      </c>
      <c r="B22" s="78" t="s">
        <v>103</v>
      </c>
      <c r="C22" s="88">
        <v>25000</v>
      </c>
      <c r="D22" s="85"/>
      <c r="E22" s="79">
        <v>2000</v>
      </c>
      <c r="F22" s="85"/>
      <c r="G22" s="79"/>
      <c r="H22" s="79"/>
      <c r="I22" s="79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0"/>
        <v>3.3</v>
      </c>
      <c r="T22" s="84">
        <f t="shared" si="0"/>
        <v>0</v>
      </c>
      <c r="U22" s="51">
        <f t="shared" si="2"/>
        <v>0</v>
      </c>
      <c r="V22" s="51">
        <f t="shared" si="3"/>
        <v>0</v>
      </c>
      <c r="W22" s="51">
        <f t="shared" si="4"/>
        <v>0</v>
      </c>
      <c r="X22" s="51">
        <f t="shared" si="5"/>
        <v>0</v>
      </c>
    </row>
    <row r="23" spans="1:24" x14ac:dyDescent="0.25">
      <c r="A23" s="59">
        <f t="shared" ref="A23:A28" si="7">A22+1</f>
        <v>42810</v>
      </c>
      <c r="B23" s="78" t="s">
        <v>104</v>
      </c>
      <c r="C23" s="88">
        <v>25000</v>
      </c>
      <c r="D23" s="85"/>
      <c r="E23" s="79">
        <v>10000</v>
      </c>
      <c r="F23" s="79"/>
      <c r="G23" s="79"/>
      <c r="H23" s="79"/>
      <c r="I23" s="79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0"/>
        <v>6.5</v>
      </c>
      <c r="T23" s="84">
        <f t="shared" si="0"/>
        <v>0</v>
      </c>
      <c r="U23" s="51">
        <f t="shared" si="2"/>
        <v>0</v>
      </c>
      <c r="V23" s="51">
        <f t="shared" si="3"/>
        <v>0</v>
      </c>
      <c r="W23" s="51">
        <f t="shared" si="4"/>
        <v>0</v>
      </c>
      <c r="X23" s="51">
        <f t="shared" si="5"/>
        <v>0</v>
      </c>
    </row>
    <row r="24" spans="1:24" x14ac:dyDescent="0.25">
      <c r="A24" s="77">
        <f t="shared" si="7"/>
        <v>42811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0"/>
        <v>0</v>
      </c>
      <c r="T24" s="84">
        <f t="shared" si="0"/>
        <v>0</v>
      </c>
      <c r="U24" s="51">
        <f t="shared" si="2"/>
        <v>0</v>
      </c>
      <c r="V24" s="51">
        <f t="shared" si="3"/>
        <v>0</v>
      </c>
      <c r="W24" s="51">
        <f t="shared" si="4"/>
        <v>0</v>
      </c>
      <c r="X24" s="51">
        <f t="shared" si="5"/>
        <v>0</v>
      </c>
    </row>
    <row r="25" spans="1:24" x14ac:dyDescent="0.25">
      <c r="A25" s="59">
        <f t="shared" si="7"/>
        <v>42812</v>
      </c>
      <c r="B25" s="78" t="s">
        <v>106</v>
      </c>
      <c r="C25" s="112"/>
      <c r="D25" s="114"/>
      <c r="E25" s="114"/>
      <c r="F25" s="114"/>
      <c r="G25" s="114"/>
      <c r="H25" s="114"/>
      <c r="I25" s="114"/>
      <c r="J25" s="114"/>
      <c r="K25" s="112"/>
      <c r="L25" s="113"/>
      <c r="M25" s="112"/>
      <c r="N25" s="114"/>
      <c r="O25" s="114"/>
      <c r="P25" s="113"/>
      <c r="Q25" s="114"/>
      <c r="R25" s="114"/>
      <c r="S25" s="87">
        <f t="shared" si="0"/>
        <v>0</v>
      </c>
      <c r="T25" s="87">
        <f t="shared" si="0"/>
        <v>0</v>
      </c>
      <c r="U25" s="51">
        <f t="shared" si="2"/>
        <v>0</v>
      </c>
      <c r="V25" s="51">
        <f t="shared" si="3"/>
        <v>0</v>
      </c>
      <c r="W25" s="51">
        <f t="shared" si="4"/>
        <v>0</v>
      </c>
      <c r="X25" s="51">
        <f t="shared" si="5"/>
        <v>0</v>
      </c>
    </row>
    <row r="26" spans="1:24" x14ac:dyDescent="0.25">
      <c r="A26" s="59">
        <f t="shared" si="7"/>
        <v>42813</v>
      </c>
      <c r="B26" s="78" t="s">
        <v>107</v>
      </c>
      <c r="C26" s="79">
        <v>25000</v>
      </c>
      <c r="D26" s="88"/>
      <c r="E26" s="88"/>
      <c r="F26" s="88"/>
      <c r="G26" s="88"/>
      <c r="H26" s="88"/>
      <c r="I26" s="88"/>
      <c r="J26" s="88"/>
      <c r="K26" s="80"/>
      <c r="L26" s="86"/>
      <c r="M26" s="80"/>
      <c r="N26" s="81"/>
      <c r="O26" s="81"/>
      <c r="P26" s="86"/>
      <c r="Q26" s="81"/>
      <c r="R26" s="86"/>
      <c r="S26" s="87">
        <f t="shared" si="0"/>
        <v>2.5</v>
      </c>
      <c r="T26" s="87">
        <f t="shared" si="0"/>
        <v>0</v>
      </c>
      <c r="U26" s="51">
        <f t="shared" si="2"/>
        <v>0</v>
      </c>
      <c r="V26" s="51">
        <f t="shared" si="3"/>
        <v>0</v>
      </c>
      <c r="W26" s="51">
        <f t="shared" si="4"/>
        <v>0</v>
      </c>
      <c r="X26" s="51">
        <f t="shared" si="5"/>
        <v>0</v>
      </c>
    </row>
    <row r="27" spans="1:24" x14ac:dyDescent="0.25">
      <c r="A27" s="77">
        <f t="shared" si="7"/>
        <v>42814</v>
      </c>
      <c r="B27" s="78" t="s">
        <v>108</v>
      </c>
      <c r="C27" s="79">
        <v>25000</v>
      </c>
      <c r="D27" s="85">
        <v>7875</v>
      </c>
      <c r="E27" s="88"/>
      <c r="F27" s="88"/>
      <c r="G27" s="88"/>
      <c r="H27" s="88"/>
      <c r="I27" s="88"/>
      <c r="J27" s="88"/>
      <c r="K27" s="80"/>
      <c r="L27" s="86"/>
      <c r="M27" s="80"/>
      <c r="N27" s="81"/>
      <c r="O27" s="81"/>
      <c r="P27" s="86"/>
      <c r="Q27" s="81"/>
      <c r="R27" s="86"/>
      <c r="S27" s="87">
        <f t="shared" si="0"/>
        <v>2.5</v>
      </c>
      <c r="T27" s="87">
        <f t="shared" si="0"/>
        <v>0.78749999999999998</v>
      </c>
      <c r="U27" s="51">
        <f t="shared" si="2"/>
        <v>0.78749999999999998</v>
      </c>
      <c r="V27" s="51">
        <f t="shared" si="3"/>
        <v>0</v>
      </c>
      <c r="W27" s="51">
        <f t="shared" si="4"/>
        <v>0</v>
      </c>
      <c r="X27" s="51">
        <f t="shared" si="5"/>
        <v>0</v>
      </c>
    </row>
    <row r="28" spans="1:24" x14ac:dyDescent="0.25">
      <c r="A28" s="59">
        <f t="shared" si="7"/>
        <v>42815</v>
      </c>
      <c r="B28" s="78" t="s">
        <v>110</v>
      </c>
      <c r="C28" s="79">
        <v>25000</v>
      </c>
      <c r="D28" s="85">
        <v>29400</v>
      </c>
      <c r="E28" s="88"/>
      <c r="F28" s="88"/>
      <c r="G28" s="88"/>
      <c r="H28" s="88"/>
      <c r="I28" s="88"/>
      <c r="J28" s="88"/>
      <c r="K28" s="81"/>
      <c r="L28" s="86"/>
      <c r="M28" s="80"/>
      <c r="N28" s="81"/>
      <c r="O28" s="81"/>
      <c r="P28" s="86"/>
      <c r="Q28" s="81"/>
      <c r="R28" s="86"/>
      <c r="S28" s="87">
        <f t="shared" si="0"/>
        <v>2.5</v>
      </c>
      <c r="T28" s="87">
        <f t="shared" si="0"/>
        <v>2.94</v>
      </c>
      <c r="U28" s="51">
        <f t="shared" si="2"/>
        <v>2.94</v>
      </c>
      <c r="V28" s="51">
        <f t="shared" si="3"/>
        <v>0</v>
      </c>
      <c r="W28" s="51">
        <f t="shared" si="4"/>
        <v>0</v>
      </c>
      <c r="X28" s="51">
        <f t="shared" si="5"/>
        <v>0</v>
      </c>
    </row>
    <row r="29" spans="1:24" x14ac:dyDescent="0.25">
      <c r="A29" s="77">
        <f>A28+1</f>
        <v>42816</v>
      </c>
      <c r="B29" s="78" t="s">
        <v>103</v>
      </c>
      <c r="C29" s="79">
        <v>25000</v>
      </c>
      <c r="D29" s="85">
        <v>30275</v>
      </c>
      <c r="E29" s="88"/>
      <c r="F29" s="88"/>
      <c r="G29" s="88"/>
      <c r="H29" s="85"/>
      <c r="I29" s="88"/>
      <c r="J29" s="88"/>
      <c r="K29" s="81"/>
      <c r="L29" s="86"/>
      <c r="M29" s="80"/>
      <c r="N29" s="81"/>
      <c r="O29" s="81"/>
      <c r="P29" s="86"/>
      <c r="Q29" s="81"/>
      <c r="R29" s="81"/>
      <c r="S29" s="87">
        <f t="shared" si="0"/>
        <v>2.5</v>
      </c>
      <c r="T29" s="87">
        <f t="shared" si="0"/>
        <v>3.0274999999999999</v>
      </c>
      <c r="U29" s="51">
        <f t="shared" si="2"/>
        <v>3.0274999999999999</v>
      </c>
      <c r="V29" s="51">
        <f t="shared" si="3"/>
        <v>0</v>
      </c>
      <c r="W29" s="51">
        <f t="shared" si="4"/>
        <v>0</v>
      </c>
      <c r="X29" s="51">
        <f t="shared" si="5"/>
        <v>0</v>
      </c>
    </row>
    <row r="30" spans="1:24" x14ac:dyDescent="0.25">
      <c r="A30" s="59">
        <f t="shared" ref="A30:A38" si="8">A29+1</f>
        <v>42817</v>
      </c>
      <c r="B30" s="78" t="s">
        <v>104</v>
      </c>
      <c r="C30" s="79"/>
      <c r="D30" s="85">
        <v>31325</v>
      </c>
      <c r="E30" s="88"/>
      <c r="F30" s="85"/>
      <c r="G30" s="88"/>
      <c r="H30" s="85"/>
      <c r="I30" s="88"/>
      <c r="J30" s="85"/>
      <c r="K30" s="80">
        <v>25000</v>
      </c>
      <c r="L30" s="86"/>
      <c r="M30" s="80"/>
      <c r="N30" s="81"/>
      <c r="O30" s="81"/>
      <c r="P30" s="81"/>
      <c r="Q30" s="81"/>
      <c r="R30" s="81"/>
      <c r="S30" s="87">
        <f t="shared" si="0"/>
        <v>2.5</v>
      </c>
      <c r="T30" s="87">
        <f t="shared" si="0"/>
        <v>3.1324999999999998</v>
      </c>
      <c r="U30" s="51">
        <f t="shared" si="2"/>
        <v>3.1324999999999998</v>
      </c>
      <c r="V30" s="51">
        <f t="shared" si="3"/>
        <v>0</v>
      </c>
      <c r="W30" s="51">
        <f t="shared" si="4"/>
        <v>0</v>
      </c>
      <c r="X30" s="51">
        <f t="shared" si="5"/>
        <v>0</v>
      </c>
    </row>
    <row r="31" spans="1:24" x14ac:dyDescent="0.25">
      <c r="A31" s="77">
        <f t="shared" si="8"/>
        <v>42818</v>
      </c>
      <c r="B31" s="78" t="s">
        <v>105</v>
      </c>
      <c r="C31" s="79"/>
      <c r="D31" s="88"/>
      <c r="E31" s="88"/>
      <c r="F31" s="85"/>
      <c r="G31" s="88"/>
      <c r="H31" s="85"/>
      <c r="I31" s="88"/>
      <c r="J31" s="88"/>
      <c r="K31" s="80">
        <v>25000</v>
      </c>
      <c r="L31" s="86"/>
      <c r="M31" s="80"/>
      <c r="N31" s="81"/>
      <c r="O31" s="81"/>
      <c r="P31" s="81"/>
      <c r="Q31" s="81"/>
      <c r="R31" s="81"/>
      <c r="S31" s="87">
        <f t="shared" si="0"/>
        <v>2.5</v>
      </c>
      <c r="T31" s="87">
        <f t="shared" si="0"/>
        <v>0</v>
      </c>
      <c r="U31" s="51">
        <f t="shared" si="2"/>
        <v>0</v>
      </c>
      <c r="V31" s="51">
        <f t="shared" si="3"/>
        <v>0</v>
      </c>
      <c r="W31" s="51">
        <f t="shared" si="4"/>
        <v>0</v>
      </c>
      <c r="X31" s="51">
        <f t="shared" si="5"/>
        <v>0</v>
      </c>
    </row>
    <row r="32" spans="1:24" x14ac:dyDescent="0.25">
      <c r="A32" s="59">
        <f t="shared" si="8"/>
        <v>42819</v>
      </c>
      <c r="B32" s="78" t="s">
        <v>106</v>
      </c>
      <c r="C32" s="79"/>
      <c r="D32" s="79"/>
      <c r="E32" s="88"/>
      <c r="F32" s="85"/>
      <c r="G32" s="88"/>
      <c r="H32" s="88"/>
      <c r="I32" s="88"/>
      <c r="J32" s="88"/>
      <c r="K32" s="80">
        <v>25000</v>
      </c>
      <c r="L32" s="81"/>
      <c r="M32" s="81"/>
      <c r="N32" s="81"/>
      <c r="O32" s="81"/>
      <c r="P32" s="86"/>
      <c r="Q32" s="81"/>
      <c r="R32" s="81"/>
      <c r="S32" s="87">
        <f t="shared" si="0"/>
        <v>2.5</v>
      </c>
      <c r="T32" s="87">
        <f t="shared" si="0"/>
        <v>0</v>
      </c>
      <c r="U32" s="51">
        <f t="shared" si="2"/>
        <v>0</v>
      </c>
      <c r="V32" s="51">
        <f t="shared" si="3"/>
        <v>0</v>
      </c>
      <c r="W32" s="51">
        <f t="shared" si="4"/>
        <v>0</v>
      </c>
      <c r="X32" s="51">
        <f t="shared" si="5"/>
        <v>0</v>
      </c>
    </row>
    <row r="33" spans="1:25" x14ac:dyDescent="0.25">
      <c r="A33" s="59">
        <f t="shared" si="8"/>
        <v>42820</v>
      </c>
      <c r="B33" s="78" t="s">
        <v>107</v>
      </c>
      <c r="C33" s="88"/>
      <c r="D33" s="79"/>
      <c r="E33" s="88"/>
      <c r="F33" s="88"/>
      <c r="G33" s="88"/>
      <c r="H33" s="88"/>
      <c r="I33" s="88"/>
      <c r="J33" s="88"/>
      <c r="K33" s="80">
        <v>25000</v>
      </c>
      <c r="L33" s="81"/>
      <c r="M33" s="81"/>
      <c r="N33" s="81"/>
      <c r="O33" s="81"/>
      <c r="P33" s="83"/>
      <c r="Q33" s="81"/>
      <c r="R33" s="83"/>
      <c r="S33" s="84">
        <f t="shared" si="0"/>
        <v>2.5</v>
      </c>
      <c r="T33" s="84">
        <f t="shared" si="0"/>
        <v>0</v>
      </c>
      <c r="U33" s="51">
        <f t="shared" si="2"/>
        <v>0</v>
      </c>
      <c r="V33" s="51">
        <f t="shared" si="3"/>
        <v>0</v>
      </c>
      <c r="W33" s="51">
        <f t="shared" si="4"/>
        <v>0</v>
      </c>
      <c r="X33" s="51">
        <f t="shared" si="5"/>
        <v>0</v>
      </c>
    </row>
    <row r="34" spans="1:25" x14ac:dyDescent="0.25">
      <c r="A34" s="77">
        <f t="shared" si="8"/>
        <v>42821</v>
      </c>
      <c r="B34" s="78" t="s">
        <v>108</v>
      </c>
      <c r="C34" s="88"/>
      <c r="D34" s="79"/>
      <c r="E34" s="88">
        <v>8000</v>
      </c>
      <c r="F34" s="85"/>
      <c r="G34" s="88"/>
      <c r="H34" s="88"/>
      <c r="I34" s="88"/>
      <c r="J34" s="88"/>
      <c r="K34" s="80">
        <v>5000</v>
      </c>
      <c r="L34" s="81"/>
      <c r="M34" s="81"/>
      <c r="N34" s="81"/>
      <c r="O34" s="81"/>
      <c r="P34" s="83"/>
      <c r="Q34" s="81"/>
      <c r="R34" s="83"/>
      <c r="S34" s="84">
        <f t="shared" si="0"/>
        <v>3.7</v>
      </c>
      <c r="T34" s="84">
        <f t="shared" si="0"/>
        <v>0</v>
      </c>
      <c r="U34" s="51">
        <f t="shared" si="2"/>
        <v>0</v>
      </c>
      <c r="V34" s="51">
        <f t="shared" si="3"/>
        <v>0</v>
      </c>
      <c r="W34" s="51">
        <f t="shared" si="4"/>
        <v>0</v>
      </c>
      <c r="X34" s="51">
        <f t="shared" si="5"/>
        <v>0</v>
      </c>
    </row>
    <row r="35" spans="1:25" x14ac:dyDescent="0.25">
      <c r="A35" s="59">
        <f t="shared" si="8"/>
        <v>42822</v>
      </c>
      <c r="B35" s="78" t="s">
        <v>110</v>
      </c>
      <c r="C35" s="88"/>
      <c r="D35" s="79"/>
      <c r="E35" s="88"/>
      <c r="F35" s="85"/>
      <c r="G35" s="88"/>
      <c r="H35" s="88"/>
      <c r="I35" s="88"/>
      <c r="J35" s="88"/>
      <c r="K35" s="80"/>
      <c r="L35" s="86"/>
      <c r="M35" s="80">
        <v>12500</v>
      </c>
      <c r="N35" s="81"/>
      <c r="O35" s="81"/>
      <c r="P35" s="81"/>
      <c r="Q35" s="81"/>
      <c r="R35" s="83"/>
      <c r="S35" s="84">
        <f t="shared" si="0"/>
        <v>5</v>
      </c>
      <c r="T35" s="84">
        <f t="shared" si="0"/>
        <v>0</v>
      </c>
      <c r="U35" s="51">
        <f t="shared" si="2"/>
        <v>0</v>
      </c>
      <c r="V35" s="51">
        <f t="shared" si="3"/>
        <v>0</v>
      </c>
      <c r="W35" s="51">
        <f t="shared" si="4"/>
        <v>0</v>
      </c>
      <c r="X35" s="51">
        <f t="shared" si="5"/>
        <v>0</v>
      </c>
    </row>
    <row r="36" spans="1:25" x14ac:dyDescent="0.25">
      <c r="A36" s="59">
        <f t="shared" si="8"/>
        <v>42823</v>
      </c>
      <c r="B36" s="78" t="s">
        <v>103</v>
      </c>
      <c r="C36" s="88"/>
      <c r="D36" s="79"/>
      <c r="E36" s="88"/>
      <c r="F36" s="85"/>
      <c r="G36" s="88"/>
      <c r="H36" s="88"/>
      <c r="I36" s="88"/>
      <c r="J36" s="88"/>
      <c r="K36" s="80"/>
      <c r="L36" s="81"/>
      <c r="M36" s="80">
        <v>12500</v>
      </c>
      <c r="N36" s="81"/>
      <c r="O36" s="81"/>
      <c r="P36" s="81"/>
      <c r="Q36" s="81"/>
      <c r="R36" s="83"/>
      <c r="S36" s="84">
        <f t="shared" si="0"/>
        <v>5</v>
      </c>
      <c r="T36" s="84">
        <f t="shared" si="0"/>
        <v>0</v>
      </c>
      <c r="U36" s="51">
        <f t="shared" si="2"/>
        <v>0</v>
      </c>
      <c r="V36" s="51">
        <f t="shared" si="3"/>
        <v>0</v>
      </c>
      <c r="W36" s="51">
        <f t="shared" si="4"/>
        <v>0</v>
      </c>
      <c r="X36" s="51">
        <f t="shared" si="5"/>
        <v>0</v>
      </c>
    </row>
    <row r="37" spans="1:25" x14ac:dyDescent="0.25">
      <c r="A37" s="59">
        <f t="shared" si="8"/>
        <v>42824</v>
      </c>
      <c r="B37" s="78" t="s">
        <v>104</v>
      </c>
      <c r="C37" s="88"/>
      <c r="D37" s="85"/>
      <c r="E37" s="88"/>
      <c r="F37" s="85"/>
      <c r="G37" s="88"/>
      <c r="H37" s="88"/>
      <c r="I37" s="88"/>
      <c r="J37" s="88"/>
      <c r="K37" s="80"/>
      <c r="L37" s="81"/>
      <c r="M37" s="80">
        <v>12500</v>
      </c>
      <c r="N37" s="81"/>
      <c r="O37" s="81"/>
      <c r="P37" s="81"/>
      <c r="Q37" s="81"/>
      <c r="R37" s="81"/>
      <c r="S37" s="84">
        <f t="shared" si="0"/>
        <v>5</v>
      </c>
      <c r="T37" s="84">
        <f t="shared" si="0"/>
        <v>0</v>
      </c>
      <c r="U37" s="51">
        <f t="shared" si="2"/>
        <v>0</v>
      </c>
      <c r="V37" s="51">
        <f t="shared" si="3"/>
        <v>0</v>
      </c>
      <c r="W37" s="51">
        <f t="shared" si="4"/>
        <v>0</v>
      </c>
      <c r="X37" s="51">
        <f t="shared" si="5"/>
        <v>0</v>
      </c>
    </row>
    <row r="38" spans="1:25" x14ac:dyDescent="0.25">
      <c r="A38" s="59">
        <f t="shared" si="8"/>
        <v>42825</v>
      </c>
      <c r="B38" s="78" t="s">
        <v>105</v>
      </c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0">
        <v>12500</v>
      </c>
      <c r="N38" s="81"/>
      <c r="O38" s="81"/>
      <c r="P38" s="81"/>
      <c r="Q38" s="81"/>
      <c r="R38" s="81"/>
      <c r="S38" s="84">
        <f t="shared" ref="S38:T38" si="9">((C38*0.1)+(E38*0.4)+(G38*0.1)+(I38*0.4)+(K38*0.1)+(M38*0.4)+(O38*0.1)+(Q38*0.4))/1000</f>
        <v>5</v>
      </c>
      <c r="T38" s="84">
        <f t="shared" si="9"/>
        <v>0</v>
      </c>
      <c r="U38" s="51">
        <f t="shared" si="2"/>
        <v>0</v>
      </c>
      <c r="V38" s="51">
        <f t="shared" si="3"/>
        <v>0</v>
      </c>
      <c r="W38" s="51">
        <f t="shared" si="4"/>
        <v>0</v>
      </c>
      <c r="X38" s="51">
        <f t="shared" si="5"/>
        <v>0</v>
      </c>
    </row>
    <row r="39" spans="1:25" x14ac:dyDescent="0.25">
      <c r="A39" s="124" t="s">
        <v>111</v>
      </c>
      <c r="B39" s="125"/>
      <c r="C39" s="89">
        <f t="shared" ref="C39:T39" si="10">SUM(C8:C38)</f>
        <v>150000</v>
      </c>
      <c r="D39" s="89">
        <f t="shared" si="10"/>
        <v>98875</v>
      </c>
      <c r="E39" s="89">
        <f t="shared" si="10"/>
        <v>20000</v>
      </c>
      <c r="F39" s="89">
        <f t="shared" si="10"/>
        <v>0</v>
      </c>
      <c r="G39" s="89">
        <f t="shared" si="10"/>
        <v>50000</v>
      </c>
      <c r="H39" s="89">
        <f t="shared" si="10"/>
        <v>53690</v>
      </c>
      <c r="I39" s="89">
        <f t="shared" si="10"/>
        <v>10000</v>
      </c>
      <c r="J39" s="89">
        <f t="shared" si="10"/>
        <v>10032</v>
      </c>
      <c r="K39" s="89">
        <f t="shared" si="10"/>
        <v>105000</v>
      </c>
      <c r="L39" s="89">
        <f t="shared" si="10"/>
        <v>0</v>
      </c>
      <c r="M39" s="89">
        <f t="shared" si="10"/>
        <v>50000</v>
      </c>
      <c r="N39" s="89">
        <f t="shared" si="10"/>
        <v>0</v>
      </c>
      <c r="O39" s="89">
        <f t="shared" si="10"/>
        <v>0</v>
      </c>
      <c r="P39" s="89">
        <f t="shared" si="10"/>
        <v>0</v>
      </c>
      <c r="Q39" s="89">
        <f t="shared" si="10"/>
        <v>0</v>
      </c>
      <c r="R39" s="89">
        <f t="shared" si="10"/>
        <v>0</v>
      </c>
      <c r="S39" s="90">
        <f t="shared" si="10"/>
        <v>62.5</v>
      </c>
      <c r="T39" s="90">
        <f t="shared" si="10"/>
        <v>19.269300000000001</v>
      </c>
      <c r="U39" s="51">
        <f>SUM(U8:U38)</f>
        <v>9.8874999999999993</v>
      </c>
      <c r="V39" s="51">
        <f t="shared" ref="V39:X39" si="11">SUM(V8:V38)</f>
        <v>0</v>
      </c>
      <c r="W39" s="51">
        <f t="shared" si="11"/>
        <v>5.3689999999999998</v>
      </c>
      <c r="X39" s="51">
        <f t="shared" si="11"/>
        <v>4.0128000000000004</v>
      </c>
    </row>
    <row r="40" spans="1:25" x14ac:dyDescent="0.25">
      <c r="A40" s="124" t="s">
        <v>112</v>
      </c>
      <c r="B40" s="125"/>
      <c r="C40" s="91">
        <f>C39*0.1/1000</f>
        <v>15</v>
      </c>
      <c r="D40" s="91">
        <f t="shared" ref="D40" si="12">D39*0.1/1000</f>
        <v>9.8874999999999993</v>
      </c>
      <c r="E40" s="91">
        <f t="shared" ref="E40:J40" si="13">E39*0.4/1000</f>
        <v>8</v>
      </c>
      <c r="F40" s="91">
        <f t="shared" si="13"/>
        <v>0</v>
      </c>
      <c r="G40" s="91">
        <f>G39*0.1/1000</f>
        <v>5</v>
      </c>
      <c r="H40" s="91">
        <f>H39*0.1/1000</f>
        <v>5.3689999999999998</v>
      </c>
      <c r="I40" s="91">
        <f t="shared" si="13"/>
        <v>4</v>
      </c>
      <c r="J40" s="91">
        <f t="shared" si="13"/>
        <v>4.0128000000000004</v>
      </c>
      <c r="K40" s="91">
        <f>K39*0.1/1000</f>
        <v>10.5</v>
      </c>
      <c r="L40" s="91">
        <f>L39*0.1/1000</f>
        <v>0</v>
      </c>
      <c r="M40" s="91">
        <f>M39*0.4/1000</f>
        <v>20</v>
      </c>
      <c r="N40" s="91">
        <f>N39*0.4/1000</f>
        <v>0</v>
      </c>
      <c r="O40" s="91">
        <f>O39*0.1/1000</f>
        <v>0</v>
      </c>
      <c r="P40" s="91">
        <f t="shared" ref="P40" si="14">P39*0.1/1000</f>
        <v>0</v>
      </c>
      <c r="Q40" s="91">
        <f>Q39*0.4/1000</f>
        <v>0</v>
      </c>
      <c r="R40" s="91">
        <f>R39*0.4/1000</f>
        <v>0</v>
      </c>
      <c r="S40" s="91"/>
      <c r="T40" s="91"/>
    </row>
    <row r="41" spans="1:25" x14ac:dyDescent="0.25">
      <c r="C41" s="51">
        <v>150000</v>
      </c>
      <c r="E41" s="51">
        <v>20000</v>
      </c>
      <c r="G41" s="51">
        <v>50000</v>
      </c>
      <c r="I41" s="51">
        <v>10000</v>
      </c>
      <c r="K41" s="51">
        <v>105000</v>
      </c>
      <c r="M41" s="51">
        <v>67582</v>
      </c>
      <c r="V41" s="51">
        <f>U39+V39</f>
        <v>9.8874999999999993</v>
      </c>
      <c r="X41" s="51">
        <f>W39+X39</f>
        <v>9.3818000000000001</v>
      </c>
      <c r="Y41" s="51">
        <f>V41+X41</f>
        <v>19.269300000000001</v>
      </c>
    </row>
    <row r="42" spans="1:25" x14ac:dyDescent="0.25">
      <c r="A42" s="52"/>
    </row>
    <row r="43" spans="1:25" x14ac:dyDescent="0.25">
      <c r="A43" s="52"/>
    </row>
    <row r="45" spans="1:25" x14ac:dyDescent="0.25">
      <c r="O45" s="52"/>
      <c r="P45" s="52"/>
      <c r="Q45" s="52"/>
      <c r="R45" s="52"/>
    </row>
  </sheetData>
  <mergeCells count="6">
    <mergeCell ref="A40:B40"/>
    <mergeCell ref="C3:R3"/>
    <mergeCell ref="C4:J4"/>
    <mergeCell ref="K4:R4"/>
    <mergeCell ref="S6:T6"/>
    <mergeCell ref="A39:B39"/>
  </mergeCells>
  <conditionalFormatting sqref="F5 H5:N5">
    <cfRule type="cellIs" dxfId="99" priority="1" stopIfTrue="1" operator="greaterThan">
      <formula>0</formula>
    </cfRule>
    <cfRule type="cellIs" dxfId="98" priority="2" stopIfTrue="1" operator="lessThanOrEqual">
      <formula>0</formula>
    </cfRule>
  </conditionalFormatting>
  <conditionalFormatting sqref="T5">
    <cfRule type="cellIs" dxfId="97" priority="13" stopIfTrue="1" operator="greaterThan">
      <formula>0</formula>
    </cfRule>
    <cfRule type="cellIs" dxfId="96" priority="14" stopIfTrue="1" operator="lessThanOrEqual">
      <formula>0</formula>
    </cfRule>
  </conditionalFormatting>
  <conditionalFormatting sqref="O5">
    <cfRule type="cellIs" dxfId="95" priority="12" operator="lessThan">
      <formula>0</formula>
    </cfRule>
  </conditionalFormatting>
  <conditionalFormatting sqref="D5:E5">
    <cfRule type="cellIs" dxfId="94" priority="10" stopIfTrue="1" operator="greaterThan">
      <formula>0</formula>
    </cfRule>
    <cfRule type="cellIs" dxfId="93" priority="11" stopIfTrue="1" operator="lessThanOrEqual">
      <formula>0</formula>
    </cfRule>
  </conditionalFormatting>
  <conditionalFormatting sqref="G5">
    <cfRule type="cellIs" dxfId="92" priority="9" operator="lessThan">
      <formula>0</formula>
    </cfRule>
  </conditionalFormatting>
  <conditionalFormatting sqref="Q5">
    <cfRule type="cellIs" dxfId="91" priority="8" operator="lessThan">
      <formula>0</formula>
    </cfRule>
  </conditionalFormatting>
  <conditionalFormatting sqref="C5">
    <cfRule type="cellIs" dxfId="90" priority="7" operator="lessThan">
      <formula>0</formula>
    </cfRule>
  </conditionalFormatting>
  <conditionalFormatting sqref="P5">
    <cfRule type="cellIs" dxfId="89" priority="5" stopIfTrue="1" operator="greaterThan">
      <formula>0</formula>
    </cfRule>
    <cfRule type="cellIs" dxfId="88" priority="6" stopIfTrue="1" operator="lessThanOrEqual">
      <formula>0</formula>
    </cfRule>
  </conditionalFormatting>
  <conditionalFormatting sqref="R5">
    <cfRule type="cellIs" dxfId="87" priority="3" stopIfTrue="1" operator="greaterThan">
      <formula>0</formula>
    </cfRule>
    <cfRule type="cellIs" dxfId="86" priority="4" stopIfTrue="1" operator="lessThanOrEqual">
      <formula>0</formula>
    </cfRule>
  </conditionalFormatting>
  <pageMargins left="0.7" right="0.7" top="0.75" bottom="0.75" header="0.3" footer="0.3"/>
  <pageSetup paperSize="9" scale="7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Y236"/>
  <sheetViews>
    <sheetView topLeftCell="I25" zoomScaleNormal="100" workbookViewId="0">
      <selection activeCell="N35" sqref="N35"/>
    </sheetView>
  </sheetViews>
  <sheetFormatPr defaultRowHeight="15" x14ac:dyDescent="0.25"/>
  <cols>
    <col min="1" max="2" width="9.140625" style="102"/>
    <col min="3" max="3" width="9.28515625" style="102" bestFit="1" customWidth="1"/>
    <col min="4" max="4" width="11.28515625" style="102" bestFit="1" customWidth="1"/>
    <col min="5" max="5" width="14" style="102" customWidth="1"/>
    <col min="6" max="6" width="14" style="102" bestFit="1" customWidth="1"/>
    <col min="7" max="7" width="11.28515625" style="102" bestFit="1" customWidth="1"/>
    <col min="8" max="8" width="17.42578125" style="102" customWidth="1"/>
    <col min="9" max="9" width="16.42578125" style="102" bestFit="1" customWidth="1"/>
    <col min="10" max="10" width="9.5703125" style="102" bestFit="1" customWidth="1"/>
    <col min="11" max="11" width="12.5703125" style="102" customWidth="1"/>
    <col min="12" max="12" width="8.42578125" style="102" bestFit="1" customWidth="1"/>
    <col min="13" max="13" width="8" style="102" customWidth="1"/>
    <col min="14" max="14" width="11.5703125" style="102" bestFit="1" customWidth="1"/>
    <col min="15" max="15" width="16" style="102" bestFit="1" customWidth="1"/>
    <col min="16" max="16" width="10.42578125" style="102" customWidth="1"/>
    <col min="17" max="17" width="9.7109375" style="102" bestFit="1" customWidth="1"/>
    <col min="18" max="18" width="11.85546875" style="102" bestFit="1" customWidth="1"/>
    <col min="19" max="16384" width="9.140625" style="102"/>
  </cols>
  <sheetData>
    <row r="4" spans="1:25" x14ac:dyDescent="0.25">
      <c r="A4" s="59"/>
      <c r="B4" s="60" t="s">
        <v>88</v>
      </c>
      <c r="C4" s="61"/>
      <c r="D4" s="62">
        <f>C39-D39</f>
        <v>-6060</v>
      </c>
      <c r="E4" s="62"/>
      <c r="F4" s="62">
        <f>E39-F39</f>
        <v>11000</v>
      </c>
      <c r="G4" s="61"/>
      <c r="H4" s="62">
        <f>G39-H39</f>
        <v>-10690</v>
      </c>
      <c r="I4" s="62"/>
      <c r="J4" s="62">
        <f>I39-J39</f>
        <v>-5176</v>
      </c>
      <c r="K4" s="62"/>
      <c r="L4" s="62"/>
      <c r="M4" s="62"/>
      <c r="N4" s="62"/>
      <c r="O4" s="61"/>
      <c r="P4" s="62">
        <f>O39-P39</f>
        <v>-4520</v>
      </c>
      <c r="Q4" s="61"/>
      <c r="R4" s="62">
        <f>Q39-R39</f>
        <v>0</v>
      </c>
      <c r="S4" s="63"/>
      <c r="T4" s="101">
        <f>S39-T39</f>
        <v>-1.5474000000000103</v>
      </c>
      <c r="U4" s="51"/>
      <c r="V4" s="51"/>
      <c r="W4" s="51"/>
      <c r="X4" s="51"/>
      <c r="Y4" s="51"/>
    </row>
    <row r="5" spans="1:25" x14ac:dyDescent="0.25">
      <c r="A5" s="57"/>
      <c r="B5" s="65"/>
      <c r="C5" s="66" t="s">
        <v>89</v>
      </c>
      <c r="D5" s="67" t="s">
        <v>90</v>
      </c>
      <c r="E5" s="66" t="s">
        <v>89</v>
      </c>
      <c r="F5" s="67" t="s">
        <v>90</v>
      </c>
      <c r="G5" s="66" t="s">
        <v>89</v>
      </c>
      <c r="H5" s="67" t="s">
        <v>90</v>
      </c>
      <c r="I5" s="66" t="s">
        <v>89</v>
      </c>
      <c r="J5" s="67" t="s">
        <v>90</v>
      </c>
      <c r="K5" s="66" t="s">
        <v>89</v>
      </c>
      <c r="L5" s="67" t="s">
        <v>90</v>
      </c>
      <c r="M5" s="66" t="s">
        <v>89</v>
      </c>
      <c r="N5" s="67" t="s">
        <v>90</v>
      </c>
      <c r="O5" s="68" t="s">
        <v>89</v>
      </c>
      <c r="P5" s="69" t="s">
        <v>90</v>
      </c>
      <c r="Q5" s="68" t="s">
        <v>89</v>
      </c>
      <c r="R5" s="69" t="s">
        <v>90</v>
      </c>
      <c r="S5" s="134"/>
      <c r="T5" s="134"/>
      <c r="U5" s="51"/>
      <c r="V5" s="51"/>
      <c r="W5" s="51"/>
      <c r="X5" s="51"/>
      <c r="Y5" s="51"/>
    </row>
    <row r="6" spans="1:25" ht="45" x14ac:dyDescent="0.25">
      <c r="A6" s="70" t="s">
        <v>91</v>
      </c>
      <c r="B6" s="71" t="s">
        <v>92</v>
      </c>
      <c r="C6" s="72" t="s">
        <v>93</v>
      </c>
      <c r="D6" s="73" t="str">
        <f>C6</f>
        <v>Floral Bouquet 100 GM</v>
      </c>
      <c r="E6" s="72" t="s">
        <v>94</v>
      </c>
      <c r="F6" s="73" t="str">
        <f>E6</f>
        <v>Floral Bouquet 400 GM</v>
      </c>
      <c r="G6" s="74" t="s">
        <v>95</v>
      </c>
      <c r="H6" s="75" t="str">
        <f>G6</f>
        <v>Cooling Breeze 100 GM</v>
      </c>
      <c r="I6" s="74" t="s">
        <v>96</v>
      </c>
      <c r="J6" s="75" t="str">
        <f>I6</f>
        <v>Cooling Breeze 400 GM</v>
      </c>
      <c r="K6" s="72" t="s">
        <v>97</v>
      </c>
      <c r="L6" s="73" t="str">
        <f>K6</f>
        <v>Floral Bouquet 100 GM - Export</v>
      </c>
      <c r="M6" s="72" t="s">
        <v>98</v>
      </c>
      <c r="N6" s="73" t="str">
        <f>M6</f>
        <v>Floral Bouquet 400 GM - Export</v>
      </c>
      <c r="O6" s="74" t="s">
        <v>99</v>
      </c>
      <c r="P6" s="75" t="str">
        <f>O6</f>
        <v>Cooling Breeze 100 GM Export</v>
      </c>
      <c r="Q6" s="74" t="s">
        <v>100</v>
      </c>
      <c r="R6" s="75" t="str">
        <f>Q6</f>
        <v>Cooling Breeze 400 GM Export</v>
      </c>
      <c r="S6" s="71" t="s">
        <v>101</v>
      </c>
      <c r="T6" s="71" t="s">
        <v>102</v>
      </c>
      <c r="U6" s="76" t="s">
        <v>128</v>
      </c>
      <c r="V6" s="76" t="s">
        <v>129</v>
      </c>
      <c r="W6" s="76" t="s">
        <v>126</v>
      </c>
      <c r="X6" s="76" t="s">
        <v>127</v>
      </c>
      <c r="Y6" s="76" t="s">
        <v>165</v>
      </c>
    </row>
    <row r="7" spans="1:25" x14ac:dyDescent="0.25">
      <c r="A7" s="77">
        <v>42767</v>
      </c>
      <c r="B7" s="78" t="s">
        <v>103</v>
      </c>
      <c r="C7" s="79"/>
      <c r="D7" s="79"/>
      <c r="E7" s="79"/>
      <c r="F7" s="79"/>
      <c r="G7" s="79"/>
      <c r="H7" s="79"/>
      <c r="I7" s="79"/>
      <c r="J7" s="79"/>
      <c r="K7" s="80"/>
      <c r="L7" s="80"/>
      <c r="M7" s="80"/>
      <c r="N7" s="80"/>
      <c r="O7" s="81"/>
      <c r="P7" s="82"/>
      <c r="Q7" s="81"/>
      <c r="R7" s="83"/>
      <c r="S7" s="84">
        <f t="shared" ref="S7:T37" si="0">((C7*0.1)+(E7*0.4)+(G7*0.1)+(I7*0.4)+(K7*0.1)+(M7*0.4)+(O7*0.1)+(Q7*0.4))/1000</f>
        <v>0</v>
      </c>
      <c r="T7" s="84">
        <f t="shared" si="0"/>
        <v>0</v>
      </c>
      <c r="U7" s="51">
        <f>D7*100/1000/1000</f>
        <v>0</v>
      </c>
      <c r="V7" s="51">
        <f>F7*400/1000/1000</f>
        <v>0</v>
      </c>
      <c r="W7" s="51">
        <f>H7*100/1000/1000</f>
        <v>0</v>
      </c>
      <c r="X7" s="51">
        <f>J7*400/1000/1000</f>
        <v>0</v>
      </c>
      <c r="Y7" s="51">
        <f>P7*100/1000/1000</f>
        <v>0</v>
      </c>
    </row>
    <row r="8" spans="1:25" x14ac:dyDescent="0.25">
      <c r="A8" s="59">
        <f t="shared" ref="A8:A13" si="1">A7+1</f>
        <v>42768</v>
      </c>
      <c r="B8" s="78" t="s">
        <v>104</v>
      </c>
      <c r="C8" s="79"/>
      <c r="D8" s="79"/>
      <c r="E8" s="79"/>
      <c r="F8" s="79"/>
      <c r="G8" s="79"/>
      <c r="H8" s="85">
        <v>5950</v>
      </c>
      <c r="I8" s="79"/>
      <c r="J8" s="79"/>
      <c r="K8" s="80"/>
      <c r="L8" s="80"/>
      <c r="M8" s="80"/>
      <c r="N8" s="80"/>
      <c r="O8" s="81"/>
      <c r="P8" s="81"/>
      <c r="Q8" s="81"/>
      <c r="R8" s="81"/>
      <c r="S8" s="84">
        <f t="shared" si="0"/>
        <v>0</v>
      </c>
      <c r="T8" s="84">
        <f t="shared" si="0"/>
        <v>0.59499999999999997</v>
      </c>
      <c r="U8" s="51">
        <f t="shared" ref="U8:U38" si="2">D8*100/1000/1000</f>
        <v>0</v>
      </c>
      <c r="V8" s="51">
        <f t="shared" ref="V8:V38" si="3">F8*400/1000/1000</f>
        <v>0</v>
      </c>
      <c r="W8" s="51">
        <f t="shared" ref="W8:W38" si="4">H8*100/1000/1000</f>
        <v>0.59499999999999997</v>
      </c>
      <c r="X8" s="51">
        <f t="shared" ref="X8:X38" si="5">J8*400/1000/1000</f>
        <v>0</v>
      </c>
      <c r="Y8" s="51">
        <f t="shared" ref="Y8:Y38" si="6">P8*100/1000/1000</f>
        <v>0</v>
      </c>
    </row>
    <row r="9" spans="1:25" x14ac:dyDescent="0.25">
      <c r="A9" s="77">
        <f t="shared" si="1"/>
        <v>42769</v>
      </c>
      <c r="B9" s="78" t="s">
        <v>105</v>
      </c>
      <c r="C9" s="79"/>
      <c r="D9" s="79"/>
      <c r="E9" s="79"/>
      <c r="F9" s="79"/>
      <c r="G9" s="79">
        <v>10000</v>
      </c>
      <c r="H9" s="85">
        <v>24395</v>
      </c>
      <c r="I9" s="79">
        <v>7000</v>
      </c>
      <c r="J9" s="85">
        <v>6000</v>
      </c>
      <c r="K9" s="80"/>
      <c r="L9" s="80"/>
      <c r="M9" s="80"/>
      <c r="N9" s="80"/>
      <c r="O9" s="81"/>
      <c r="P9" s="82"/>
      <c r="Q9" s="81"/>
      <c r="R9" s="83"/>
      <c r="S9" s="84">
        <f t="shared" si="0"/>
        <v>3.8</v>
      </c>
      <c r="T9" s="84">
        <f t="shared" si="0"/>
        <v>4.8395000000000001</v>
      </c>
      <c r="U9" s="51">
        <f t="shared" si="2"/>
        <v>0</v>
      </c>
      <c r="V9" s="51">
        <f t="shared" si="3"/>
        <v>0</v>
      </c>
      <c r="W9" s="51">
        <f t="shared" si="4"/>
        <v>2.4394999999999998</v>
      </c>
      <c r="X9" s="51">
        <f t="shared" si="5"/>
        <v>2.4</v>
      </c>
      <c r="Y9" s="51">
        <f t="shared" si="6"/>
        <v>0</v>
      </c>
    </row>
    <row r="10" spans="1:25" x14ac:dyDescent="0.25">
      <c r="A10" s="59">
        <f t="shared" si="1"/>
        <v>42770</v>
      </c>
      <c r="B10" s="78" t="s">
        <v>106</v>
      </c>
      <c r="C10" s="79"/>
      <c r="D10" s="79"/>
      <c r="E10" s="79"/>
      <c r="F10" s="79"/>
      <c r="G10" s="79">
        <v>15000</v>
      </c>
      <c r="H10" s="85">
        <v>26670</v>
      </c>
      <c r="I10" s="79">
        <v>10000</v>
      </c>
      <c r="J10" s="85">
        <v>11448</v>
      </c>
      <c r="K10" s="80"/>
      <c r="L10" s="80"/>
      <c r="M10" s="80"/>
      <c r="N10" s="86"/>
      <c r="O10" s="86"/>
      <c r="P10" s="86"/>
      <c r="Q10" s="86"/>
      <c r="R10" s="86"/>
      <c r="S10" s="87">
        <f t="shared" si="0"/>
        <v>5.5</v>
      </c>
      <c r="T10" s="87">
        <f t="shared" si="0"/>
        <v>7.2462</v>
      </c>
      <c r="U10" s="51">
        <f t="shared" si="2"/>
        <v>0</v>
      </c>
      <c r="V10" s="51">
        <f t="shared" si="3"/>
        <v>0</v>
      </c>
      <c r="W10" s="51">
        <f t="shared" si="4"/>
        <v>2.6669999999999998</v>
      </c>
      <c r="X10" s="51">
        <f t="shared" si="5"/>
        <v>4.5792000000000002</v>
      </c>
      <c r="Y10" s="51">
        <f t="shared" si="6"/>
        <v>0</v>
      </c>
    </row>
    <row r="11" spans="1:25" x14ac:dyDescent="0.25">
      <c r="A11" s="59">
        <f>A10+1</f>
        <v>42771</v>
      </c>
      <c r="B11" s="78" t="s">
        <v>107</v>
      </c>
      <c r="C11" s="79"/>
      <c r="D11" s="79"/>
      <c r="E11" s="79"/>
      <c r="F11" s="79"/>
      <c r="G11" s="79">
        <v>25000</v>
      </c>
      <c r="H11" s="85">
        <v>26775</v>
      </c>
      <c r="I11" s="79">
        <v>10000</v>
      </c>
      <c r="J11" s="85">
        <v>10656</v>
      </c>
      <c r="K11" s="80"/>
      <c r="L11" s="80"/>
      <c r="M11" s="80"/>
      <c r="N11" s="86"/>
      <c r="O11" s="81"/>
      <c r="P11" s="83"/>
      <c r="Q11" s="81"/>
      <c r="R11" s="83"/>
      <c r="S11" s="84">
        <f t="shared" si="0"/>
        <v>6.5</v>
      </c>
      <c r="T11" s="84">
        <f t="shared" si="0"/>
        <v>6.9399000000000006</v>
      </c>
      <c r="U11" s="51">
        <f t="shared" si="2"/>
        <v>0</v>
      </c>
      <c r="V11" s="51">
        <f t="shared" si="3"/>
        <v>0</v>
      </c>
      <c r="W11" s="51">
        <f t="shared" si="4"/>
        <v>2.6775000000000002</v>
      </c>
      <c r="X11" s="51">
        <f t="shared" si="5"/>
        <v>4.2623999999999995</v>
      </c>
      <c r="Y11" s="51">
        <f t="shared" si="6"/>
        <v>0</v>
      </c>
    </row>
    <row r="12" spans="1:25" x14ac:dyDescent="0.25">
      <c r="A12" s="77">
        <f t="shared" si="1"/>
        <v>42772</v>
      </c>
      <c r="B12" s="78" t="s">
        <v>108</v>
      </c>
      <c r="C12" s="79"/>
      <c r="D12" s="79"/>
      <c r="E12" s="79"/>
      <c r="F12" s="79"/>
      <c r="G12" s="79">
        <v>25000</v>
      </c>
      <c r="H12" s="85">
        <v>9800</v>
      </c>
      <c r="I12" s="79">
        <v>10000</v>
      </c>
      <c r="J12" s="85">
        <v>8880</v>
      </c>
      <c r="K12" s="80"/>
      <c r="L12" s="80"/>
      <c r="M12" s="80"/>
      <c r="N12" s="86"/>
      <c r="O12" s="83"/>
      <c r="P12" s="83"/>
      <c r="Q12" s="83"/>
      <c r="R12" s="83"/>
      <c r="S12" s="84">
        <f t="shared" si="0"/>
        <v>6.5</v>
      </c>
      <c r="T12" s="84">
        <f t="shared" si="0"/>
        <v>4.532</v>
      </c>
      <c r="U12" s="51">
        <f t="shared" si="2"/>
        <v>0</v>
      </c>
      <c r="V12" s="51">
        <f t="shared" si="3"/>
        <v>0</v>
      </c>
      <c r="W12" s="51">
        <f t="shared" si="4"/>
        <v>0.98</v>
      </c>
      <c r="X12" s="51">
        <f t="shared" si="5"/>
        <v>3.552</v>
      </c>
      <c r="Y12" s="51">
        <f t="shared" si="6"/>
        <v>0</v>
      </c>
    </row>
    <row r="13" spans="1:25" x14ac:dyDescent="0.25">
      <c r="A13" s="59">
        <f t="shared" si="1"/>
        <v>42773</v>
      </c>
      <c r="B13" s="78" t="s">
        <v>110</v>
      </c>
      <c r="C13" s="79"/>
      <c r="D13" s="79"/>
      <c r="E13" s="79"/>
      <c r="F13" s="79"/>
      <c r="G13" s="79">
        <v>25000</v>
      </c>
      <c r="H13" s="85">
        <v>6580</v>
      </c>
      <c r="I13" s="79">
        <v>10000</v>
      </c>
      <c r="J13" s="85">
        <v>9168</v>
      </c>
      <c r="K13" s="80"/>
      <c r="L13" s="80"/>
      <c r="M13" s="80"/>
      <c r="N13" s="86"/>
      <c r="O13" s="83"/>
      <c r="P13" s="83"/>
      <c r="Q13" s="83"/>
      <c r="R13" s="83"/>
      <c r="S13" s="84">
        <f t="shared" si="0"/>
        <v>6.5</v>
      </c>
      <c r="T13" s="84">
        <f t="shared" si="0"/>
        <v>4.3252000000000006</v>
      </c>
      <c r="U13" s="51">
        <f t="shared" si="2"/>
        <v>0</v>
      </c>
      <c r="V13" s="51">
        <f t="shared" si="3"/>
        <v>0</v>
      </c>
      <c r="W13" s="51">
        <f t="shared" si="4"/>
        <v>0.65800000000000003</v>
      </c>
      <c r="X13" s="51">
        <f t="shared" si="5"/>
        <v>3.6671999999999998</v>
      </c>
      <c r="Y13" s="51">
        <f t="shared" si="6"/>
        <v>0</v>
      </c>
    </row>
    <row r="14" spans="1:25" x14ac:dyDescent="0.25">
      <c r="A14" s="77">
        <f>A13+1</f>
        <v>42774</v>
      </c>
      <c r="B14" s="78" t="s">
        <v>103</v>
      </c>
      <c r="C14" s="79">
        <v>5000</v>
      </c>
      <c r="D14" s="85">
        <v>12950</v>
      </c>
      <c r="E14" s="79">
        <v>5000</v>
      </c>
      <c r="F14" s="85">
        <v>3840</v>
      </c>
      <c r="G14" s="79"/>
      <c r="H14" s="79"/>
      <c r="I14" s="79"/>
      <c r="J14" s="79"/>
      <c r="K14" s="80"/>
      <c r="L14" s="80"/>
      <c r="M14" s="80"/>
      <c r="N14" s="80"/>
      <c r="O14" s="80"/>
      <c r="P14" s="80"/>
      <c r="Q14" s="80"/>
      <c r="R14" s="80"/>
      <c r="S14" s="84">
        <f t="shared" si="0"/>
        <v>2.5</v>
      </c>
      <c r="T14" s="84">
        <f t="shared" si="0"/>
        <v>2.831</v>
      </c>
      <c r="U14" s="51">
        <f t="shared" si="2"/>
        <v>1.2949999999999999</v>
      </c>
      <c r="V14" s="51">
        <f t="shared" si="3"/>
        <v>1.536</v>
      </c>
      <c r="W14" s="51">
        <f t="shared" si="4"/>
        <v>0</v>
      </c>
      <c r="X14" s="51">
        <f t="shared" si="5"/>
        <v>0</v>
      </c>
      <c r="Y14" s="51">
        <f t="shared" si="6"/>
        <v>0</v>
      </c>
    </row>
    <row r="15" spans="1:25" x14ac:dyDescent="0.25">
      <c r="A15" s="59">
        <f t="shared" ref="A15:A20" si="7">A14+1</f>
        <v>42775</v>
      </c>
      <c r="B15" s="78" t="s">
        <v>104</v>
      </c>
      <c r="C15" s="79">
        <v>25000</v>
      </c>
      <c r="D15" s="85">
        <v>27825</v>
      </c>
      <c r="E15" s="79">
        <v>10000</v>
      </c>
      <c r="F15" s="85">
        <v>8400</v>
      </c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6.5</v>
      </c>
      <c r="T15" s="84">
        <f t="shared" si="0"/>
        <v>6.1425000000000001</v>
      </c>
      <c r="U15" s="51">
        <f t="shared" si="2"/>
        <v>2.7825000000000002</v>
      </c>
      <c r="V15" s="51">
        <f t="shared" si="3"/>
        <v>3.36</v>
      </c>
      <c r="W15" s="51">
        <f t="shared" si="4"/>
        <v>0</v>
      </c>
      <c r="X15" s="51">
        <f t="shared" si="5"/>
        <v>0</v>
      </c>
      <c r="Y15" s="51">
        <f t="shared" si="6"/>
        <v>0</v>
      </c>
    </row>
    <row r="16" spans="1:25" x14ac:dyDescent="0.25">
      <c r="A16" s="77">
        <f>A15+1</f>
        <v>42776</v>
      </c>
      <c r="B16" s="78" t="s">
        <v>105</v>
      </c>
      <c r="C16" s="79">
        <v>25000</v>
      </c>
      <c r="D16" s="85">
        <v>28700</v>
      </c>
      <c r="E16" s="79">
        <v>10000</v>
      </c>
      <c r="F16" s="85">
        <v>9360</v>
      </c>
      <c r="G16" s="79"/>
      <c r="H16" s="79"/>
      <c r="I16" s="79"/>
      <c r="J16" s="79"/>
      <c r="K16" s="80"/>
      <c r="L16" s="80"/>
      <c r="M16" s="86"/>
      <c r="N16" s="86"/>
      <c r="O16" s="81"/>
      <c r="P16" s="81"/>
      <c r="Q16" s="81"/>
      <c r="R16" s="81"/>
      <c r="S16" s="84">
        <f t="shared" si="0"/>
        <v>6.5</v>
      </c>
      <c r="T16" s="84">
        <f t="shared" si="0"/>
        <v>6.6139999999999999</v>
      </c>
      <c r="U16" s="51">
        <f t="shared" si="2"/>
        <v>2.87</v>
      </c>
      <c r="V16" s="51">
        <f t="shared" si="3"/>
        <v>3.7440000000000002</v>
      </c>
      <c r="W16" s="51">
        <f t="shared" si="4"/>
        <v>0</v>
      </c>
      <c r="X16" s="51">
        <f t="shared" si="5"/>
        <v>0</v>
      </c>
      <c r="Y16" s="51">
        <f t="shared" si="6"/>
        <v>0</v>
      </c>
    </row>
    <row r="17" spans="1:25" x14ac:dyDescent="0.25">
      <c r="A17" s="59">
        <f t="shared" si="7"/>
        <v>42777</v>
      </c>
      <c r="B17" s="78" t="s">
        <v>106</v>
      </c>
      <c r="C17" s="79">
        <v>45000</v>
      </c>
      <c r="D17" s="85">
        <v>39375</v>
      </c>
      <c r="E17" s="79">
        <v>10000</v>
      </c>
      <c r="F17" s="85">
        <v>2400</v>
      </c>
      <c r="G17" s="79"/>
      <c r="H17" s="79"/>
      <c r="I17" s="79"/>
      <c r="J17" s="79"/>
      <c r="K17" s="80"/>
      <c r="L17" s="80"/>
      <c r="M17" s="81"/>
      <c r="N17" s="86"/>
      <c r="O17" s="80"/>
      <c r="P17" s="80"/>
      <c r="Q17" s="80"/>
      <c r="R17" s="80"/>
      <c r="S17" s="84">
        <f t="shared" si="0"/>
        <v>8.5</v>
      </c>
      <c r="T17" s="87">
        <f t="shared" si="0"/>
        <v>4.8975</v>
      </c>
      <c r="U17" s="51">
        <f t="shared" si="2"/>
        <v>3.9375</v>
      </c>
      <c r="V17" s="51">
        <f t="shared" si="3"/>
        <v>0.96</v>
      </c>
      <c r="W17" s="51">
        <f t="shared" si="4"/>
        <v>0</v>
      </c>
      <c r="X17" s="51">
        <f t="shared" si="5"/>
        <v>0</v>
      </c>
      <c r="Y17" s="51">
        <f t="shared" si="6"/>
        <v>0</v>
      </c>
    </row>
    <row r="18" spans="1:25" x14ac:dyDescent="0.25">
      <c r="A18" s="59">
        <f t="shared" si="7"/>
        <v>42778</v>
      </c>
      <c r="B18" s="78" t="s">
        <v>107</v>
      </c>
      <c r="C18" s="79">
        <v>45000</v>
      </c>
      <c r="D18" s="85">
        <v>48335</v>
      </c>
      <c r="E18" s="79"/>
      <c r="F18" s="85"/>
      <c r="G18" s="79"/>
      <c r="H18" s="79"/>
      <c r="I18" s="79"/>
      <c r="J18" s="79"/>
      <c r="K18" s="80"/>
      <c r="L18" s="80"/>
      <c r="M18" s="86"/>
      <c r="N18" s="86"/>
      <c r="O18" s="81"/>
      <c r="P18" s="81"/>
      <c r="Q18" s="81"/>
      <c r="R18" s="81"/>
      <c r="S18" s="84">
        <f t="shared" si="0"/>
        <v>4.5</v>
      </c>
      <c r="T18" s="84">
        <f t="shared" si="0"/>
        <v>4.8334999999999999</v>
      </c>
      <c r="U18" s="51">
        <f t="shared" si="2"/>
        <v>4.8334999999999999</v>
      </c>
      <c r="V18" s="51">
        <f t="shared" si="3"/>
        <v>0</v>
      </c>
      <c r="W18" s="51">
        <f t="shared" si="4"/>
        <v>0</v>
      </c>
      <c r="X18" s="51">
        <f t="shared" si="5"/>
        <v>0</v>
      </c>
      <c r="Y18" s="51">
        <f t="shared" si="6"/>
        <v>0</v>
      </c>
    </row>
    <row r="19" spans="1:25" x14ac:dyDescent="0.25">
      <c r="A19" s="77">
        <f t="shared" si="7"/>
        <v>42779</v>
      </c>
      <c r="B19" s="78" t="s">
        <v>108</v>
      </c>
      <c r="C19" s="79">
        <v>5000</v>
      </c>
      <c r="D19" s="79"/>
      <c r="E19" s="79"/>
      <c r="F19" s="85"/>
      <c r="G19" s="79"/>
      <c r="H19" s="79"/>
      <c r="I19" s="79"/>
      <c r="J19" s="79"/>
      <c r="K19" s="80"/>
      <c r="L19" s="80"/>
      <c r="M19" s="86"/>
      <c r="N19" s="86"/>
      <c r="O19" s="81"/>
      <c r="P19" s="81"/>
      <c r="Q19" s="81"/>
      <c r="R19" s="81"/>
      <c r="S19" s="84">
        <f t="shared" si="0"/>
        <v>0.5</v>
      </c>
      <c r="T19" s="84">
        <f t="shared" si="0"/>
        <v>0</v>
      </c>
      <c r="U19" s="51">
        <f t="shared" si="2"/>
        <v>0</v>
      </c>
      <c r="V19" s="51">
        <f t="shared" si="3"/>
        <v>0</v>
      </c>
      <c r="W19" s="51">
        <f t="shared" si="4"/>
        <v>0</v>
      </c>
      <c r="X19" s="51">
        <f t="shared" si="5"/>
        <v>0</v>
      </c>
      <c r="Y19" s="51">
        <f t="shared" si="6"/>
        <v>0</v>
      </c>
    </row>
    <row r="20" spans="1:25" x14ac:dyDescent="0.25">
      <c r="A20" s="59">
        <f t="shared" si="7"/>
        <v>42780</v>
      </c>
      <c r="B20" s="78" t="s">
        <v>110</v>
      </c>
      <c r="C20" s="79"/>
      <c r="D20" s="85"/>
      <c r="E20" s="79"/>
      <c r="F20" s="85"/>
      <c r="G20" s="79"/>
      <c r="H20" s="79"/>
      <c r="I20" s="79"/>
      <c r="J20" s="79"/>
      <c r="K20" s="80"/>
      <c r="L20" s="80"/>
      <c r="M20" s="86"/>
      <c r="N20" s="86"/>
      <c r="O20" s="81"/>
      <c r="P20" s="86"/>
      <c r="Q20" s="81"/>
      <c r="R20" s="83"/>
      <c r="S20" s="84">
        <f t="shared" si="0"/>
        <v>0</v>
      </c>
      <c r="T20" s="84">
        <f t="shared" si="0"/>
        <v>0</v>
      </c>
      <c r="U20" s="51">
        <f t="shared" si="2"/>
        <v>0</v>
      </c>
      <c r="V20" s="51">
        <f t="shared" si="3"/>
        <v>0</v>
      </c>
      <c r="W20" s="51">
        <f t="shared" si="4"/>
        <v>0</v>
      </c>
      <c r="X20" s="51">
        <f t="shared" si="5"/>
        <v>0</v>
      </c>
      <c r="Y20" s="51">
        <f t="shared" si="6"/>
        <v>0</v>
      </c>
    </row>
    <row r="21" spans="1:25" x14ac:dyDescent="0.25">
      <c r="A21" s="77">
        <f>A20+1</f>
        <v>42781</v>
      </c>
      <c r="B21" s="78" t="s">
        <v>103</v>
      </c>
      <c r="C21" s="88"/>
      <c r="D21" s="85"/>
      <c r="E21" s="85"/>
      <c r="F21" s="85"/>
      <c r="G21" s="88"/>
      <c r="H21" s="88"/>
      <c r="I21" s="88"/>
      <c r="J21" s="88"/>
      <c r="K21" s="80"/>
      <c r="L21" s="86"/>
      <c r="M21" s="81"/>
      <c r="N21" s="86"/>
      <c r="O21" s="81"/>
      <c r="P21" s="83"/>
      <c r="Q21" s="81"/>
      <c r="R21" s="83"/>
      <c r="S21" s="84">
        <f t="shared" si="0"/>
        <v>0</v>
      </c>
      <c r="T21" s="84">
        <f t="shared" si="0"/>
        <v>0</v>
      </c>
      <c r="U21" s="51">
        <f t="shared" si="2"/>
        <v>0</v>
      </c>
      <c r="V21" s="51">
        <f t="shared" si="3"/>
        <v>0</v>
      </c>
      <c r="W21" s="51">
        <f t="shared" si="4"/>
        <v>0</v>
      </c>
      <c r="X21" s="51">
        <f t="shared" si="5"/>
        <v>0</v>
      </c>
      <c r="Y21" s="51">
        <f t="shared" si="6"/>
        <v>0</v>
      </c>
    </row>
    <row r="22" spans="1:25" x14ac:dyDescent="0.25">
      <c r="A22" s="59">
        <f t="shared" ref="A22:A27" si="8">A21+1</f>
        <v>42782</v>
      </c>
      <c r="B22" s="78" t="s">
        <v>104</v>
      </c>
      <c r="C22" s="88"/>
      <c r="D22" s="85"/>
      <c r="E22" s="85"/>
      <c r="F22" s="79"/>
      <c r="G22" s="88"/>
      <c r="H22" s="85"/>
      <c r="I22" s="88"/>
      <c r="J22" s="85"/>
      <c r="K22" s="80"/>
      <c r="L22" s="86"/>
      <c r="M22" s="86"/>
      <c r="N22" s="86"/>
      <c r="O22" s="81"/>
      <c r="P22" s="82"/>
      <c r="Q22" s="81"/>
      <c r="R22" s="83"/>
      <c r="S22" s="84">
        <f t="shared" si="0"/>
        <v>0</v>
      </c>
      <c r="T22" s="84">
        <f t="shared" si="0"/>
        <v>0</v>
      </c>
      <c r="U22" s="51">
        <f t="shared" si="2"/>
        <v>0</v>
      </c>
      <c r="V22" s="51">
        <f t="shared" si="3"/>
        <v>0</v>
      </c>
      <c r="W22" s="51">
        <f t="shared" si="4"/>
        <v>0</v>
      </c>
      <c r="X22" s="51">
        <f t="shared" si="5"/>
        <v>0</v>
      </c>
      <c r="Y22" s="51">
        <f t="shared" si="6"/>
        <v>0</v>
      </c>
    </row>
    <row r="23" spans="1:25" x14ac:dyDescent="0.25">
      <c r="A23" s="77">
        <f t="shared" si="8"/>
        <v>42783</v>
      </c>
      <c r="B23" s="78" t="s">
        <v>105</v>
      </c>
      <c r="C23" s="88"/>
      <c r="D23" s="85"/>
      <c r="E23" s="88"/>
      <c r="F23" s="79"/>
      <c r="G23" s="88"/>
      <c r="H23" s="88"/>
      <c r="I23" s="88"/>
      <c r="J23" s="88"/>
      <c r="K23" s="80"/>
      <c r="L23" s="86"/>
      <c r="M23" s="80"/>
      <c r="N23" s="81"/>
      <c r="O23" s="81"/>
      <c r="P23" s="82"/>
      <c r="Q23" s="81"/>
      <c r="R23" s="83"/>
      <c r="S23" s="84">
        <f t="shared" si="0"/>
        <v>0</v>
      </c>
      <c r="T23" s="84">
        <f t="shared" si="0"/>
        <v>0</v>
      </c>
      <c r="U23" s="51">
        <f t="shared" si="2"/>
        <v>0</v>
      </c>
      <c r="V23" s="51">
        <f t="shared" si="3"/>
        <v>0</v>
      </c>
      <c r="W23" s="51">
        <f t="shared" si="4"/>
        <v>0</v>
      </c>
      <c r="X23" s="51">
        <f t="shared" si="5"/>
        <v>0</v>
      </c>
      <c r="Y23" s="51">
        <f t="shared" si="6"/>
        <v>0</v>
      </c>
    </row>
    <row r="24" spans="1:25" x14ac:dyDescent="0.25">
      <c r="A24" s="59">
        <f t="shared" si="8"/>
        <v>42784</v>
      </c>
      <c r="B24" s="78" t="s">
        <v>106</v>
      </c>
      <c r="C24" s="88"/>
      <c r="D24" s="88"/>
      <c r="E24" s="88"/>
      <c r="F24" s="88"/>
      <c r="G24" s="88"/>
      <c r="H24" s="88"/>
      <c r="I24" s="88"/>
      <c r="J24" s="88"/>
      <c r="K24" s="80"/>
      <c r="L24" s="86"/>
      <c r="M24" s="80"/>
      <c r="N24" s="81"/>
      <c r="O24" s="81">
        <v>17500</v>
      </c>
      <c r="P24" s="86">
        <v>16345</v>
      </c>
      <c r="Q24" s="81"/>
      <c r="R24" s="81"/>
      <c r="S24" s="87">
        <f t="shared" si="0"/>
        <v>1.75</v>
      </c>
      <c r="T24" s="87">
        <f t="shared" si="0"/>
        <v>1.6345000000000001</v>
      </c>
      <c r="U24" s="51">
        <f t="shared" si="2"/>
        <v>0</v>
      </c>
      <c r="V24" s="51">
        <f t="shared" si="3"/>
        <v>0</v>
      </c>
      <c r="W24" s="51">
        <f t="shared" si="4"/>
        <v>0</v>
      </c>
      <c r="X24" s="51">
        <f t="shared" si="5"/>
        <v>0</v>
      </c>
      <c r="Y24" s="51">
        <f t="shared" si="6"/>
        <v>1.6345000000000001</v>
      </c>
    </row>
    <row r="25" spans="1:25" x14ac:dyDescent="0.25">
      <c r="A25" s="59">
        <f t="shared" si="8"/>
        <v>42785</v>
      </c>
      <c r="B25" s="78" t="s">
        <v>107</v>
      </c>
      <c r="C25" s="88"/>
      <c r="D25" s="88"/>
      <c r="E25" s="88"/>
      <c r="F25" s="88"/>
      <c r="G25" s="88"/>
      <c r="H25" s="88"/>
      <c r="I25" s="88"/>
      <c r="J25" s="88"/>
      <c r="K25" s="80"/>
      <c r="L25" s="86"/>
      <c r="M25" s="80"/>
      <c r="N25" s="81"/>
      <c r="O25" s="81">
        <v>25000</v>
      </c>
      <c r="P25" s="86">
        <v>26775</v>
      </c>
      <c r="Q25" s="81"/>
      <c r="R25" s="86"/>
      <c r="S25" s="87">
        <f t="shared" si="0"/>
        <v>2.5</v>
      </c>
      <c r="T25" s="87">
        <f t="shared" si="0"/>
        <v>2.6775000000000002</v>
      </c>
      <c r="U25" s="51">
        <f t="shared" si="2"/>
        <v>0</v>
      </c>
      <c r="V25" s="51">
        <f t="shared" si="3"/>
        <v>0</v>
      </c>
      <c r="W25" s="51">
        <f t="shared" si="4"/>
        <v>0</v>
      </c>
      <c r="X25" s="51">
        <f t="shared" si="5"/>
        <v>0</v>
      </c>
      <c r="Y25" s="51">
        <f t="shared" si="6"/>
        <v>2.6775000000000002</v>
      </c>
    </row>
    <row r="26" spans="1:25" x14ac:dyDescent="0.25">
      <c r="A26" s="77">
        <f t="shared" si="8"/>
        <v>42786</v>
      </c>
      <c r="B26" s="78" t="s">
        <v>108</v>
      </c>
      <c r="C26" s="88"/>
      <c r="D26" s="88"/>
      <c r="E26" s="88"/>
      <c r="F26" s="88"/>
      <c r="G26" s="88"/>
      <c r="H26" s="88"/>
      <c r="I26" s="88"/>
      <c r="J26" s="88"/>
      <c r="K26" s="81"/>
      <c r="L26" s="86"/>
      <c r="M26" s="80"/>
      <c r="N26" s="81"/>
      <c r="O26" s="81">
        <v>25000</v>
      </c>
      <c r="P26" s="86">
        <v>27230</v>
      </c>
      <c r="Q26" s="81"/>
      <c r="R26" s="86"/>
      <c r="S26" s="87">
        <f t="shared" si="0"/>
        <v>2.5</v>
      </c>
      <c r="T26" s="87">
        <f t="shared" si="0"/>
        <v>2.7229999999999999</v>
      </c>
      <c r="U26" s="51">
        <f t="shared" si="2"/>
        <v>0</v>
      </c>
      <c r="V26" s="51">
        <f t="shared" si="3"/>
        <v>0</v>
      </c>
      <c r="W26" s="51">
        <f t="shared" si="4"/>
        <v>0</v>
      </c>
      <c r="X26" s="51">
        <f t="shared" si="5"/>
        <v>0</v>
      </c>
      <c r="Y26" s="51">
        <f t="shared" si="6"/>
        <v>2.7229999999999999</v>
      </c>
    </row>
    <row r="27" spans="1:25" x14ac:dyDescent="0.25">
      <c r="A27" s="59">
        <f t="shared" si="8"/>
        <v>42787</v>
      </c>
      <c r="B27" s="78" t="s">
        <v>110</v>
      </c>
      <c r="C27" s="88"/>
      <c r="D27" s="88"/>
      <c r="E27" s="88"/>
      <c r="F27" s="88"/>
      <c r="G27" s="88"/>
      <c r="H27" s="85">
        <v>5250</v>
      </c>
      <c r="I27" s="88"/>
      <c r="J27" s="88"/>
      <c r="K27" s="81"/>
      <c r="L27" s="86"/>
      <c r="M27" s="80"/>
      <c r="N27" s="81"/>
      <c r="O27" s="81">
        <v>25000</v>
      </c>
      <c r="P27" s="86">
        <v>22750</v>
      </c>
      <c r="Q27" s="81"/>
      <c r="R27" s="86"/>
      <c r="S27" s="87">
        <f t="shared" si="0"/>
        <v>2.5</v>
      </c>
      <c r="T27" s="87">
        <f t="shared" si="0"/>
        <v>2.8</v>
      </c>
      <c r="U27" s="51">
        <f t="shared" si="2"/>
        <v>0</v>
      </c>
      <c r="V27" s="51">
        <f t="shared" si="3"/>
        <v>0</v>
      </c>
      <c r="W27" s="51">
        <f t="shared" si="4"/>
        <v>0.52500000000000002</v>
      </c>
      <c r="X27" s="51">
        <f t="shared" si="5"/>
        <v>0</v>
      </c>
      <c r="Y27" s="51">
        <f t="shared" si="6"/>
        <v>2.2749999999999999</v>
      </c>
    </row>
    <row r="28" spans="1:25" x14ac:dyDescent="0.25">
      <c r="A28" s="77">
        <f>A27+1</f>
        <v>42788</v>
      </c>
      <c r="B28" s="78" t="s">
        <v>103</v>
      </c>
      <c r="C28" s="88"/>
      <c r="D28" s="88"/>
      <c r="E28" s="88"/>
      <c r="F28" s="88"/>
      <c r="G28" s="88">
        <v>25000</v>
      </c>
      <c r="H28" s="85">
        <v>17745</v>
      </c>
      <c r="I28" s="88"/>
      <c r="J28" s="85">
        <v>4848</v>
      </c>
      <c r="K28" s="80"/>
      <c r="L28" s="86"/>
      <c r="M28" s="80"/>
      <c r="N28" s="81"/>
      <c r="O28" s="81"/>
      <c r="P28" s="86"/>
      <c r="Q28" s="81"/>
      <c r="R28" s="81"/>
      <c r="S28" s="87">
        <f t="shared" si="0"/>
        <v>2.5</v>
      </c>
      <c r="T28" s="87">
        <f t="shared" si="0"/>
        <v>3.7136999999999998</v>
      </c>
      <c r="U28" s="51">
        <f t="shared" si="2"/>
        <v>0</v>
      </c>
      <c r="V28" s="51">
        <f t="shared" si="3"/>
        <v>0</v>
      </c>
      <c r="W28" s="51">
        <f t="shared" si="4"/>
        <v>1.7745</v>
      </c>
      <c r="X28" s="51">
        <f t="shared" si="5"/>
        <v>1.9392</v>
      </c>
      <c r="Y28" s="51">
        <f t="shared" si="6"/>
        <v>0</v>
      </c>
    </row>
    <row r="29" spans="1:25" x14ac:dyDescent="0.25">
      <c r="A29" s="59">
        <f t="shared" ref="A29:A34" si="9">A28+1</f>
        <v>42789</v>
      </c>
      <c r="B29" s="78" t="s">
        <v>104</v>
      </c>
      <c r="C29" s="88"/>
      <c r="D29" s="88"/>
      <c r="E29" s="88"/>
      <c r="F29" s="88"/>
      <c r="G29" s="88">
        <v>25000</v>
      </c>
      <c r="H29" s="85">
        <v>20020</v>
      </c>
      <c r="I29" s="88"/>
      <c r="J29" s="85">
        <v>1176</v>
      </c>
      <c r="K29" s="80"/>
      <c r="L29" s="86"/>
      <c r="M29" s="80"/>
      <c r="N29" s="81"/>
      <c r="O29" s="81"/>
      <c r="P29" s="81"/>
      <c r="Q29" s="81"/>
      <c r="R29" s="81"/>
      <c r="S29" s="87">
        <f t="shared" si="0"/>
        <v>2.5</v>
      </c>
      <c r="T29" s="87">
        <f t="shared" si="0"/>
        <v>2.4723999999999999</v>
      </c>
      <c r="U29" s="51">
        <f t="shared" si="2"/>
        <v>0</v>
      </c>
      <c r="V29" s="51">
        <f t="shared" si="3"/>
        <v>0</v>
      </c>
      <c r="W29" s="51">
        <f t="shared" si="4"/>
        <v>2.0019999999999998</v>
      </c>
      <c r="X29" s="51">
        <f t="shared" si="5"/>
        <v>0.47039999999999998</v>
      </c>
      <c r="Y29" s="51">
        <f t="shared" si="6"/>
        <v>0</v>
      </c>
    </row>
    <row r="30" spans="1:25" x14ac:dyDescent="0.25">
      <c r="A30" s="77">
        <f t="shared" si="9"/>
        <v>42790</v>
      </c>
      <c r="B30" s="78" t="s">
        <v>105</v>
      </c>
      <c r="C30" s="88"/>
      <c r="D30" s="88"/>
      <c r="E30" s="88"/>
      <c r="F30" s="85"/>
      <c r="G30" s="88">
        <v>5000</v>
      </c>
      <c r="H30" s="85">
        <v>19740</v>
      </c>
      <c r="I30" s="88"/>
      <c r="J30" s="85"/>
      <c r="K30" s="80"/>
      <c r="L30" s="81"/>
      <c r="M30" s="81"/>
      <c r="N30" s="81"/>
      <c r="O30" s="81"/>
      <c r="P30" s="81"/>
      <c r="Q30" s="81"/>
      <c r="R30" s="81"/>
      <c r="S30" s="87">
        <f t="shared" si="0"/>
        <v>0.5</v>
      </c>
      <c r="T30" s="87">
        <f t="shared" si="0"/>
        <v>1.974</v>
      </c>
      <c r="U30" s="51">
        <f t="shared" si="2"/>
        <v>0</v>
      </c>
      <c r="V30" s="51">
        <f t="shared" si="3"/>
        <v>0</v>
      </c>
      <c r="W30" s="51">
        <f t="shared" si="4"/>
        <v>1.974</v>
      </c>
      <c r="X30" s="51">
        <f t="shared" si="5"/>
        <v>0</v>
      </c>
      <c r="Y30" s="51">
        <f t="shared" si="6"/>
        <v>0</v>
      </c>
    </row>
    <row r="31" spans="1:25" x14ac:dyDescent="0.25">
      <c r="A31" s="59">
        <f t="shared" si="9"/>
        <v>42791</v>
      </c>
      <c r="B31" s="78" t="s">
        <v>106</v>
      </c>
      <c r="C31" s="88">
        <v>25000</v>
      </c>
      <c r="D31" s="85">
        <v>6230</v>
      </c>
      <c r="E31" s="88"/>
      <c r="F31" s="85"/>
      <c r="G31" s="88"/>
      <c r="H31" s="85">
        <v>2765</v>
      </c>
      <c r="I31" s="88"/>
      <c r="J31" s="88"/>
      <c r="K31" s="80"/>
      <c r="L31" s="81"/>
      <c r="M31" s="81"/>
      <c r="N31" s="81"/>
      <c r="O31" s="81"/>
      <c r="P31" s="86">
        <v>3920</v>
      </c>
      <c r="Q31" s="81"/>
      <c r="R31" s="81"/>
      <c r="S31" s="87">
        <f t="shared" si="0"/>
        <v>2.5</v>
      </c>
      <c r="T31" s="87">
        <f t="shared" si="0"/>
        <v>1.2915000000000001</v>
      </c>
      <c r="U31" s="51">
        <f t="shared" si="2"/>
        <v>0.623</v>
      </c>
      <c r="V31" s="51">
        <f t="shared" si="3"/>
        <v>0</v>
      </c>
      <c r="W31" s="51">
        <f t="shared" si="4"/>
        <v>0.27650000000000002</v>
      </c>
      <c r="X31" s="51">
        <f t="shared" si="5"/>
        <v>0</v>
      </c>
      <c r="Y31" s="51">
        <f t="shared" si="6"/>
        <v>0.39200000000000002</v>
      </c>
    </row>
    <row r="32" spans="1:25" x14ac:dyDescent="0.25">
      <c r="A32" s="59">
        <f t="shared" si="9"/>
        <v>42792</v>
      </c>
      <c r="B32" s="78" t="s">
        <v>107</v>
      </c>
      <c r="C32" s="88">
        <v>25000</v>
      </c>
      <c r="D32" s="85">
        <v>27545</v>
      </c>
      <c r="E32" s="88"/>
      <c r="F32" s="85"/>
      <c r="G32" s="88"/>
      <c r="H32" s="88"/>
      <c r="I32" s="88"/>
      <c r="J32" s="88"/>
      <c r="K32" s="80"/>
      <c r="L32" s="81"/>
      <c r="M32" s="81"/>
      <c r="N32" s="81"/>
      <c r="O32" s="81"/>
      <c r="P32" s="83"/>
      <c r="Q32" s="81"/>
      <c r="R32" s="83"/>
      <c r="S32" s="84">
        <f t="shared" si="0"/>
        <v>2.5</v>
      </c>
      <c r="T32" s="84">
        <f t="shared" si="0"/>
        <v>2.7545000000000002</v>
      </c>
      <c r="U32" s="51">
        <f t="shared" si="2"/>
        <v>2.7545000000000002</v>
      </c>
      <c r="V32" s="51">
        <f t="shared" si="3"/>
        <v>0</v>
      </c>
      <c r="W32" s="51">
        <f t="shared" si="4"/>
        <v>0</v>
      </c>
      <c r="X32" s="51">
        <f t="shared" si="5"/>
        <v>0</v>
      </c>
      <c r="Y32" s="51">
        <f t="shared" si="6"/>
        <v>0</v>
      </c>
    </row>
    <row r="33" spans="1:25" x14ac:dyDescent="0.25">
      <c r="A33" s="77">
        <f t="shared" si="9"/>
        <v>42793</v>
      </c>
      <c r="B33" s="78" t="s">
        <v>108</v>
      </c>
      <c r="C33" s="88">
        <v>25000</v>
      </c>
      <c r="D33" s="85">
        <v>30275</v>
      </c>
      <c r="E33" s="88"/>
      <c r="F33" s="88"/>
      <c r="G33" s="88"/>
      <c r="H33" s="88"/>
      <c r="I33" s="88"/>
      <c r="J33" s="88"/>
      <c r="K33" s="80"/>
      <c r="L33" s="86"/>
      <c r="M33" s="80"/>
      <c r="N33" s="81"/>
      <c r="O33" s="81"/>
      <c r="P33" s="83"/>
      <c r="Q33" s="81"/>
      <c r="R33" s="83"/>
      <c r="S33" s="84">
        <f t="shared" si="0"/>
        <v>2.5</v>
      </c>
      <c r="T33" s="84">
        <f t="shared" si="0"/>
        <v>3.0274999999999999</v>
      </c>
      <c r="U33" s="51">
        <f t="shared" si="2"/>
        <v>3.0274999999999999</v>
      </c>
      <c r="V33" s="51">
        <f t="shared" si="3"/>
        <v>0</v>
      </c>
      <c r="W33" s="51">
        <f t="shared" si="4"/>
        <v>0</v>
      </c>
      <c r="X33" s="51">
        <f t="shared" si="5"/>
        <v>0</v>
      </c>
      <c r="Y33" s="51">
        <f t="shared" si="6"/>
        <v>0</v>
      </c>
    </row>
    <row r="34" spans="1:25" x14ac:dyDescent="0.25">
      <c r="A34" s="59">
        <f t="shared" si="9"/>
        <v>42794</v>
      </c>
      <c r="B34" s="78" t="s">
        <v>110</v>
      </c>
      <c r="C34" s="88">
        <v>25000</v>
      </c>
      <c r="D34" s="85">
        <v>34825</v>
      </c>
      <c r="E34" s="88"/>
      <c r="F34" s="85"/>
      <c r="G34" s="88"/>
      <c r="H34" s="88"/>
      <c r="I34" s="88"/>
      <c r="J34" s="88"/>
      <c r="K34" s="80"/>
      <c r="L34" s="81"/>
      <c r="M34" s="81"/>
      <c r="N34" s="81"/>
      <c r="O34" s="81"/>
      <c r="P34" s="81"/>
      <c r="Q34" s="81"/>
      <c r="R34" s="83"/>
      <c r="S34" s="84">
        <f t="shared" si="0"/>
        <v>2.5</v>
      </c>
      <c r="T34" s="84">
        <f t="shared" si="0"/>
        <v>3.4824999999999999</v>
      </c>
      <c r="U34" s="51">
        <f t="shared" si="2"/>
        <v>3.4824999999999999</v>
      </c>
      <c r="V34" s="51">
        <f t="shared" si="3"/>
        <v>0</v>
      </c>
      <c r="W34" s="51">
        <f t="shared" si="4"/>
        <v>0</v>
      </c>
      <c r="X34" s="51">
        <f t="shared" si="5"/>
        <v>0</v>
      </c>
      <c r="Y34" s="51">
        <f t="shared" si="6"/>
        <v>0</v>
      </c>
    </row>
    <row r="35" spans="1:25" x14ac:dyDescent="0.25">
      <c r="A35" s="77"/>
      <c r="B35" s="78"/>
      <c r="C35" s="88"/>
      <c r="D35" s="85"/>
      <c r="E35" s="88"/>
      <c r="F35" s="85"/>
      <c r="G35" s="88"/>
      <c r="H35" s="88"/>
      <c r="I35" s="88"/>
      <c r="J35" s="88"/>
      <c r="K35" s="80"/>
      <c r="L35" s="81"/>
      <c r="M35" s="81"/>
      <c r="N35" s="81"/>
      <c r="O35" s="81"/>
      <c r="P35" s="81"/>
      <c r="Q35" s="81"/>
      <c r="R35" s="83"/>
      <c r="S35" s="84">
        <f t="shared" si="0"/>
        <v>0</v>
      </c>
      <c r="T35" s="84">
        <f t="shared" si="0"/>
        <v>0</v>
      </c>
      <c r="U35" s="51">
        <f t="shared" si="2"/>
        <v>0</v>
      </c>
      <c r="V35" s="51">
        <f t="shared" si="3"/>
        <v>0</v>
      </c>
      <c r="W35" s="51">
        <f t="shared" si="4"/>
        <v>0</v>
      </c>
      <c r="X35" s="51">
        <f t="shared" si="5"/>
        <v>0</v>
      </c>
      <c r="Y35" s="51">
        <f t="shared" si="6"/>
        <v>0</v>
      </c>
    </row>
    <row r="36" spans="1:25" x14ac:dyDescent="0.25">
      <c r="A36" s="59"/>
      <c r="B36" s="78"/>
      <c r="C36" s="88"/>
      <c r="D36" s="88"/>
      <c r="E36" s="88"/>
      <c r="F36" s="88"/>
      <c r="G36" s="88"/>
      <c r="H36" s="88"/>
      <c r="I36" s="88"/>
      <c r="J36" s="88"/>
      <c r="K36" s="80"/>
      <c r="L36" s="81"/>
      <c r="M36" s="81"/>
      <c r="N36" s="81"/>
      <c r="O36" s="81"/>
      <c r="P36" s="81"/>
      <c r="Q36" s="81"/>
      <c r="R36" s="81"/>
      <c r="S36" s="84">
        <f t="shared" si="0"/>
        <v>0</v>
      </c>
      <c r="T36" s="84">
        <f t="shared" si="0"/>
        <v>0</v>
      </c>
      <c r="U36" s="51">
        <f t="shared" si="2"/>
        <v>0</v>
      </c>
      <c r="V36" s="51">
        <f t="shared" si="3"/>
        <v>0</v>
      </c>
      <c r="W36" s="51">
        <f t="shared" si="4"/>
        <v>0</v>
      </c>
      <c r="X36" s="51">
        <f t="shared" si="5"/>
        <v>0</v>
      </c>
      <c r="Y36" s="51">
        <f t="shared" si="6"/>
        <v>0</v>
      </c>
    </row>
    <row r="37" spans="1:25" x14ac:dyDescent="0.25">
      <c r="A37" s="59"/>
      <c r="B37" s="78"/>
      <c r="C37" s="88"/>
      <c r="D37" s="88"/>
      <c r="E37" s="88"/>
      <c r="F37" s="88"/>
      <c r="G37" s="88"/>
      <c r="H37" s="88"/>
      <c r="I37" s="88"/>
      <c r="J37" s="88"/>
      <c r="K37" s="80"/>
      <c r="L37" s="81"/>
      <c r="M37" s="81"/>
      <c r="N37" s="81"/>
      <c r="O37" s="81"/>
      <c r="P37" s="81"/>
      <c r="Q37" s="81"/>
      <c r="R37" s="81"/>
      <c r="S37" s="84">
        <f t="shared" si="0"/>
        <v>0</v>
      </c>
      <c r="T37" s="84">
        <f t="shared" si="0"/>
        <v>0</v>
      </c>
      <c r="U37" s="51">
        <f t="shared" si="2"/>
        <v>0</v>
      </c>
      <c r="V37" s="51">
        <f t="shared" si="3"/>
        <v>0</v>
      </c>
      <c r="W37" s="51">
        <f t="shared" si="4"/>
        <v>0</v>
      </c>
      <c r="X37" s="51">
        <f t="shared" si="5"/>
        <v>0</v>
      </c>
      <c r="Y37" s="51">
        <f t="shared" si="6"/>
        <v>0</v>
      </c>
    </row>
    <row r="38" spans="1:25" x14ac:dyDescent="0.25">
      <c r="A38" s="59">
        <v>42795</v>
      </c>
      <c r="B38" s="78" t="s">
        <v>103</v>
      </c>
      <c r="C38" s="88"/>
      <c r="D38" s="85">
        <v>17500</v>
      </c>
      <c r="E38" s="88"/>
      <c r="F38" s="88"/>
      <c r="G38" s="88"/>
      <c r="H38" s="88"/>
      <c r="I38" s="88"/>
      <c r="J38" s="88"/>
      <c r="K38" s="80"/>
      <c r="L38" s="81"/>
      <c r="M38" s="81"/>
      <c r="N38" s="81"/>
      <c r="O38" s="81"/>
      <c r="P38" s="81"/>
      <c r="Q38" s="81"/>
      <c r="R38" s="81"/>
      <c r="S38" s="84">
        <f t="shared" ref="S38:T38" si="10">((C38*0.1)+(E38*0.4)+(G38*0.1)+(I38*0.4)+(K38*0.1)+(M38*0.4)+(O38*0.1)+(Q38*0.4))/1000</f>
        <v>0</v>
      </c>
      <c r="T38" s="84">
        <f t="shared" si="10"/>
        <v>1.75</v>
      </c>
      <c r="U38" s="51">
        <f t="shared" si="2"/>
        <v>1.75</v>
      </c>
      <c r="V38" s="51">
        <f t="shared" si="3"/>
        <v>0</v>
      </c>
      <c r="W38" s="51">
        <f t="shared" si="4"/>
        <v>0</v>
      </c>
      <c r="X38" s="51">
        <f t="shared" si="5"/>
        <v>0</v>
      </c>
      <c r="Y38" s="51">
        <f t="shared" si="6"/>
        <v>0</v>
      </c>
    </row>
    <row r="39" spans="1:25" x14ac:dyDescent="0.25">
      <c r="A39" s="124" t="s">
        <v>111</v>
      </c>
      <c r="B39" s="125"/>
      <c r="C39" s="89">
        <f>SUM(C7:C37)</f>
        <v>250000</v>
      </c>
      <c r="D39" s="89">
        <f t="shared" ref="D39:R39" si="11">SUM(D7:D37)</f>
        <v>256060</v>
      </c>
      <c r="E39" s="89">
        <f t="shared" si="11"/>
        <v>35000</v>
      </c>
      <c r="F39" s="89">
        <f t="shared" si="11"/>
        <v>24000</v>
      </c>
      <c r="G39" s="89">
        <f t="shared" si="11"/>
        <v>155000</v>
      </c>
      <c r="H39" s="89">
        <f t="shared" si="11"/>
        <v>165690</v>
      </c>
      <c r="I39" s="89">
        <f t="shared" si="11"/>
        <v>47000</v>
      </c>
      <c r="J39" s="89">
        <f t="shared" si="11"/>
        <v>52176</v>
      </c>
      <c r="K39" s="89">
        <f t="shared" si="11"/>
        <v>0</v>
      </c>
      <c r="L39" s="89">
        <f t="shared" si="11"/>
        <v>0</v>
      </c>
      <c r="M39" s="89">
        <f t="shared" si="11"/>
        <v>0</v>
      </c>
      <c r="N39" s="89">
        <f t="shared" si="11"/>
        <v>0</v>
      </c>
      <c r="O39" s="89">
        <f t="shared" si="11"/>
        <v>92500</v>
      </c>
      <c r="P39" s="89">
        <f>SUM(P7:P37)</f>
        <v>97020</v>
      </c>
      <c r="Q39" s="89">
        <f t="shared" si="11"/>
        <v>0</v>
      </c>
      <c r="R39" s="89">
        <f t="shared" si="11"/>
        <v>0</v>
      </c>
      <c r="S39" s="90">
        <f>SUM(S7:S38)</f>
        <v>82.55</v>
      </c>
      <c r="T39" s="90">
        <f>SUM(T7:T38)</f>
        <v>84.097400000000007</v>
      </c>
      <c r="U39" s="51">
        <f>SUM(U7:U38)</f>
        <v>27.356000000000002</v>
      </c>
      <c r="V39" s="51">
        <f t="shared" ref="V39:Y39" si="12">SUM(V7:V38)</f>
        <v>9.6000000000000014</v>
      </c>
      <c r="W39" s="51">
        <f t="shared" si="12"/>
        <v>16.568999999999999</v>
      </c>
      <c r="X39" s="51">
        <f t="shared" si="12"/>
        <v>20.8704</v>
      </c>
      <c r="Y39" s="51">
        <f t="shared" si="12"/>
        <v>9.702</v>
      </c>
    </row>
    <row r="40" spans="1:25" x14ac:dyDescent="0.25">
      <c r="A40" s="124" t="s">
        <v>112</v>
      </c>
      <c r="B40" s="125"/>
      <c r="C40" s="91">
        <f>C39*0.1/1000</f>
        <v>25</v>
      </c>
      <c r="D40" s="91">
        <f t="shared" ref="D40" si="13">D39*0.1/1000</f>
        <v>25.606000000000002</v>
      </c>
      <c r="E40" s="91">
        <f t="shared" ref="E40:J40" si="14">E39*0.4/1000</f>
        <v>14</v>
      </c>
      <c r="F40" s="91">
        <f t="shared" si="14"/>
        <v>9.6</v>
      </c>
      <c r="G40" s="91">
        <f>G39*0.1/1000</f>
        <v>15.5</v>
      </c>
      <c r="H40" s="91">
        <f>H39*0.1/1000</f>
        <v>16.568999999999999</v>
      </c>
      <c r="I40" s="91">
        <f t="shared" si="14"/>
        <v>18.8</v>
      </c>
      <c r="J40" s="91">
        <f t="shared" si="14"/>
        <v>20.8704</v>
      </c>
      <c r="K40" s="91">
        <f>K39*0.1/1000</f>
        <v>0</v>
      </c>
      <c r="L40" s="91">
        <f>L39*0.1/1000</f>
        <v>0</v>
      </c>
      <c r="M40" s="91">
        <f>M39*0.4/1000</f>
        <v>0</v>
      </c>
      <c r="N40" s="91">
        <f>N39*0.4/1000</f>
        <v>0</v>
      </c>
      <c r="O40" s="91">
        <f>O39*0.1/1000</f>
        <v>9.25</v>
      </c>
      <c r="P40" s="91">
        <f t="shared" ref="P40" si="15">P39*0.1/1000</f>
        <v>9.702</v>
      </c>
      <c r="Q40" s="91">
        <f>Q39*0.4/1000</f>
        <v>0</v>
      </c>
      <c r="R40" s="91">
        <f>R39*0.4/1000</f>
        <v>0</v>
      </c>
      <c r="S40" s="91"/>
      <c r="T40" s="91"/>
      <c r="U40" s="51"/>
      <c r="V40" s="51">
        <f>SUM(U39:V39)</f>
        <v>36.956000000000003</v>
      </c>
      <c r="W40" s="51"/>
      <c r="X40" s="51">
        <f>SUM(W39:X39)</f>
        <v>37.439399999999999</v>
      </c>
      <c r="Y40" s="51">
        <f>SUM(W39:Y39)</f>
        <v>47.141399999999997</v>
      </c>
    </row>
    <row r="41" spans="1:25" x14ac:dyDescent="0.25">
      <c r="A41" s="51"/>
      <c r="B41" s="51"/>
      <c r="C41" s="51">
        <v>250000</v>
      </c>
      <c r="D41" s="51"/>
      <c r="E41" s="51">
        <v>35000</v>
      </c>
      <c r="F41" s="51"/>
      <c r="G41" s="51">
        <v>150000</v>
      </c>
      <c r="H41" s="51"/>
      <c r="I41" s="51">
        <v>47000</v>
      </c>
      <c r="J41" s="51"/>
      <c r="K41" s="51"/>
      <c r="L41" s="51"/>
      <c r="M41" s="51"/>
      <c r="N41" s="51"/>
      <c r="O41" s="51">
        <v>92500</v>
      </c>
      <c r="P41" s="51"/>
      <c r="Q41" s="51"/>
      <c r="R41" s="51"/>
      <c r="S41" s="51"/>
      <c r="T41" s="51"/>
      <c r="U41" s="51"/>
      <c r="V41" s="51"/>
      <c r="W41" s="51"/>
      <c r="X41" s="51"/>
      <c r="Y41" s="51">
        <f>SUM(U39:Y39)</f>
        <v>84.097400000000007</v>
      </c>
    </row>
    <row r="42" spans="1:25" x14ac:dyDescent="0.25">
      <c r="A42" s="5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>
        <v>97020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spans="1:25" x14ac:dyDescent="0.25">
      <c r="A43" s="52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25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2"/>
      <c r="P45" s="52"/>
      <c r="Q45" s="52"/>
      <c r="R45" s="52"/>
      <c r="S45" s="51"/>
      <c r="T45" s="51"/>
      <c r="U45" s="51"/>
      <c r="V45" s="51"/>
      <c r="W45" s="51"/>
      <c r="X45" s="51"/>
      <c r="Y45" s="51"/>
    </row>
    <row r="46" spans="1:25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spans="1:25" x14ac:dyDescent="0.2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25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 x14ac:dyDescent="0.25">
      <c r="C57" s="21"/>
      <c r="D57" s="21"/>
      <c r="E57" s="21"/>
      <c r="F57" s="21"/>
      <c r="G57" s="21"/>
      <c r="H57" s="21"/>
      <c r="I57" s="21"/>
      <c r="J57" s="21"/>
      <c r="L57" s="21"/>
      <c r="M57" s="21"/>
      <c r="N57" s="21"/>
      <c r="O57" s="21"/>
      <c r="P57" s="21"/>
      <c r="Q57" s="21"/>
      <c r="R57" s="21"/>
    </row>
    <row r="58" spans="1:18" x14ac:dyDescent="0.25">
      <c r="C58" s="21"/>
      <c r="D58" s="21"/>
      <c r="E58" s="21"/>
      <c r="F58" s="21"/>
      <c r="G58" s="21"/>
      <c r="H58" s="21"/>
      <c r="I58" s="21"/>
      <c r="J58" s="21"/>
      <c r="L58" s="21"/>
      <c r="M58" s="21"/>
      <c r="N58" s="21"/>
      <c r="O58" s="21"/>
      <c r="P58" s="21"/>
      <c r="Q58" s="21"/>
      <c r="R58" s="21"/>
    </row>
    <row r="59" spans="1:18" x14ac:dyDescent="0.25">
      <c r="C59" s="21"/>
      <c r="D59" s="21"/>
      <c r="E59" s="21"/>
      <c r="F59" s="21"/>
      <c r="G59" s="21"/>
      <c r="H59" s="21"/>
      <c r="I59" s="21"/>
      <c r="J59" s="21"/>
      <c r="L59" s="21"/>
      <c r="M59" s="21"/>
      <c r="N59" s="21"/>
      <c r="O59" s="21"/>
      <c r="P59" s="21"/>
      <c r="Q59" s="21"/>
      <c r="R59" s="21"/>
    </row>
    <row r="63" spans="1:18" x14ac:dyDescent="0.25">
      <c r="A63" s="105"/>
    </row>
    <row r="65" spans="3:18" x14ac:dyDescent="0.25">
      <c r="D65" s="103"/>
      <c r="E65" s="103"/>
    </row>
    <row r="66" spans="3:18" x14ac:dyDescent="0.25">
      <c r="D66" s="103"/>
      <c r="E66" s="103"/>
      <c r="L66" s="122"/>
      <c r="M66" s="122"/>
      <c r="N66" s="122"/>
      <c r="O66" s="122"/>
      <c r="Q66" s="122"/>
      <c r="R66" s="122"/>
    </row>
    <row r="67" spans="3:18" x14ac:dyDescent="0.25">
      <c r="C67" s="122"/>
      <c r="D67" s="122"/>
      <c r="E67" s="111"/>
      <c r="F67" s="122"/>
      <c r="G67" s="122"/>
      <c r="K67" s="104"/>
      <c r="M67" s="104"/>
    </row>
    <row r="68" spans="3:18" x14ac:dyDescent="0.25">
      <c r="D68" s="103"/>
      <c r="E68" s="103"/>
      <c r="G68" s="103"/>
    </row>
    <row r="69" spans="3:18" x14ac:dyDescent="0.25">
      <c r="D69" s="103"/>
      <c r="E69" s="103"/>
      <c r="G69" s="103"/>
    </row>
    <row r="70" spans="3:18" x14ac:dyDescent="0.2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3:18" x14ac:dyDescent="0.2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3:18" x14ac:dyDescent="0.2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3:18" x14ac:dyDescent="0.2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3:18" x14ac:dyDescent="0.2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3:18" x14ac:dyDescent="0.2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3:18" x14ac:dyDescent="0.25">
      <c r="C76" s="21"/>
      <c r="D76" s="21"/>
      <c r="E76" s="21"/>
      <c r="F76" s="21"/>
      <c r="G76" s="21"/>
      <c r="H76" s="21"/>
      <c r="I76" s="21"/>
      <c r="J76" s="21"/>
      <c r="L76" s="21"/>
      <c r="M76" s="21"/>
      <c r="N76" s="21"/>
      <c r="O76" s="21"/>
      <c r="P76" s="21"/>
      <c r="Q76" s="21"/>
      <c r="R76" s="21"/>
    </row>
    <row r="77" spans="3:18" x14ac:dyDescent="0.25">
      <c r="C77" s="21"/>
      <c r="D77" s="21"/>
      <c r="E77" s="21"/>
      <c r="F77" s="21"/>
      <c r="G77" s="21"/>
      <c r="H77" s="21"/>
      <c r="I77" s="21"/>
      <c r="J77" s="21"/>
      <c r="L77" s="21"/>
      <c r="M77" s="21"/>
      <c r="N77" s="21"/>
      <c r="O77" s="21"/>
      <c r="P77" s="21"/>
      <c r="Q77" s="21"/>
      <c r="R77" s="21"/>
    </row>
    <row r="78" spans="3:18" x14ac:dyDescent="0.25">
      <c r="C78" s="21"/>
      <c r="D78" s="21"/>
      <c r="E78" s="21"/>
      <c r="F78" s="21"/>
      <c r="G78" s="21"/>
      <c r="H78" s="21"/>
      <c r="I78" s="21"/>
      <c r="J78" s="21"/>
      <c r="L78" s="21"/>
      <c r="M78" s="21"/>
      <c r="N78" s="21"/>
      <c r="O78" s="21"/>
      <c r="P78" s="21"/>
      <c r="Q78" s="21"/>
      <c r="R78" s="21"/>
    </row>
    <row r="81" spans="3:18" x14ac:dyDescent="0.25">
      <c r="L81" s="21"/>
      <c r="M81" s="21"/>
      <c r="N81" s="21"/>
      <c r="O81" s="21"/>
      <c r="Q81" s="21"/>
      <c r="R81" s="21"/>
    </row>
    <row r="82" spans="3:18" x14ac:dyDescent="0.25">
      <c r="I82" s="21"/>
      <c r="L82" s="21"/>
      <c r="M82" s="21"/>
      <c r="N82" s="21"/>
      <c r="O82" s="21"/>
      <c r="P82" s="21"/>
      <c r="Q82" s="21"/>
      <c r="R82" s="21"/>
    </row>
    <row r="87" spans="3:18" x14ac:dyDescent="0.25">
      <c r="I87" s="21"/>
    </row>
    <row r="90" spans="3:18" x14ac:dyDescent="0.25">
      <c r="D90" s="103"/>
      <c r="E90" s="103"/>
    </row>
    <row r="91" spans="3:18" x14ac:dyDescent="0.25">
      <c r="D91" s="103"/>
      <c r="E91" s="103"/>
      <c r="L91" s="122"/>
      <c r="M91" s="122"/>
      <c r="N91" s="122"/>
      <c r="O91" s="122"/>
      <c r="Q91" s="122"/>
      <c r="R91" s="122"/>
    </row>
    <row r="92" spans="3:18" x14ac:dyDescent="0.25">
      <c r="C92" s="122"/>
      <c r="D92" s="122"/>
      <c r="E92" s="111"/>
      <c r="F92" s="122"/>
      <c r="G92" s="122"/>
      <c r="K92" s="104"/>
      <c r="M92" s="104"/>
    </row>
    <row r="93" spans="3:18" x14ac:dyDescent="0.25">
      <c r="D93" s="103"/>
      <c r="E93" s="103"/>
      <c r="G93" s="103"/>
    </row>
    <row r="94" spans="3:18" x14ac:dyDescent="0.25">
      <c r="D94" s="103"/>
      <c r="E94" s="103"/>
      <c r="G94" s="103"/>
      <c r="I94" s="106"/>
      <c r="L94" s="106"/>
      <c r="M94" s="106"/>
      <c r="N94" s="106"/>
      <c r="O94" s="106"/>
      <c r="P94" s="106"/>
      <c r="Q94" s="106"/>
      <c r="R94" s="106"/>
    </row>
    <row r="95" spans="3:18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3:18" x14ac:dyDescent="0.2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3:18" x14ac:dyDescent="0.2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3:18" x14ac:dyDescent="0.2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3:18" x14ac:dyDescent="0.2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3:18" x14ac:dyDescent="0.2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3:18" x14ac:dyDescent="0.25">
      <c r="C101" s="21"/>
      <c r="D101" s="21"/>
      <c r="E101" s="21"/>
      <c r="F101" s="21"/>
      <c r="G101" s="21"/>
      <c r="H101" s="21"/>
      <c r="I101" s="21"/>
      <c r="J101" s="21"/>
      <c r="L101" s="21"/>
      <c r="M101" s="21"/>
      <c r="N101" s="21"/>
      <c r="O101" s="21"/>
      <c r="P101" s="21"/>
      <c r="Q101" s="21"/>
      <c r="R101" s="21"/>
    </row>
    <row r="102" spans="3:18" x14ac:dyDescent="0.2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3:18" x14ac:dyDescent="0.2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3:18" x14ac:dyDescent="0.25"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pans="3:18" x14ac:dyDescent="0.25">
      <c r="H105" s="107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 spans="3:18" x14ac:dyDescent="0.25">
      <c r="H106" s="108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 spans="3:18" x14ac:dyDescent="0.25">
      <c r="H107" s="107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 spans="3:18" x14ac:dyDescent="0.25">
      <c r="H108" s="108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 spans="3:18" x14ac:dyDescent="0.25">
      <c r="H109" s="109"/>
      <c r="I109" s="21"/>
      <c r="L109" s="21"/>
      <c r="M109" s="21"/>
      <c r="N109" s="21"/>
      <c r="O109" s="21"/>
      <c r="P109" s="21"/>
      <c r="Q109" s="21"/>
      <c r="R109" s="21"/>
    </row>
    <row r="110" spans="3:18" x14ac:dyDescent="0.25">
      <c r="H110" s="110"/>
    </row>
    <row r="117" spans="3:18" x14ac:dyDescent="0.25">
      <c r="D117" s="103"/>
      <c r="E117" s="103"/>
    </row>
    <row r="118" spans="3:18" x14ac:dyDescent="0.25">
      <c r="D118" s="103"/>
      <c r="E118" s="103"/>
      <c r="L118" s="122"/>
      <c r="M118" s="122"/>
      <c r="N118" s="122"/>
      <c r="O118" s="122"/>
      <c r="Q118" s="122"/>
      <c r="R118" s="122"/>
    </row>
    <row r="119" spans="3:18" x14ac:dyDescent="0.25">
      <c r="C119" s="122"/>
      <c r="D119" s="122"/>
      <c r="E119" s="111"/>
      <c r="F119" s="122"/>
      <c r="G119" s="122"/>
      <c r="K119" s="104"/>
      <c r="M119" s="104"/>
    </row>
    <row r="120" spans="3:18" x14ac:dyDescent="0.25">
      <c r="D120" s="103"/>
      <c r="E120" s="103"/>
      <c r="G120" s="103"/>
    </row>
    <row r="121" spans="3:18" x14ac:dyDescent="0.25">
      <c r="D121" s="103"/>
      <c r="E121" s="103"/>
      <c r="G121" s="103"/>
      <c r="I121" s="106"/>
      <c r="L121" s="106"/>
      <c r="M121" s="106"/>
      <c r="N121" s="106"/>
      <c r="O121" s="106"/>
      <c r="P121" s="106"/>
      <c r="Q121" s="106"/>
      <c r="R121" s="106"/>
    </row>
    <row r="122" spans="3:18" x14ac:dyDescent="0.2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3:18" x14ac:dyDescent="0.2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3:18" x14ac:dyDescent="0.2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pans="3:18" x14ac:dyDescent="0.2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3:18" x14ac:dyDescent="0.2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3:18" x14ac:dyDescent="0.2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spans="3:18" x14ac:dyDescent="0.25">
      <c r="C128" s="21"/>
      <c r="D128" s="21"/>
      <c r="E128" s="21"/>
      <c r="F128" s="21"/>
      <c r="G128" s="21"/>
      <c r="H128" s="21"/>
      <c r="I128" s="21"/>
      <c r="J128" s="21"/>
      <c r="L128" s="21"/>
      <c r="M128" s="21"/>
      <c r="N128" s="21"/>
      <c r="O128" s="21"/>
      <c r="P128" s="21"/>
      <c r="Q128" s="21"/>
      <c r="R128" s="21"/>
    </row>
    <row r="129" spans="3:18" x14ac:dyDescent="0.2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pans="3:18" x14ac:dyDescent="0.2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spans="3:18" x14ac:dyDescent="0.25"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 spans="3:18" x14ac:dyDescent="0.25">
      <c r="H132" s="107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 spans="3:18" x14ac:dyDescent="0.25">
      <c r="H133" s="108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 spans="3:18" x14ac:dyDescent="0.25">
      <c r="H134" s="107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3:18" x14ac:dyDescent="0.25">
      <c r="H135" s="108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pans="3:18" x14ac:dyDescent="0.25">
      <c r="H136" s="109"/>
      <c r="I136" s="21"/>
      <c r="L136" s="21"/>
      <c r="M136" s="21"/>
      <c r="N136" s="21"/>
      <c r="O136" s="21"/>
      <c r="P136" s="21"/>
      <c r="Q136" s="21"/>
      <c r="R136" s="21"/>
    </row>
    <row r="137" spans="3:18" x14ac:dyDescent="0.25">
      <c r="H137" s="110"/>
    </row>
    <row r="145" spans="3:18" x14ac:dyDescent="0.25">
      <c r="D145" s="103"/>
      <c r="E145" s="103"/>
    </row>
    <row r="146" spans="3:18" x14ac:dyDescent="0.25">
      <c r="D146" s="103"/>
      <c r="E146" s="103"/>
      <c r="L146" s="122"/>
      <c r="M146" s="122"/>
      <c r="N146" s="122"/>
      <c r="O146" s="122"/>
      <c r="Q146" s="122"/>
      <c r="R146" s="122"/>
    </row>
    <row r="147" spans="3:18" x14ac:dyDescent="0.25">
      <c r="C147" s="122"/>
      <c r="D147" s="122"/>
      <c r="E147" s="111"/>
      <c r="F147" s="122"/>
      <c r="G147" s="122"/>
      <c r="K147" s="104"/>
      <c r="M147" s="104"/>
    </row>
    <row r="148" spans="3:18" x14ac:dyDescent="0.25">
      <c r="D148" s="103"/>
      <c r="E148" s="103"/>
      <c r="G148" s="103"/>
    </row>
    <row r="149" spans="3:18" x14ac:dyDescent="0.25">
      <c r="D149" s="103"/>
      <c r="E149" s="103"/>
      <c r="G149" s="103"/>
      <c r="I149" s="106"/>
      <c r="L149" s="106"/>
      <c r="M149" s="106"/>
      <c r="N149" s="106"/>
      <c r="O149" s="106"/>
      <c r="P149" s="106"/>
      <c r="Q149" s="106"/>
      <c r="R149" s="106"/>
    </row>
    <row r="150" spans="3:18" x14ac:dyDescent="0.2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 spans="3:18" x14ac:dyDescent="0.2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 spans="3:18" x14ac:dyDescent="0.2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 spans="3:18" x14ac:dyDescent="0.2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 spans="3:18" x14ac:dyDescent="0.2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 spans="3:18" x14ac:dyDescent="0.2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spans="3:18" x14ac:dyDescent="0.25">
      <c r="C156" s="21"/>
      <c r="D156" s="21"/>
      <c r="E156" s="21"/>
      <c r="F156" s="21"/>
      <c r="G156" s="21"/>
      <c r="H156" s="21"/>
      <c r="I156" s="21"/>
      <c r="J156" s="21"/>
      <c r="L156" s="21"/>
      <c r="M156" s="21"/>
      <c r="N156" s="21"/>
      <c r="O156" s="21"/>
      <c r="P156" s="21"/>
      <c r="Q156" s="21"/>
      <c r="R156" s="21"/>
    </row>
    <row r="157" spans="3:18" x14ac:dyDescent="0.2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3:18" x14ac:dyDescent="0.2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3:18" x14ac:dyDescent="0.25"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3:18" x14ac:dyDescent="0.25">
      <c r="H160" s="108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8:18" x14ac:dyDescent="0.25">
      <c r="H161" s="107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8:18" x14ac:dyDescent="0.25">
      <c r="H162" s="107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8:18" x14ac:dyDescent="0.25">
      <c r="H163" s="107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8:18" x14ac:dyDescent="0.25">
      <c r="H164" s="108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8:18" x14ac:dyDescent="0.25">
      <c r="H165" s="107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8:18" x14ac:dyDescent="0.25">
      <c r="H166" s="108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8:18" x14ac:dyDescent="0.25">
      <c r="H167" s="109"/>
      <c r="I167" s="21"/>
      <c r="L167" s="21"/>
      <c r="M167" s="21"/>
      <c r="N167" s="21"/>
      <c r="O167" s="21"/>
      <c r="P167" s="21"/>
      <c r="Q167" s="21"/>
      <c r="R167" s="21"/>
    </row>
    <row r="170" spans="8:18" x14ac:dyDescent="0.25">
      <c r="H170" s="110"/>
    </row>
    <row r="179" spans="3:18" x14ac:dyDescent="0.25">
      <c r="D179" s="103"/>
      <c r="E179" s="103"/>
    </row>
    <row r="180" spans="3:18" x14ac:dyDescent="0.25">
      <c r="D180" s="103"/>
      <c r="E180" s="103"/>
      <c r="L180" s="122"/>
      <c r="M180" s="122"/>
      <c r="N180" s="122"/>
      <c r="O180" s="122"/>
      <c r="Q180" s="122"/>
      <c r="R180" s="122"/>
    </row>
    <row r="181" spans="3:18" x14ac:dyDescent="0.25">
      <c r="C181" s="122"/>
      <c r="D181" s="122"/>
      <c r="E181" s="111"/>
      <c r="F181" s="122"/>
      <c r="G181" s="122"/>
      <c r="K181" s="104"/>
      <c r="M181" s="104"/>
    </row>
    <row r="182" spans="3:18" x14ac:dyDescent="0.25">
      <c r="D182" s="103"/>
      <c r="E182" s="103"/>
      <c r="G182" s="103"/>
    </row>
    <row r="183" spans="3:18" x14ac:dyDescent="0.25">
      <c r="D183" s="103"/>
      <c r="E183" s="103"/>
      <c r="G183" s="103"/>
      <c r="I183" s="106"/>
      <c r="L183" s="106"/>
      <c r="M183" s="106"/>
      <c r="N183" s="106"/>
      <c r="O183" s="106"/>
      <c r="P183" s="106"/>
      <c r="Q183" s="106"/>
      <c r="R183" s="106"/>
    </row>
    <row r="184" spans="3:18" x14ac:dyDescent="0.2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 spans="3:18" x14ac:dyDescent="0.2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 spans="3:18" x14ac:dyDescent="0.2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 spans="3:18" x14ac:dyDescent="0.2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 spans="3:18" x14ac:dyDescent="0.2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 spans="3:18" x14ac:dyDescent="0.2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 spans="3:18" x14ac:dyDescent="0.25">
      <c r="C190" s="21"/>
      <c r="D190" s="21"/>
      <c r="E190" s="21"/>
      <c r="F190" s="21"/>
      <c r="G190" s="21"/>
      <c r="H190" s="21"/>
      <c r="I190" s="21"/>
      <c r="J190" s="21"/>
      <c r="L190" s="21"/>
      <c r="M190" s="21"/>
      <c r="N190" s="21"/>
      <c r="O190" s="21"/>
      <c r="P190" s="21"/>
      <c r="Q190" s="21"/>
      <c r="R190" s="21"/>
    </row>
    <row r="191" spans="3:18" x14ac:dyDescent="0.2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3:18" x14ac:dyDescent="0.2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8:18" x14ac:dyDescent="0.25"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spans="8:18" x14ac:dyDescent="0.25">
      <c r="H194" s="108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8:18" x14ac:dyDescent="0.25">
      <c r="H195" s="107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pans="8:18" x14ac:dyDescent="0.25">
      <c r="H196" s="107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spans="8:18" x14ac:dyDescent="0.25">
      <c r="H197" s="107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8:18" x14ac:dyDescent="0.25">
      <c r="H198" s="108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spans="8:18" x14ac:dyDescent="0.25">
      <c r="H199" s="107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spans="8:18" x14ac:dyDescent="0.25">
      <c r="H200" s="108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8:18" x14ac:dyDescent="0.25">
      <c r="H201" s="109"/>
      <c r="I201" s="21"/>
      <c r="L201" s="21"/>
      <c r="M201" s="21"/>
      <c r="N201" s="21"/>
      <c r="O201" s="21"/>
      <c r="P201" s="21"/>
      <c r="Q201" s="21"/>
      <c r="R201" s="21"/>
    </row>
    <row r="202" spans="8:18" x14ac:dyDescent="0.25">
      <c r="M202" s="21"/>
    </row>
    <row r="204" spans="8:18" x14ac:dyDescent="0.25">
      <c r="H204" s="110"/>
    </row>
    <row r="211" spans="3:18" x14ac:dyDescent="0.25">
      <c r="D211" s="103"/>
      <c r="E211" s="103"/>
    </row>
    <row r="212" spans="3:18" x14ac:dyDescent="0.25">
      <c r="D212" s="103"/>
      <c r="E212" s="103"/>
      <c r="L212" s="122"/>
      <c r="M212" s="122"/>
      <c r="N212" s="122"/>
      <c r="O212" s="122"/>
      <c r="Q212" s="122"/>
      <c r="R212" s="122"/>
    </row>
    <row r="213" spans="3:18" x14ac:dyDescent="0.25">
      <c r="C213" s="122"/>
      <c r="D213" s="122"/>
      <c r="E213" s="111"/>
      <c r="F213" s="122"/>
      <c r="G213" s="122"/>
      <c r="K213" s="104"/>
      <c r="M213" s="104"/>
    </row>
    <row r="214" spans="3:18" x14ac:dyDescent="0.25">
      <c r="D214" s="103"/>
      <c r="E214" s="103"/>
      <c r="G214" s="103"/>
    </row>
    <row r="215" spans="3:18" x14ac:dyDescent="0.25">
      <c r="D215" s="103"/>
      <c r="E215" s="103"/>
      <c r="G215" s="103"/>
      <c r="I215" s="106"/>
      <c r="L215" s="106"/>
      <c r="M215" s="106"/>
      <c r="N215" s="106"/>
      <c r="O215" s="106"/>
      <c r="P215" s="106"/>
      <c r="Q215" s="106"/>
      <c r="R215" s="106"/>
    </row>
    <row r="216" spans="3:18" x14ac:dyDescent="0.2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 spans="3:18" x14ac:dyDescent="0.2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 spans="3:18" x14ac:dyDescent="0.2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 spans="3:18" x14ac:dyDescent="0.2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 spans="3:18" x14ac:dyDescent="0.2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 spans="3:18" x14ac:dyDescent="0.2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 spans="3:18" x14ac:dyDescent="0.25">
      <c r="C222" s="21"/>
      <c r="D222" s="21"/>
      <c r="E222" s="21"/>
      <c r="F222" s="21"/>
      <c r="G222" s="21"/>
      <c r="H222" s="21"/>
      <c r="I222" s="21"/>
      <c r="J222" s="21"/>
      <c r="L222" s="21"/>
      <c r="M222" s="21"/>
      <c r="N222" s="21"/>
      <c r="O222" s="21"/>
      <c r="P222" s="21"/>
      <c r="Q222" s="21"/>
      <c r="R222" s="21"/>
    </row>
    <row r="223" spans="3:18" x14ac:dyDescent="0.2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 spans="3:18" x14ac:dyDescent="0.2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 spans="8:18" x14ac:dyDescent="0.25"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 spans="8:18" x14ac:dyDescent="0.25">
      <c r="H226" s="108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 spans="8:18" x14ac:dyDescent="0.25">
      <c r="H227" s="107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 spans="8:18" x14ac:dyDescent="0.25">
      <c r="H228" s="107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 spans="8:18" x14ac:dyDescent="0.25">
      <c r="H229" s="107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 spans="8:18" x14ac:dyDescent="0.25">
      <c r="H230" s="108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 spans="8:18" x14ac:dyDescent="0.25">
      <c r="H231" s="107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 spans="8:18" x14ac:dyDescent="0.25">
      <c r="H232" s="108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 spans="8:18" x14ac:dyDescent="0.25">
      <c r="H233" s="109"/>
      <c r="I233" s="21"/>
      <c r="L233" s="21"/>
      <c r="M233" s="21"/>
      <c r="N233" s="21"/>
      <c r="O233" s="21"/>
      <c r="P233" s="21"/>
      <c r="Q233" s="21"/>
      <c r="R233" s="21"/>
    </row>
    <row r="234" spans="8:18" x14ac:dyDescent="0.25">
      <c r="M234" s="21"/>
    </row>
    <row r="236" spans="8:18" x14ac:dyDescent="0.25">
      <c r="H236" s="110"/>
    </row>
  </sheetData>
  <mergeCells count="27">
    <mergeCell ref="C67:D67"/>
    <mergeCell ref="F67:G67"/>
    <mergeCell ref="S5:T5"/>
    <mergeCell ref="A39:B39"/>
    <mergeCell ref="A40:B40"/>
    <mergeCell ref="L66:O66"/>
    <mergeCell ref="Q66:R66"/>
    <mergeCell ref="L91:O91"/>
    <mergeCell ref="Q91:R91"/>
    <mergeCell ref="C92:D92"/>
    <mergeCell ref="F92:G92"/>
    <mergeCell ref="L118:O118"/>
    <mergeCell ref="Q118:R118"/>
    <mergeCell ref="C119:D119"/>
    <mergeCell ref="F119:G119"/>
    <mergeCell ref="L146:O146"/>
    <mergeCell ref="Q146:R146"/>
    <mergeCell ref="C147:D147"/>
    <mergeCell ref="F147:G147"/>
    <mergeCell ref="C213:D213"/>
    <mergeCell ref="F213:G213"/>
    <mergeCell ref="L180:O180"/>
    <mergeCell ref="Q180:R180"/>
    <mergeCell ref="C181:D181"/>
    <mergeCell ref="F181:G181"/>
    <mergeCell ref="L212:O212"/>
    <mergeCell ref="Q212:R212"/>
  </mergeCells>
  <conditionalFormatting sqref="F4 H4:N4">
    <cfRule type="cellIs" dxfId="85" priority="1" stopIfTrue="1" operator="greaterThan">
      <formula>0</formula>
    </cfRule>
    <cfRule type="cellIs" dxfId="84" priority="2" stopIfTrue="1" operator="lessThanOrEqual">
      <formula>0</formula>
    </cfRule>
  </conditionalFormatting>
  <conditionalFormatting sqref="T4">
    <cfRule type="cellIs" dxfId="83" priority="13" stopIfTrue="1" operator="greaterThan">
      <formula>0</formula>
    </cfRule>
    <cfRule type="cellIs" dxfId="82" priority="14" stopIfTrue="1" operator="lessThanOrEqual">
      <formula>0</formula>
    </cfRule>
  </conditionalFormatting>
  <conditionalFormatting sqref="O4">
    <cfRule type="cellIs" dxfId="81" priority="12" operator="lessThan">
      <formula>0</formula>
    </cfRule>
  </conditionalFormatting>
  <conditionalFormatting sqref="D4:E4">
    <cfRule type="cellIs" dxfId="80" priority="10" stopIfTrue="1" operator="greaterThan">
      <formula>0</formula>
    </cfRule>
    <cfRule type="cellIs" dxfId="79" priority="11" stopIfTrue="1" operator="lessThanOrEqual">
      <formula>0</formula>
    </cfRule>
  </conditionalFormatting>
  <conditionalFormatting sqref="G4">
    <cfRule type="cellIs" dxfId="78" priority="9" operator="lessThan">
      <formula>0</formula>
    </cfRule>
  </conditionalFormatting>
  <conditionalFormatting sqref="Q4">
    <cfRule type="cellIs" dxfId="77" priority="8" operator="lessThan">
      <formula>0</formula>
    </cfRule>
  </conditionalFormatting>
  <conditionalFormatting sqref="C4">
    <cfRule type="cellIs" dxfId="76" priority="7" operator="lessThan">
      <formula>0</formula>
    </cfRule>
  </conditionalFormatting>
  <conditionalFormatting sqref="P4">
    <cfRule type="cellIs" dxfId="75" priority="5" stopIfTrue="1" operator="greaterThan">
      <formula>0</formula>
    </cfRule>
    <cfRule type="cellIs" dxfId="74" priority="6" stopIfTrue="1" operator="lessThanOrEqual">
      <formula>0</formula>
    </cfRule>
  </conditionalFormatting>
  <conditionalFormatting sqref="R4">
    <cfRule type="cellIs" dxfId="73" priority="3" stopIfTrue="1" operator="greaterThan">
      <formula>0</formula>
    </cfRule>
    <cfRule type="cellIs" dxfId="72" priority="4" stopIfTrue="1" operator="lessThanOrEqual">
      <formula>0</formula>
    </cfRule>
  </conditionalFormatting>
  <pageMargins left="0.7" right="0.7" top="0.75" bottom="0.75" header="0.3" footer="0.3"/>
  <pageSetup paperSize="9" scale="76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"/>
  <sheetViews>
    <sheetView topLeftCell="A22" zoomScaleNormal="100" workbookViewId="0">
      <selection activeCell="C37" sqref="C37"/>
    </sheetView>
  </sheetViews>
  <sheetFormatPr defaultRowHeight="15" x14ac:dyDescent="0.25"/>
  <cols>
    <col min="1" max="1" width="12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0" width="9" style="51" customWidth="1"/>
    <col min="11" max="14" width="9" style="51" hidden="1" customWidth="1"/>
    <col min="15" max="18" width="9.140625" style="51" customWidth="1"/>
    <col min="19" max="16384" width="9.140625" style="51"/>
  </cols>
  <sheetData>
    <row r="1" spans="1:25" x14ac:dyDescent="0.25">
      <c r="P1" s="52" t="s">
        <v>81</v>
      </c>
    </row>
    <row r="2" spans="1:25" ht="15.75" thickBot="1" x14ac:dyDescent="0.3">
      <c r="A2" s="53" t="s">
        <v>82</v>
      </c>
      <c r="C2" s="54" t="s">
        <v>83</v>
      </c>
      <c r="G2" s="54"/>
    </row>
    <row r="3" spans="1:25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5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5" x14ac:dyDescent="0.25">
      <c r="A5" s="59"/>
      <c r="B5" s="60" t="s">
        <v>88</v>
      </c>
      <c r="C5" s="61"/>
      <c r="D5" s="62">
        <f>C40-D40</f>
        <v>-6060</v>
      </c>
      <c r="E5" s="62"/>
      <c r="F5" s="62">
        <f>E40-F40</f>
        <v>11000</v>
      </c>
      <c r="G5" s="61"/>
      <c r="H5" s="62">
        <f>G40-H40</f>
        <v>-10690</v>
      </c>
      <c r="I5" s="62"/>
      <c r="J5" s="62">
        <f>I40-J40</f>
        <v>-5176</v>
      </c>
      <c r="K5" s="62"/>
      <c r="L5" s="62"/>
      <c r="M5" s="62"/>
      <c r="N5" s="62"/>
      <c r="O5" s="61"/>
      <c r="P5" s="62">
        <f>O40-P40</f>
        <v>-4520</v>
      </c>
      <c r="Q5" s="61"/>
      <c r="R5" s="62">
        <f>Q40-R40</f>
        <v>0</v>
      </c>
      <c r="S5" s="63"/>
      <c r="T5" s="101">
        <f>S40-T40</f>
        <v>-1.5474000000000103</v>
      </c>
    </row>
    <row r="6" spans="1:25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5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128</v>
      </c>
      <c r="V7" s="76" t="s">
        <v>129</v>
      </c>
      <c r="W7" s="76" t="s">
        <v>126</v>
      </c>
      <c r="X7" s="76" t="s">
        <v>127</v>
      </c>
      <c r="Y7" s="76" t="s">
        <v>165</v>
      </c>
    </row>
    <row r="8" spans="1:25" x14ac:dyDescent="0.25">
      <c r="A8" s="77">
        <v>42767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 t="shared" ref="S8:S39" si="0">((C8*0.1)+(E8*0.4)+(G8*0.1)+(I8*0.4)+(K8*0.1)+(M8*0.4)+(O8*0.1)+(Q8*0.4))/1000</f>
        <v>0</v>
      </c>
      <c r="T8" s="84">
        <f t="shared" ref="T8:T39" si="1">((D8*0.1)+(F8*0.4)+(H8*0.1)+(J8*0.4)+(L8*0.1)+(N8*0.4)+(P8*0.1)+(R8*0.4))/1000</f>
        <v>0</v>
      </c>
    </row>
    <row r="9" spans="1:25" x14ac:dyDescent="0.25">
      <c r="A9" s="59">
        <f t="shared" ref="A9:A35" si="2">A8+1</f>
        <v>42768</v>
      </c>
      <c r="B9" s="78" t="s">
        <v>104</v>
      </c>
      <c r="C9" s="79"/>
      <c r="D9" s="79"/>
      <c r="E9" s="79"/>
      <c r="F9" s="79"/>
      <c r="G9" s="79"/>
      <c r="H9" s="85">
        <v>5950</v>
      </c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si="0"/>
        <v>0</v>
      </c>
      <c r="T9" s="84">
        <f t="shared" si="1"/>
        <v>0.59499999999999997</v>
      </c>
      <c r="U9" s="51">
        <f t="shared" ref="U9:U38" si="3">D9*100/1000/1000</f>
        <v>0</v>
      </c>
      <c r="V9" s="51">
        <f t="shared" ref="V9:V39" si="4">F9*400/1000/1000</f>
        <v>0</v>
      </c>
      <c r="W9" s="51">
        <f t="shared" ref="W9:W39" si="5">H9*100/1000/1000</f>
        <v>0.59499999999999997</v>
      </c>
      <c r="X9" s="51">
        <f t="shared" ref="X9:X39" si="6">J9*400/1000/1000</f>
        <v>0</v>
      </c>
      <c r="Y9" s="51">
        <f t="shared" ref="Y9:Y39" si="7">P9*100/1000/1000</f>
        <v>0</v>
      </c>
    </row>
    <row r="10" spans="1:25" x14ac:dyDescent="0.25">
      <c r="A10" s="77">
        <f t="shared" si="2"/>
        <v>42769</v>
      </c>
      <c r="B10" s="78" t="s">
        <v>105</v>
      </c>
      <c r="C10" s="79"/>
      <c r="D10" s="79"/>
      <c r="E10" s="79"/>
      <c r="F10" s="79"/>
      <c r="G10" s="79">
        <v>10000</v>
      </c>
      <c r="H10" s="85">
        <v>24395</v>
      </c>
      <c r="I10" s="79">
        <v>7000</v>
      </c>
      <c r="J10" s="85">
        <v>6000</v>
      </c>
      <c r="K10" s="80"/>
      <c r="L10" s="80"/>
      <c r="M10" s="80"/>
      <c r="N10" s="80"/>
      <c r="O10" s="81"/>
      <c r="P10" s="82"/>
      <c r="Q10" s="81"/>
      <c r="R10" s="83"/>
      <c r="S10" s="84">
        <f t="shared" si="0"/>
        <v>3.8</v>
      </c>
      <c r="T10" s="84">
        <f t="shared" si="1"/>
        <v>4.8395000000000001</v>
      </c>
      <c r="U10" s="51">
        <f t="shared" si="3"/>
        <v>0</v>
      </c>
      <c r="V10" s="51">
        <f t="shared" si="4"/>
        <v>0</v>
      </c>
      <c r="W10" s="51">
        <f t="shared" si="5"/>
        <v>2.4394999999999998</v>
      </c>
      <c r="X10" s="51">
        <f t="shared" si="6"/>
        <v>2.4</v>
      </c>
      <c r="Y10" s="51">
        <f t="shared" si="7"/>
        <v>0</v>
      </c>
    </row>
    <row r="11" spans="1:25" x14ac:dyDescent="0.25">
      <c r="A11" s="59">
        <f t="shared" si="2"/>
        <v>42770</v>
      </c>
      <c r="B11" s="78" t="s">
        <v>106</v>
      </c>
      <c r="C11" s="79"/>
      <c r="D11" s="79"/>
      <c r="E11" s="79"/>
      <c r="F11" s="79"/>
      <c r="G11" s="79">
        <v>15000</v>
      </c>
      <c r="H11" s="85">
        <v>26670</v>
      </c>
      <c r="I11" s="79">
        <v>10000</v>
      </c>
      <c r="J11" s="85">
        <v>11448</v>
      </c>
      <c r="K11" s="80"/>
      <c r="L11" s="80"/>
      <c r="M11" s="80"/>
      <c r="N11" s="86"/>
      <c r="O11" s="86"/>
      <c r="P11" s="86"/>
      <c r="Q11" s="86"/>
      <c r="R11" s="86"/>
      <c r="S11" s="87">
        <f t="shared" si="0"/>
        <v>5.5</v>
      </c>
      <c r="T11" s="87">
        <f t="shared" si="1"/>
        <v>7.2462</v>
      </c>
      <c r="U11" s="51">
        <f t="shared" si="3"/>
        <v>0</v>
      </c>
      <c r="V11" s="51">
        <f t="shared" si="4"/>
        <v>0</v>
      </c>
      <c r="W11" s="51">
        <f t="shared" si="5"/>
        <v>2.6669999999999998</v>
      </c>
      <c r="X11" s="51">
        <f t="shared" si="6"/>
        <v>4.5792000000000002</v>
      </c>
      <c r="Y11" s="51">
        <f t="shared" si="7"/>
        <v>0</v>
      </c>
    </row>
    <row r="12" spans="1:25" x14ac:dyDescent="0.25">
      <c r="A12" s="59">
        <f t="shared" si="2"/>
        <v>42771</v>
      </c>
      <c r="B12" s="78" t="s">
        <v>107</v>
      </c>
      <c r="C12" s="79"/>
      <c r="D12" s="79"/>
      <c r="E12" s="79"/>
      <c r="F12" s="79"/>
      <c r="G12" s="79">
        <v>25000</v>
      </c>
      <c r="H12" s="85">
        <v>26775</v>
      </c>
      <c r="I12" s="79">
        <v>10000</v>
      </c>
      <c r="J12" s="85">
        <v>10656</v>
      </c>
      <c r="K12" s="80"/>
      <c r="L12" s="80"/>
      <c r="M12" s="80"/>
      <c r="N12" s="86"/>
      <c r="O12" s="81"/>
      <c r="P12" s="83"/>
      <c r="Q12" s="81"/>
      <c r="R12" s="83"/>
      <c r="S12" s="84">
        <f t="shared" si="0"/>
        <v>6.5</v>
      </c>
      <c r="T12" s="84">
        <f t="shared" si="1"/>
        <v>6.9399000000000006</v>
      </c>
      <c r="U12" s="51">
        <f t="shared" si="3"/>
        <v>0</v>
      </c>
      <c r="V12" s="51">
        <f t="shared" si="4"/>
        <v>0</v>
      </c>
      <c r="W12" s="51">
        <f t="shared" si="5"/>
        <v>2.6775000000000002</v>
      </c>
      <c r="X12" s="51">
        <f t="shared" si="6"/>
        <v>4.2623999999999995</v>
      </c>
      <c r="Y12" s="51">
        <f t="shared" si="7"/>
        <v>0</v>
      </c>
    </row>
    <row r="13" spans="1:25" x14ac:dyDescent="0.25">
      <c r="A13" s="77">
        <f t="shared" si="2"/>
        <v>42772</v>
      </c>
      <c r="B13" s="78" t="s">
        <v>108</v>
      </c>
      <c r="C13" s="79"/>
      <c r="D13" s="79"/>
      <c r="E13" s="79"/>
      <c r="F13" s="79"/>
      <c r="G13" s="79">
        <v>25000</v>
      </c>
      <c r="H13" s="85">
        <v>9800</v>
      </c>
      <c r="I13" s="79">
        <v>10000</v>
      </c>
      <c r="J13" s="85">
        <v>8880</v>
      </c>
      <c r="K13" s="80"/>
      <c r="L13" s="80"/>
      <c r="M13" s="80"/>
      <c r="N13" s="86"/>
      <c r="O13" s="83"/>
      <c r="P13" s="83"/>
      <c r="Q13" s="83"/>
      <c r="R13" s="83"/>
      <c r="S13" s="84">
        <f t="shared" si="0"/>
        <v>6.5</v>
      </c>
      <c r="T13" s="84">
        <f t="shared" si="1"/>
        <v>4.532</v>
      </c>
      <c r="U13" s="51">
        <f t="shared" si="3"/>
        <v>0</v>
      </c>
      <c r="V13" s="51">
        <f t="shared" si="4"/>
        <v>0</v>
      </c>
      <c r="W13" s="51">
        <f t="shared" si="5"/>
        <v>0.98</v>
      </c>
      <c r="X13" s="51">
        <f t="shared" si="6"/>
        <v>3.552</v>
      </c>
      <c r="Y13" s="51">
        <f t="shared" si="7"/>
        <v>0</v>
      </c>
    </row>
    <row r="14" spans="1:25" x14ac:dyDescent="0.25">
      <c r="A14" s="59">
        <f t="shared" si="2"/>
        <v>42773</v>
      </c>
      <c r="B14" s="78" t="s">
        <v>110</v>
      </c>
      <c r="C14" s="79"/>
      <c r="D14" s="79"/>
      <c r="E14" s="79"/>
      <c r="F14" s="79"/>
      <c r="G14" s="79">
        <v>25000</v>
      </c>
      <c r="H14" s="85">
        <v>6580</v>
      </c>
      <c r="I14" s="79">
        <v>10000</v>
      </c>
      <c r="J14" s="85">
        <v>9168</v>
      </c>
      <c r="K14" s="80"/>
      <c r="L14" s="80"/>
      <c r="M14" s="80"/>
      <c r="N14" s="86"/>
      <c r="O14" s="83"/>
      <c r="P14" s="83"/>
      <c r="Q14" s="83"/>
      <c r="R14" s="83"/>
      <c r="S14" s="84">
        <f t="shared" si="0"/>
        <v>6.5</v>
      </c>
      <c r="T14" s="84">
        <f t="shared" si="1"/>
        <v>4.3252000000000006</v>
      </c>
      <c r="U14" s="51">
        <f t="shared" si="3"/>
        <v>0</v>
      </c>
      <c r="V14" s="51">
        <f t="shared" si="4"/>
        <v>0</v>
      </c>
      <c r="W14" s="51">
        <f t="shared" si="5"/>
        <v>0.65800000000000003</v>
      </c>
      <c r="X14" s="51">
        <f t="shared" si="6"/>
        <v>3.6671999999999998</v>
      </c>
      <c r="Y14" s="51">
        <f t="shared" si="7"/>
        <v>0</v>
      </c>
    </row>
    <row r="15" spans="1:25" x14ac:dyDescent="0.25">
      <c r="A15" s="77">
        <f t="shared" si="2"/>
        <v>42774</v>
      </c>
      <c r="B15" s="78" t="s">
        <v>103</v>
      </c>
      <c r="C15" s="79">
        <v>5000</v>
      </c>
      <c r="D15" s="85">
        <v>12950</v>
      </c>
      <c r="E15" s="79">
        <v>5000</v>
      </c>
      <c r="F15" s="85">
        <v>3840</v>
      </c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2.5</v>
      </c>
      <c r="T15" s="84">
        <f t="shared" si="1"/>
        <v>2.831</v>
      </c>
      <c r="U15" s="51">
        <f t="shared" si="3"/>
        <v>1.2949999999999999</v>
      </c>
      <c r="V15" s="51">
        <f t="shared" si="4"/>
        <v>1.536</v>
      </c>
      <c r="W15" s="51">
        <f t="shared" si="5"/>
        <v>0</v>
      </c>
      <c r="X15" s="51">
        <f t="shared" si="6"/>
        <v>0</v>
      </c>
      <c r="Y15" s="51">
        <f t="shared" si="7"/>
        <v>0</v>
      </c>
    </row>
    <row r="16" spans="1:25" x14ac:dyDescent="0.25">
      <c r="A16" s="59">
        <f t="shared" si="2"/>
        <v>42775</v>
      </c>
      <c r="B16" s="78" t="s">
        <v>104</v>
      </c>
      <c r="C16" s="79">
        <v>25000</v>
      </c>
      <c r="D16" s="85">
        <v>27825</v>
      </c>
      <c r="E16" s="79">
        <v>10000</v>
      </c>
      <c r="F16" s="85">
        <v>8400</v>
      </c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0"/>
        <v>6.5</v>
      </c>
      <c r="T16" s="84">
        <f t="shared" si="1"/>
        <v>6.1425000000000001</v>
      </c>
      <c r="U16" s="51">
        <f t="shared" si="3"/>
        <v>2.7825000000000002</v>
      </c>
      <c r="V16" s="51">
        <f t="shared" si="4"/>
        <v>3.36</v>
      </c>
      <c r="W16" s="51">
        <f t="shared" si="5"/>
        <v>0</v>
      </c>
      <c r="X16" s="51">
        <f t="shared" si="6"/>
        <v>0</v>
      </c>
      <c r="Y16" s="51">
        <f t="shared" si="7"/>
        <v>0</v>
      </c>
    </row>
    <row r="17" spans="1:25" x14ac:dyDescent="0.25">
      <c r="A17" s="77">
        <f t="shared" si="2"/>
        <v>42776</v>
      </c>
      <c r="B17" s="78" t="s">
        <v>105</v>
      </c>
      <c r="C17" s="79">
        <v>25000</v>
      </c>
      <c r="D17" s="85">
        <v>28700</v>
      </c>
      <c r="E17" s="79">
        <v>10000</v>
      </c>
      <c r="F17" s="85">
        <v>9360</v>
      </c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0"/>
        <v>6.5</v>
      </c>
      <c r="T17" s="84">
        <f t="shared" si="1"/>
        <v>6.6139999999999999</v>
      </c>
      <c r="U17" s="51">
        <f t="shared" si="3"/>
        <v>2.87</v>
      </c>
      <c r="V17" s="51">
        <f t="shared" si="4"/>
        <v>3.7440000000000002</v>
      </c>
      <c r="W17" s="51">
        <f t="shared" si="5"/>
        <v>0</v>
      </c>
      <c r="X17" s="51">
        <f t="shared" si="6"/>
        <v>0</v>
      </c>
      <c r="Y17" s="51">
        <f t="shared" si="7"/>
        <v>0</v>
      </c>
    </row>
    <row r="18" spans="1:25" x14ac:dyDescent="0.25">
      <c r="A18" s="59">
        <f t="shared" si="2"/>
        <v>42777</v>
      </c>
      <c r="B18" s="78" t="s">
        <v>106</v>
      </c>
      <c r="C18" s="79">
        <v>45000</v>
      </c>
      <c r="D18" s="85">
        <v>39375</v>
      </c>
      <c r="E18" s="79">
        <v>10000</v>
      </c>
      <c r="F18" s="85">
        <v>2400</v>
      </c>
      <c r="G18" s="79"/>
      <c r="H18" s="79"/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0"/>
        <v>8.5</v>
      </c>
      <c r="T18" s="87">
        <f t="shared" si="1"/>
        <v>4.8975</v>
      </c>
      <c r="U18" s="51">
        <f t="shared" si="3"/>
        <v>3.9375</v>
      </c>
      <c r="V18" s="51">
        <f t="shared" si="4"/>
        <v>0.96</v>
      </c>
      <c r="W18" s="51">
        <f t="shared" si="5"/>
        <v>0</v>
      </c>
      <c r="X18" s="51">
        <f t="shared" si="6"/>
        <v>0</v>
      </c>
      <c r="Y18" s="51">
        <f t="shared" si="7"/>
        <v>0</v>
      </c>
    </row>
    <row r="19" spans="1:25" x14ac:dyDescent="0.25">
      <c r="A19" s="59">
        <f t="shared" si="2"/>
        <v>42778</v>
      </c>
      <c r="B19" s="78" t="s">
        <v>107</v>
      </c>
      <c r="C19" s="79">
        <v>45000</v>
      </c>
      <c r="D19" s="85">
        <v>48335</v>
      </c>
      <c r="E19" s="79"/>
      <c r="F19" s="85"/>
      <c r="G19" s="79"/>
      <c r="H19" s="79"/>
      <c r="I19" s="79"/>
      <c r="J19" s="79"/>
      <c r="K19" s="80"/>
      <c r="L19" s="80"/>
      <c r="M19" s="86"/>
      <c r="N19" s="86"/>
      <c r="O19" s="81"/>
      <c r="P19" s="81"/>
      <c r="Q19" s="81"/>
      <c r="R19" s="81"/>
      <c r="S19" s="84">
        <f t="shared" si="0"/>
        <v>4.5</v>
      </c>
      <c r="T19" s="84">
        <f t="shared" si="1"/>
        <v>4.8334999999999999</v>
      </c>
      <c r="U19" s="51">
        <f t="shared" si="3"/>
        <v>4.8334999999999999</v>
      </c>
      <c r="V19" s="51">
        <f t="shared" si="4"/>
        <v>0</v>
      </c>
      <c r="W19" s="51">
        <f t="shared" si="5"/>
        <v>0</v>
      </c>
      <c r="X19" s="51">
        <f t="shared" si="6"/>
        <v>0</v>
      </c>
      <c r="Y19" s="51">
        <f t="shared" si="7"/>
        <v>0</v>
      </c>
    </row>
    <row r="20" spans="1:25" x14ac:dyDescent="0.25">
      <c r="A20" s="77">
        <f t="shared" si="2"/>
        <v>42779</v>
      </c>
      <c r="B20" s="78" t="s">
        <v>108</v>
      </c>
      <c r="C20" s="79">
        <v>5000</v>
      </c>
      <c r="D20" s="79"/>
      <c r="E20" s="79"/>
      <c r="F20" s="85"/>
      <c r="G20" s="79"/>
      <c r="H20" s="79"/>
      <c r="I20" s="79"/>
      <c r="J20" s="79"/>
      <c r="K20" s="80"/>
      <c r="L20" s="80"/>
      <c r="M20" s="86"/>
      <c r="N20" s="86"/>
      <c r="O20" s="81"/>
      <c r="P20" s="81"/>
      <c r="Q20" s="81"/>
      <c r="R20" s="81"/>
      <c r="S20" s="84">
        <f t="shared" si="0"/>
        <v>0.5</v>
      </c>
      <c r="T20" s="84">
        <f t="shared" si="1"/>
        <v>0</v>
      </c>
      <c r="U20" s="51">
        <f t="shared" si="3"/>
        <v>0</v>
      </c>
      <c r="V20" s="51">
        <f t="shared" si="4"/>
        <v>0</v>
      </c>
      <c r="W20" s="51">
        <f t="shared" si="5"/>
        <v>0</v>
      </c>
      <c r="X20" s="51">
        <f t="shared" si="6"/>
        <v>0</v>
      </c>
      <c r="Y20" s="51">
        <f t="shared" si="7"/>
        <v>0</v>
      </c>
    </row>
    <row r="21" spans="1:25" x14ac:dyDescent="0.25">
      <c r="A21" s="59">
        <f t="shared" si="2"/>
        <v>42780</v>
      </c>
      <c r="B21" s="78" t="s">
        <v>110</v>
      </c>
      <c r="C21" s="79"/>
      <c r="D21" s="85"/>
      <c r="E21" s="79"/>
      <c r="F21" s="85"/>
      <c r="G21" s="79"/>
      <c r="H21" s="79"/>
      <c r="I21" s="79"/>
      <c r="J21" s="79"/>
      <c r="K21" s="80"/>
      <c r="L21" s="80"/>
      <c r="M21" s="86"/>
      <c r="N21" s="86"/>
      <c r="O21" s="81"/>
      <c r="P21" s="86"/>
      <c r="Q21" s="81"/>
      <c r="R21" s="83"/>
      <c r="S21" s="84">
        <f t="shared" si="0"/>
        <v>0</v>
      </c>
      <c r="T21" s="84">
        <f t="shared" si="1"/>
        <v>0</v>
      </c>
      <c r="U21" s="51">
        <f t="shared" si="3"/>
        <v>0</v>
      </c>
      <c r="V21" s="51">
        <f t="shared" si="4"/>
        <v>0</v>
      </c>
      <c r="W21" s="51">
        <f t="shared" si="5"/>
        <v>0</v>
      </c>
      <c r="X21" s="51">
        <f t="shared" si="6"/>
        <v>0</v>
      </c>
      <c r="Y21" s="51">
        <f t="shared" si="7"/>
        <v>0</v>
      </c>
    </row>
    <row r="22" spans="1:25" x14ac:dyDescent="0.25">
      <c r="A22" s="77">
        <f t="shared" si="2"/>
        <v>42781</v>
      </c>
      <c r="B22" s="78" t="s">
        <v>103</v>
      </c>
      <c r="C22" s="88"/>
      <c r="D22" s="85"/>
      <c r="E22" s="85"/>
      <c r="F22" s="85"/>
      <c r="G22" s="88"/>
      <c r="H22" s="88"/>
      <c r="I22" s="88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0"/>
        <v>0</v>
      </c>
      <c r="T22" s="84">
        <f t="shared" si="1"/>
        <v>0</v>
      </c>
      <c r="U22" s="51">
        <f t="shared" si="3"/>
        <v>0</v>
      </c>
      <c r="V22" s="51">
        <f t="shared" si="4"/>
        <v>0</v>
      </c>
      <c r="W22" s="51">
        <f t="shared" si="5"/>
        <v>0</v>
      </c>
      <c r="X22" s="51">
        <f t="shared" si="6"/>
        <v>0</v>
      </c>
      <c r="Y22" s="51">
        <f t="shared" si="7"/>
        <v>0</v>
      </c>
    </row>
    <row r="23" spans="1:25" x14ac:dyDescent="0.25">
      <c r="A23" s="59">
        <f t="shared" si="2"/>
        <v>42782</v>
      </c>
      <c r="B23" s="78" t="s">
        <v>104</v>
      </c>
      <c r="C23" s="88"/>
      <c r="D23" s="85"/>
      <c r="E23" s="85"/>
      <c r="F23" s="79"/>
      <c r="G23" s="88"/>
      <c r="H23" s="85"/>
      <c r="I23" s="88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0"/>
        <v>0</v>
      </c>
      <c r="T23" s="84">
        <f t="shared" si="1"/>
        <v>0</v>
      </c>
      <c r="U23" s="51">
        <f t="shared" si="3"/>
        <v>0</v>
      </c>
      <c r="V23" s="51">
        <f t="shared" si="4"/>
        <v>0</v>
      </c>
      <c r="W23" s="51">
        <f t="shared" si="5"/>
        <v>0</v>
      </c>
      <c r="X23" s="51">
        <f t="shared" si="6"/>
        <v>0</v>
      </c>
      <c r="Y23" s="51">
        <f t="shared" si="7"/>
        <v>0</v>
      </c>
    </row>
    <row r="24" spans="1:25" x14ac:dyDescent="0.25">
      <c r="A24" s="77">
        <f t="shared" si="2"/>
        <v>42783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0"/>
        <v>0</v>
      </c>
      <c r="T24" s="84">
        <f t="shared" si="1"/>
        <v>0</v>
      </c>
      <c r="U24" s="51">
        <f t="shared" si="3"/>
        <v>0</v>
      </c>
      <c r="V24" s="51">
        <f t="shared" si="4"/>
        <v>0</v>
      </c>
      <c r="W24" s="51">
        <f t="shared" si="5"/>
        <v>0</v>
      </c>
      <c r="X24" s="51">
        <f t="shared" si="6"/>
        <v>0</v>
      </c>
      <c r="Y24" s="51">
        <f t="shared" si="7"/>
        <v>0</v>
      </c>
    </row>
    <row r="25" spans="1:25" x14ac:dyDescent="0.25">
      <c r="A25" s="59">
        <f t="shared" si="2"/>
        <v>42784</v>
      </c>
      <c r="B25" s="78" t="s">
        <v>106</v>
      </c>
      <c r="C25" s="88"/>
      <c r="D25" s="88"/>
      <c r="E25" s="88"/>
      <c r="F25" s="88"/>
      <c r="G25" s="88"/>
      <c r="H25" s="88"/>
      <c r="I25" s="88"/>
      <c r="J25" s="88"/>
      <c r="K25" s="80"/>
      <c r="L25" s="86"/>
      <c r="M25" s="80"/>
      <c r="N25" s="81"/>
      <c r="O25" s="81">
        <v>17500</v>
      </c>
      <c r="P25" s="86">
        <v>16345</v>
      </c>
      <c r="Q25" s="81"/>
      <c r="R25" s="81"/>
      <c r="S25" s="87">
        <f t="shared" si="0"/>
        <v>1.75</v>
      </c>
      <c r="T25" s="87">
        <f t="shared" si="1"/>
        <v>1.6345000000000001</v>
      </c>
      <c r="U25" s="51">
        <f t="shared" si="3"/>
        <v>0</v>
      </c>
      <c r="V25" s="51">
        <f t="shared" si="4"/>
        <v>0</v>
      </c>
      <c r="W25" s="51">
        <f t="shared" si="5"/>
        <v>0</v>
      </c>
      <c r="X25" s="51">
        <f t="shared" si="6"/>
        <v>0</v>
      </c>
      <c r="Y25" s="51">
        <f t="shared" si="7"/>
        <v>1.6345000000000001</v>
      </c>
    </row>
    <row r="26" spans="1:25" x14ac:dyDescent="0.25">
      <c r="A26" s="59">
        <f t="shared" si="2"/>
        <v>42785</v>
      </c>
      <c r="B26" s="78" t="s">
        <v>107</v>
      </c>
      <c r="C26" s="88"/>
      <c r="D26" s="88"/>
      <c r="E26" s="88"/>
      <c r="F26" s="88"/>
      <c r="G26" s="88"/>
      <c r="H26" s="88"/>
      <c r="I26" s="88"/>
      <c r="J26" s="88"/>
      <c r="K26" s="80"/>
      <c r="L26" s="86"/>
      <c r="M26" s="80"/>
      <c r="N26" s="81"/>
      <c r="O26" s="81">
        <v>25000</v>
      </c>
      <c r="P26" s="86">
        <v>26775</v>
      </c>
      <c r="Q26" s="81"/>
      <c r="R26" s="86"/>
      <c r="S26" s="87">
        <f t="shared" si="0"/>
        <v>2.5</v>
      </c>
      <c r="T26" s="87">
        <f t="shared" si="1"/>
        <v>2.6775000000000002</v>
      </c>
      <c r="U26" s="51">
        <f t="shared" si="3"/>
        <v>0</v>
      </c>
      <c r="V26" s="51">
        <f t="shared" si="4"/>
        <v>0</v>
      </c>
      <c r="W26" s="51">
        <f t="shared" si="5"/>
        <v>0</v>
      </c>
      <c r="X26" s="51">
        <f t="shared" si="6"/>
        <v>0</v>
      </c>
      <c r="Y26" s="51">
        <f t="shared" si="7"/>
        <v>2.6775000000000002</v>
      </c>
    </row>
    <row r="27" spans="1:25" x14ac:dyDescent="0.25">
      <c r="A27" s="77">
        <f t="shared" si="2"/>
        <v>42786</v>
      </c>
      <c r="B27" s="78" t="s">
        <v>108</v>
      </c>
      <c r="C27" s="88"/>
      <c r="D27" s="88"/>
      <c r="E27" s="88"/>
      <c r="F27" s="88"/>
      <c r="G27" s="88"/>
      <c r="H27" s="88"/>
      <c r="I27" s="88"/>
      <c r="J27" s="88"/>
      <c r="K27" s="81"/>
      <c r="L27" s="86"/>
      <c r="M27" s="80"/>
      <c r="N27" s="81"/>
      <c r="O27" s="81">
        <v>25000</v>
      </c>
      <c r="P27" s="86">
        <v>27230</v>
      </c>
      <c r="Q27" s="81"/>
      <c r="R27" s="86"/>
      <c r="S27" s="87">
        <f t="shared" si="0"/>
        <v>2.5</v>
      </c>
      <c r="T27" s="87">
        <f t="shared" si="1"/>
        <v>2.7229999999999999</v>
      </c>
      <c r="U27" s="51">
        <f t="shared" si="3"/>
        <v>0</v>
      </c>
      <c r="V27" s="51">
        <f t="shared" si="4"/>
        <v>0</v>
      </c>
      <c r="W27" s="51">
        <f t="shared" si="5"/>
        <v>0</v>
      </c>
      <c r="X27" s="51">
        <f t="shared" si="6"/>
        <v>0</v>
      </c>
      <c r="Y27" s="51">
        <f t="shared" si="7"/>
        <v>2.7229999999999999</v>
      </c>
    </row>
    <row r="28" spans="1:25" x14ac:dyDescent="0.25">
      <c r="A28" s="59">
        <f t="shared" si="2"/>
        <v>42787</v>
      </c>
      <c r="B28" s="78" t="s">
        <v>110</v>
      </c>
      <c r="C28" s="88"/>
      <c r="D28" s="88"/>
      <c r="E28" s="88"/>
      <c r="F28" s="88"/>
      <c r="G28" s="88"/>
      <c r="H28" s="85">
        <v>5250</v>
      </c>
      <c r="I28" s="88"/>
      <c r="J28" s="88"/>
      <c r="K28" s="81"/>
      <c r="L28" s="86"/>
      <c r="M28" s="80"/>
      <c r="N28" s="81"/>
      <c r="O28" s="81">
        <v>25000</v>
      </c>
      <c r="P28" s="86">
        <v>22750</v>
      </c>
      <c r="Q28" s="81"/>
      <c r="R28" s="86"/>
      <c r="S28" s="87">
        <f t="shared" si="0"/>
        <v>2.5</v>
      </c>
      <c r="T28" s="87">
        <f t="shared" si="1"/>
        <v>2.8</v>
      </c>
      <c r="U28" s="51">
        <f t="shared" si="3"/>
        <v>0</v>
      </c>
      <c r="V28" s="51">
        <f t="shared" si="4"/>
        <v>0</v>
      </c>
      <c r="W28" s="51">
        <f t="shared" si="5"/>
        <v>0.52500000000000002</v>
      </c>
      <c r="X28" s="51">
        <f t="shared" si="6"/>
        <v>0</v>
      </c>
      <c r="Y28" s="51">
        <f t="shared" si="7"/>
        <v>2.2749999999999999</v>
      </c>
    </row>
    <row r="29" spans="1:25" x14ac:dyDescent="0.25">
      <c r="A29" s="77">
        <f t="shared" si="2"/>
        <v>42788</v>
      </c>
      <c r="B29" s="78" t="s">
        <v>103</v>
      </c>
      <c r="C29" s="88"/>
      <c r="D29" s="88"/>
      <c r="E29" s="88"/>
      <c r="F29" s="88"/>
      <c r="G29" s="88">
        <v>25000</v>
      </c>
      <c r="H29" s="85">
        <v>17745</v>
      </c>
      <c r="I29" s="88"/>
      <c r="J29" s="85">
        <v>4848</v>
      </c>
      <c r="K29" s="80"/>
      <c r="L29" s="86"/>
      <c r="M29" s="80"/>
      <c r="N29" s="81"/>
      <c r="O29" s="81"/>
      <c r="P29" s="86"/>
      <c r="Q29" s="81"/>
      <c r="R29" s="81"/>
      <c r="S29" s="87">
        <f t="shared" si="0"/>
        <v>2.5</v>
      </c>
      <c r="T29" s="87">
        <f t="shared" si="1"/>
        <v>3.7136999999999998</v>
      </c>
      <c r="U29" s="51">
        <f t="shared" si="3"/>
        <v>0</v>
      </c>
      <c r="V29" s="51">
        <f t="shared" si="4"/>
        <v>0</v>
      </c>
      <c r="W29" s="51">
        <f t="shared" si="5"/>
        <v>1.7745</v>
      </c>
      <c r="X29" s="51">
        <f t="shared" si="6"/>
        <v>1.9392</v>
      </c>
      <c r="Y29" s="51">
        <f t="shared" si="7"/>
        <v>0</v>
      </c>
    </row>
    <row r="30" spans="1:25" x14ac:dyDescent="0.25">
      <c r="A30" s="59">
        <f t="shared" si="2"/>
        <v>42789</v>
      </c>
      <c r="B30" s="78" t="s">
        <v>104</v>
      </c>
      <c r="C30" s="88"/>
      <c r="D30" s="88"/>
      <c r="E30" s="88"/>
      <c r="F30" s="88"/>
      <c r="G30" s="88">
        <v>25000</v>
      </c>
      <c r="H30" s="85">
        <v>20020</v>
      </c>
      <c r="I30" s="88"/>
      <c r="J30" s="85">
        <v>1176</v>
      </c>
      <c r="K30" s="80"/>
      <c r="L30" s="86"/>
      <c r="M30" s="80"/>
      <c r="N30" s="81"/>
      <c r="O30" s="81"/>
      <c r="P30" s="81"/>
      <c r="Q30" s="81"/>
      <c r="R30" s="81"/>
      <c r="S30" s="87">
        <f t="shared" si="0"/>
        <v>2.5</v>
      </c>
      <c r="T30" s="87">
        <f t="shared" si="1"/>
        <v>2.4723999999999999</v>
      </c>
      <c r="U30" s="51">
        <f t="shared" si="3"/>
        <v>0</v>
      </c>
      <c r="V30" s="51">
        <f t="shared" si="4"/>
        <v>0</v>
      </c>
      <c r="W30" s="51">
        <f t="shared" si="5"/>
        <v>2.0019999999999998</v>
      </c>
      <c r="X30" s="51">
        <f t="shared" si="6"/>
        <v>0.47039999999999998</v>
      </c>
      <c r="Y30" s="51">
        <f t="shared" si="7"/>
        <v>0</v>
      </c>
    </row>
    <row r="31" spans="1:25" x14ac:dyDescent="0.25">
      <c r="A31" s="77">
        <f t="shared" si="2"/>
        <v>42790</v>
      </c>
      <c r="B31" s="78" t="s">
        <v>105</v>
      </c>
      <c r="C31" s="88"/>
      <c r="D31" s="88"/>
      <c r="E31" s="88"/>
      <c r="F31" s="85"/>
      <c r="G31" s="88">
        <v>5000</v>
      </c>
      <c r="H31" s="85">
        <v>19740</v>
      </c>
      <c r="I31" s="88"/>
      <c r="J31" s="85"/>
      <c r="K31" s="80"/>
      <c r="L31" s="81"/>
      <c r="M31" s="81"/>
      <c r="N31" s="81"/>
      <c r="O31" s="81"/>
      <c r="P31" s="81"/>
      <c r="Q31" s="81"/>
      <c r="R31" s="81"/>
      <c r="S31" s="87">
        <f t="shared" si="0"/>
        <v>0.5</v>
      </c>
      <c r="T31" s="87">
        <f t="shared" si="1"/>
        <v>1.974</v>
      </c>
      <c r="U31" s="51">
        <f t="shared" si="3"/>
        <v>0</v>
      </c>
      <c r="V31" s="51">
        <f t="shared" si="4"/>
        <v>0</v>
      </c>
      <c r="W31" s="51">
        <f t="shared" si="5"/>
        <v>1.974</v>
      </c>
      <c r="X31" s="51">
        <f t="shared" si="6"/>
        <v>0</v>
      </c>
      <c r="Y31" s="51">
        <f t="shared" si="7"/>
        <v>0</v>
      </c>
    </row>
    <row r="32" spans="1:25" x14ac:dyDescent="0.25">
      <c r="A32" s="59">
        <f t="shared" si="2"/>
        <v>42791</v>
      </c>
      <c r="B32" s="78" t="s">
        <v>106</v>
      </c>
      <c r="C32" s="88">
        <v>25000</v>
      </c>
      <c r="D32" s="85">
        <v>6230</v>
      </c>
      <c r="E32" s="88"/>
      <c r="F32" s="85"/>
      <c r="G32" s="88"/>
      <c r="H32" s="85">
        <v>2765</v>
      </c>
      <c r="I32" s="88"/>
      <c r="J32" s="88"/>
      <c r="K32" s="80"/>
      <c r="L32" s="81"/>
      <c r="M32" s="81"/>
      <c r="N32" s="81"/>
      <c r="O32" s="81"/>
      <c r="P32" s="86">
        <v>3920</v>
      </c>
      <c r="Q32" s="81"/>
      <c r="R32" s="81"/>
      <c r="S32" s="87">
        <f t="shared" si="0"/>
        <v>2.5</v>
      </c>
      <c r="T32" s="87">
        <f t="shared" si="1"/>
        <v>1.2915000000000001</v>
      </c>
      <c r="U32" s="51">
        <f t="shared" si="3"/>
        <v>0.623</v>
      </c>
      <c r="V32" s="51">
        <f t="shared" si="4"/>
        <v>0</v>
      </c>
      <c r="W32" s="51">
        <f t="shared" si="5"/>
        <v>0.27650000000000002</v>
      </c>
      <c r="X32" s="51">
        <f t="shared" si="6"/>
        <v>0</v>
      </c>
      <c r="Y32" s="51">
        <f t="shared" si="7"/>
        <v>0.39200000000000002</v>
      </c>
    </row>
    <row r="33" spans="1:26" x14ac:dyDescent="0.25">
      <c r="A33" s="59">
        <f t="shared" si="2"/>
        <v>42792</v>
      </c>
      <c r="B33" s="78" t="s">
        <v>107</v>
      </c>
      <c r="C33" s="88">
        <v>25000</v>
      </c>
      <c r="D33" s="85">
        <v>27545</v>
      </c>
      <c r="E33" s="88"/>
      <c r="F33" s="85"/>
      <c r="G33" s="88"/>
      <c r="H33" s="88"/>
      <c r="I33" s="88"/>
      <c r="J33" s="88"/>
      <c r="K33" s="80"/>
      <c r="L33" s="81"/>
      <c r="M33" s="81"/>
      <c r="N33" s="81"/>
      <c r="O33" s="81"/>
      <c r="P33" s="83"/>
      <c r="Q33" s="81"/>
      <c r="R33" s="83"/>
      <c r="S33" s="84">
        <f t="shared" si="0"/>
        <v>2.5</v>
      </c>
      <c r="T33" s="84">
        <f t="shared" si="1"/>
        <v>2.7545000000000002</v>
      </c>
      <c r="U33" s="51">
        <f t="shared" si="3"/>
        <v>2.7545000000000002</v>
      </c>
      <c r="V33" s="51">
        <f t="shared" si="4"/>
        <v>0</v>
      </c>
      <c r="W33" s="51">
        <f t="shared" si="5"/>
        <v>0</v>
      </c>
      <c r="X33" s="51">
        <f t="shared" si="6"/>
        <v>0</v>
      </c>
      <c r="Y33" s="51">
        <f t="shared" si="7"/>
        <v>0</v>
      </c>
    </row>
    <row r="34" spans="1:26" x14ac:dyDescent="0.25">
      <c r="A34" s="77">
        <f t="shared" si="2"/>
        <v>42793</v>
      </c>
      <c r="B34" s="78" t="s">
        <v>108</v>
      </c>
      <c r="C34" s="88">
        <v>25000</v>
      </c>
      <c r="D34" s="85">
        <v>30275</v>
      </c>
      <c r="E34" s="88"/>
      <c r="F34" s="88"/>
      <c r="G34" s="88"/>
      <c r="H34" s="88"/>
      <c r="I34" s="88"/>
      <c r="J34" s="88"/>
      <c r="K34" s="80"/>
      <c r="L34" s="86"/>
      <c r="M34" s="80"/>
      <c r="N34" s="81"/>
      <c r="O34" s="81"/>
      <c r="P34" s="83"/>
      <c r="Q34" s="81"/>
      <c r="R34" s="83"/>
      <c r="S34" s="84">
        <f t="shared" si="0"/>
        <v>2.5</v>
      </c>
      <c r="T34" s="84">
        <f t="shared" si="1"/>
        <v>3.0274999999999999</v>
      </c>
      <c r="U34" s="51">
        <f t="shared" si="3"/>
        <v>3.0274999999999999</v>
      </c>
      <c r="V34" s="51">
        <f t="shared" si="4"/>
        <v>0</v>
      </c>
      <c r="W34" s="51">
        <f t="shared" si="5"/>
        <v>0</v>
      </c>
      <c r="X34" s="51">
        <f t="shared" si="6"/>
        <v>0</v>
      </c>
      <c r="Y34" s="51">
        <f t="shared" si="7"/>
        <v>0</v>
      </c>
    </row>
    <row r="35" spans="1:26" x14ac:dyDescent="0.25">
      <c r="A35" s="59">
        <f t="shared" si="2"/>
        <v>42794</v>
      </c>
      <c r="B35" s="78" t="s">
        <v>110</v>
      </c>
      <c r="C35" s="88">
        <v>25000</v>
      </c>
      <c r="D35" s="85">
        <v>34825</v>
      </c>
      <c r="E35" s="88"/>
      <c r="F35" s="85"/>
      <c r="G35" s="88"/>
      <c r="H35" s="88"/>
      <c r="I35" s="88"/>
      <c r="J35" s="88"/>
      <c r="K35" s="80"/>
      <c r="L35" s="81"/>
      <c r="M35" s="81"/>
      <c r="N35" s="81"/>
      <c r="O35" s="81"/>
      <c r="P35" s="81"/>
      <c r="Q35" s="81"/>
      <c r="R35" s="83"/>
      <c r="S35" s="84">
        <f t="shared" si="0"/>
        <v>2.5</v>
      </c>
      <c r="T35" s="84">
        <f t="shared" si="1"/>
        <v>3.4824999999999999</v>
      </c>
      <c r="U35" s="51">
        <f t="shared" si="3"/>
        <v>3.4824999999999999</v>
      </c>
      <c r="V35" s="51">
        <f t="shared" si="4"/>
        <v>0</v>
      </c>
      <c r="W35" s="51">
        <f t="shared" si="5"/>
        <v>0</v>
      </c>
      <c r="X35" s="51">
        <f t="shared" si="6"/>
        <v>0</v>
      </c>
      <c r="Y35" s="51">
        <f t="shared" si="7"/>
        <v>0</v>
      </c>
    </row>
    <row r="36" spans="1:26" x14ac:dyDescent="0.25">
      <c r="A36" s="77"/>
      <c r="B36" s="78"/>
      <c r="C36" s="88"/>
      <c r="D36" s="85"/>
      <c r="E36" s="88"/>
      <c r="F36" s="85"/>
      <c r="G36" s="88"/>
      <c r="H36" s="88"/>
      <c r="I36" s="88"/>
      <c r="J36" s="88"/>
      <c r="K36" s="80"/>
      <c r="L36" s="81"/>
      <c r="M36" s="81"/>
      <c r="N36" s="81"/>
      <c r="O36" s="81"/>
      <c r="P36" s="81"/>
      <c r="Q36" s="81"/>
      <c r="R36" s="83"/>
      <c r="S36" s="84">
        <f t="shared" si="0"/>
        <v>0</v>
      </c>
      <c r="T36" s="84">
        <f t="shared" si="1"/>
        <v>0</v>
      </c>
      <c r="U36" s="51">
        <f t="shared" si="3"/>
        <v>0</v>
      </c>
      <c r="V36" s="51">
        <f t="shared" si="4"/>
        <v>0</v>
      </c>
      <c r="W36" s="51">
        <f t="shared" si="5"/>
        <v>0</v>
      </c>
      <c r="X36" s="51">
        <f t="shared" si="6"/>
        <v>0</v>
      </c>
      <c r="Y36" s="51">
        <f t="shared" si="7"/>
        <v>0</v>
      </c>
    </row>
    <row r="37" spans="1:26" x14ac:dyDescent="0.25">
      <c r="A37" s="59"/>
      <c r="B37" s="78"/>
      <c r="C37" s="88"/>
      <c r="D37" s="88"/>
      <c r="E37" s="88"/>
      <c r="F37" s="88"/>
      <c r="G37" s="88"/>
      <c r="H37" s="88"/>
      <c r="I37" s="88"/>
      <c r="J37" s="88"/>
      <c r="K37" s="80"/>
      <c r="L37" s="81"/>
      <c r="M37" s="81"/>
      <c r="N37" s="81"/>
      <c r="O37" s="81"/>
      <c r="P37" s="81"/>
      <c r="Q37" s="81"/>
      <c r="R37" s="81"/>
      <c r="S37" s="84">
        <f t="shared" si="0"/>
        <v>0</v>
      </c>
      <c r="T37" s="84">
        <f t="shared" si="1"/>
        <v>0</v>
      </c>
      <c r="U37" s="51">
        <f t="shared" si="3"/>
        <v>0</v>
      </c>
      <c r="V37" s="51">
        <f t="shared" si="4"/>
        <v>0</v>
      </c>
      <c r="W37" s="51">
        <f t="shared" si="5"/>
        <v>0</v>
      </c>
      <c r="X37" s="51">
        <f t="shared" si="6"/>
        <v>0</v>
      </c>
      <c r="Y37" s="51">
        <f t="shared" si="7"/>
        <v>0</v>
      </c>
    </row>
    <row r="38" spans="1:26" x14ac:dyDescent="0.25">
      <c r="A38" s="59"/>
      <c r="B38" s="78"/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1"/>
      <c r="N38" s="81"/>
      <c r="O38" s="81"/>
      <c r="P38" s="81"/>
      <c r="Q38" s="81"/>
      <c r="R38" s="81"/>
      <c r="S38" s="84">
        <f t="shared" si="0"/>
        <v>0</v>
      </c>
      <c r="T38" s="84">
        <f t="shared" si="1"/>
        <v>0</v>
      </c>
      <c r="U38" s="51">
        <f t="shared" si="3"/>
        <v>0</v>
      </c>
      <c r="V38" s="51">
        <f t="shared" si="4"/>
        <v>0</v>
      </c>
      <c r="W38" s="51">
        <f t="shared" si="5"/>
        <v>0</v>
      </c>
      <c r="X38" s="51">
        <f t="shared" si="6"/>
        <v>0</v>
      </c>
      <c r="Y38" s="51">
        <f t="shared" si="7"/>
        <v>0</v>
      </c>
    </row>
    <row r="39" spans="1:26" x14ac:dyDescent="0.25">
      <c r="A39" s="59">
        <v>42795</v>
      </c>
      <c r="B39" s="78" t="s">
        <v>103</v>
      </c>
      <c r="C39" s="88"/>
      <c r="D39" s="85">
        <v>17500</v>
      </c>
      <c r="E39" s="88"/>
      <c r="F39" s="88"/>
      <c r="G39" s="88"/>
      <c r="H39" s="88"/>
      <c r="I39" s="88"/>
      <c r="J39" s="88"/>
      <c r="K39" s="80"/>
      <c r="L39" s="81"/>
      <c r="M39" s="81"/>
      <c r="N39" s="81"/>
      <c r="O39" s="81"/>
      <c r="P39" s="81"/>
      <c r="Q39" s="81"/>
      <c r="R39" s="81"/>
      <c r="S39" s="84">
        <f t="shared" si="0"/>
        <v>0</v>
      </c>
      <c r="T39" s="84">
        <f t="shared" si="1"/>
        <v>1.75</v>
      </c>
      <c r="U39" s="51">
        <v>0</v>
      </c>
      <c r="V39" s="51">
        <f t="shared" si="4"/>
        <v>0</v>
      </c>
      <c r="W39" s="51">
        <f t="shared" si="5"/>
        <v>0</v>
      </c>
      <c r="X39" s="51">
        <f t="shared" si="6"/>
        <v>0</v>
      </c>
      <c r="Y39" s="51">
        <f t="shared" si="7"/>
        <v>0</v>
      </c>
    </row>
    <row r="40" spans="1:26" x14ac:dyDescent="0.25">
      <c r="A40" s="124" t="s">
        <v>111</v>
      </c>
      <c r="B40" s="125"/>
      <c r="C40" s="89">
        <f t="shared" ref="C40:R40" si="8">SUM(C8:C38)</f>
        <v>250000</v>
      </c>
      <c r="D40" s="89">
        <f t="shared" si="8"/>
        <v>256060</v>
      </c>
      <c r="E40" s="89">
        <f t="shared" si="8"/>
        <v>35000</v>
      </c>
      <c r="F40" s="89">
        <f t="shared" si="8"/>
        <v>24000</v>
      </c>
      <c r="G40" s="89">
        <f t="shared" si="8"/>
        <v>155000</v>
      </c>
      <c r="H40" s="89">
        <f t="shared" si="8"/>
        <v>165690</v>
      </c>
      <c r="I40" s="89">
        <f t="shared" si="8"/>
        <v>47000</v>
      </c>
      <c r="J40" s="89">
        <f t="shared" si="8"/>
        <v>52176</v>
      </c>
      <c r="K40" s="89">
        <f t="shared" si="8"/>
        <v>0</v>
      </c>
      <c r="L40" s="89">
        <f t="shared" si="8"/>
        <v>0</v>
      </c>
      <c r="M40" s="89">
        <f t="shared" si="8"/>
        <v>0</v>
      </c>
      <c r="N40" s="89">
        <f t="shared" si="8"/>
        <v>0</v>
      </c>
      <c r="O40" s="89">
        <f t="shared" si="8"/>
        <v>92500</v>
      </c>
      <c r="P40" s="89">
        <f t="shared" si="8"/>
        <v>97020</v>
      </c>
      <c r="Q40" s="89">
        <f t="shared" si="8"/>
        <v>0</v>
      </c>
      <c r="R40" s="89">
        <f t="shared" si="8"/>
        <v>0</v>
      </c>
      <c r="S40" s="90">
        <f>SUM(S8:S39)</f>
        <v>82.55</v>
      </c>
      <c r="T40" s="90">
        <f>SUM(T8:T39)</f>
        <v>84.097400000000007</v>
      </c>
      <c r="U40" s="51">
        <f>SUM(U9:U39)</f>
        <v>25.606000000000002</v>
      </c>
      <c r="V40" s="51">
        <f>SUM(V9:V39)</f>
        <v>9.6000000000000014</v>
      </c>
      <c r="W40" s="51">
        <f>SUM(W9:W39)</f>
        <v>16.568999999999999</v>
      </c>
      <c r="X40" s="51">
        <f>SUM(X9:X39)</f>
        <v>20.8704</v>
      </c>
      <c r="Y40" s="51">
        <f>SUM(Y9:Y39)</f>
        <v>9.702</v>
      </c>
      <c r="Z40" s="51">
        <f>SUM(U40:Y40)</f>
        <v>82.347400000000007</v>
      </c>
    </row>
    <row r="41" spans="1:26" x14ac:dyDescent="0.25">
      <c r="A41" s="124" t="s">
        <v>112</v>
      </c>
      <c r="B41" s="125"/>
      <c r="C41" s="91">
        <f>C40*0.1/1000</f>
        <v>25</v>
      </c>
      <c r="D41" s="91">
        <f>D40*0.1/1000</f>
        <v>25.606000000000002</v>
      </c>
      <c r="E41" s="91">
        <f>E40*0.4/1000</f>
        <v>14</v>
      </c>
      <c r="F41" s="91">
        <f>F40*0.4/1000</f>
        <v>9.6</v>
      </c>
      <c r="G41" s="91">
        <f>G40*0.1/1000</f>
        <v>15.5</v>
      </c>
      <c r="H41" s="91">
        <f>H40*0.1/1000</f>
        <v>16.568999999999999</v>
      </c>
      <c r="I41" s="91">
        <f>I40*0.4/1000</f>
        <v>18.8</v>
      </c>
      <c r="J41" s="91">
        <f>J40*0.4/1000</f>
        <v>20.8704</v>
      </c>
      <c r="K41" s="91">
        <f>K40*0.1/1000</f>
        <v>0</v>
      </c>
      <c r="L41" s="91">
        <f>L40*0.1/1000</f>
        <v>0</v>
      </c>
      <c r="M41" s="91">
        <f>M40*0.4/1000</f>
        <v>0</v>
      </c>
      <c r="N41" s="91">
        <f>N40*0.4/1000</f>
        <v>0</v>
      </c>
      <c r="O41" s="91">
        <f>O40*0.1/1000</f>
        <v>9.25</v>
      </c>
      <c r="P41" s="91">
        <f>P40*0.1/1000</f>
        <v>9.702</v>
      </c>
      <c r="Q41" s="91">
        <f>Q40*0.4/1000</f>
        <v>0</v>
      </c>
      <c r="R41" s="91">
        <f>R40*0.4/1000</f>
        <v>0</v>
      </c>
      <c r="S41" s="91"/>
      <c r="T41" s="91"/>
      <c r="V41" s="51">
        <f>U40+V40</f>
        <v>35.206000000000003</v>
      </c>
      <c r="X41" s="51">
        <f>W40+X40</f>
        <v>37.439399999999999</v>
      </c>
      <c r="Y41" s="51">
        <f>Y40</f>
        <v>9.702</v>
      </c>
    </row>
    <row r="42" spans="1:26" x14ac:dyDescent="0.25">
      <c r="C42" s="51">
        <v>250000</v>
      </c>
      <c r="E42" s="51">
        <v>35000</v>
      </c>
      <c r="G42" s="51">
        <v>150000</v>
      </c>
      <c r="I42" s="51">
        <v>47000</v>
      </c>
      <c r="O42" s="51">
        <v>92500</v>
      </c>
    </row>
    <row r="43" spans="1:26" x14ac:dyDescent="0.25">
      <c r="A43" s="52"/>
      <c r="O43" s="51">
        <v>97020</v>
      </c>
    </row>
    <row r="44" spans="1:26" x14ac:dyDescent="0.25">
      <c r="A44" s="52"/>
    </row>
    <row r="46" spans="1:26" x14ac:dyDescent="0.25">
      <c r="O46" s="52"/>
      <c r="P46" s="52"/>
      <c r="Q46" s="52"/>
      <c r="R46" s="52"/>
    </row>
  </sheetData>
  <mergeCells count="6">
    <mergeCell ref="S6:T6"/>
    <mergeCell ref="A40:B40"/>
    <mergeCell ref="A41:B41"/>
    <mergeCell ref="C3:R3"/>
    <mergeCell ref="C4:J4"/>
    <mergeCell ref="K4:R4"/>
  </mergeCells>
  <conditionalFormatting sqref="F5 H5:N5">
    <cfRule type="cellIs" dxfId="71" priority="1" stopIfTrue="1" operator="greaterThan">
      <formula>0</formula>
    </cfRule>
    <cfRule type="cellIs" dxfId="70" priority="2" stopIfTrue="1" operator="lessThanOrEqual">
      <formula>0</formula>
    </cfRule>
  </conditionalFormatting>
  <conditionalFormatting sqref="T5">
    <cfRule type="cellIs" dxfId="69" priority="13" stopIfTrue="1" operator="greaterThan">
      <formula>0</formula>
    </cfRule>
    <cfRule type="cellIs" dxfId="68" priority="14" stopIfTrue="1" operator="lessThanOrEqual">
      <formula>0</formula>
    </cfRule>
  </conditionalFormatting>
  <conditionalFormatting sqref="O5">
    <cfRule type="cellIs" dxfId="67" priority="12" operator="lessThan">
      <formula>0</formula>
    </cfRule>
  </conditionalFormatting>
  <conditionalFormatting sqref="D5:E5">
    <cfRule type="cellIs" dxfId="66" priority="10" stopIfTrue="1" operator="greaterThan">
      <formula>0</formula>
    </cfRule>
    <cfRule type="cellIs" dxfId="65" priority="11" stopIfTrue="1" operator="lessThanOrEqual">
      <formula>0</formula>
    </cfRule>
  </conditionalFormatting>
  <conditionalFormatting sqref="G5">
    <cfRule type="cellIs" dxfId="64" priority="9" operator="lessThan">
      <formula>0</formula>
    </cfRule>
  </conditionalFormatting>
  <conditionalFormatting sqref="Q5">
    <cfRule type="cellIs" dxfId="63" priority="8" operator="lessThan">
      <formula>0</formula>
    </cfRule>
  </conditionalFormatting>
  <conditionalFormatting sqref="C5">
    <cfRule type="cellIs" dxfId="62" priority="7" operator="lessThan">
      <formula>0</formula>
    </cfRule>
  </conditionalFormatting>
  <conditionalFormatting sqref="P5">
    <cfRule type="cellIs" dxfId="61" priority="5" stopIfTrue="1" operator="greaterThan">
      <formula>0</formula>
    </cfRule>
    <cfRule type="cellIs" dxfId="60" priority="6" stopIfTrue="1" operator="lessThanOrEqual">
      <formula>0</formula>
    </cfRule>
  </conditionalFormatting>
  <conditionalFormatting sqref="R5">
    <cfRule type="cellIs" dxfId="59" priority="3" stopIfTrue="1" operator="greaterThan">
      <formula>0</formula>
    </cfRule>
    <cfRule type="cellIs" dxfId="58" priority="4" stopIfTrue="1" operator="lessThanOrEqual">
      <formula>0</formula>
    </cfRule>
  </conditionalFormatting>
  <pageMargins left="0.7" right="0.7" top="0.75" bottom="0.75" header="0.3" footer="0.3"/>
  <pageSetup paperSize="9" scale="7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opLeftCell="A7" zoomScaleNormal="100" workbookViewId="0">
      <pane xSplit="1" ySplit="1" topLeftCell="C23" activePane="bottomRight" state="frozen"/>
      <selection activeCell="A7" sqref="A7"/>
      <selection pane="topRight" activeCell="B7" sqref="B7"/>
      <selection pane="bottomLeft" activeCell="A8" sqref="A8"/>
      <selection pane="bottomRight" activeCell="X39" sqref="X39"/>
    </sheetView>
  </sheetViews>
  <sheetFormatPr defaultRowHeight="15" x14ac:dyDescent="0.25"/>
  <cols>
    <col min="1" max="1" width="12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0" width="9" style="51" customWidth="1"/>
    <col min="11" max="14" width="9" style="51" hidden="1" customWidth="1"/>
    <col min="15" max="18" width="9.140625" style="51" customWidth="1"/>
    <col min="19" max="16384" width="9.140625" style="51"/>
  </cols>
  <sheetData>
    <row r="1" spans="1:25" x14ac:dyDescent="0.25">
      <c r="P1" s="52" t="s">
        <v>81</v>
      </c>
    </row>
    <row r="2" spans="1:25" ht="15.75" thickBot="1" x14ac:dyDescent="0.3">
      <c r="A2" s="53" t="s">
        <v>82</v>
      </c>
      <c r="C2" s="54" t="s">
        <v>83</v>
      </c>
      <c r="G2" s="54"/>
    </row>
    <row r="3" spans="1:25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5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5" x14ac:dyDescent="0.25">
      <c r="A5" s="59"/>
      <c r="B5" s="60" t="s">
        <v>88</v>
      </c>
      <c r="C5" s="61"/>
      <c r="D5" s="62">
        <f>C39-D39</f>
        <v>28765</v>
      </c>
      <c r="E5" s="62"/>
      <c r="F5" s="62">
        <f>E39-F39</f>
        <v>11000</v>
      </c>
      <c r="G5" s="61"/>
      <c r="H5" s="62">
        <f>G39-H39</f>
        <v>-10690</v>
      </c>
      <c r="I5" s="62"/>
      <c r="J5" s="62">
        <f>I39-J39</f>
        <v>-5176</v>
      </c>
      <c r="K5" s="62"/>
      <c r="L5" s="62"/>
      <c r="M5" s="62"/>
      <c r="N5" s="62"/>
      <c r="O5" s="61"/>
      <c r="P5" s="62">
        <f>O39-P39</f>
        <v>-4520</v>
      </c>
      <c r="Q5" s="61"/>
      <c r="R5" s="62">
        <f>Q39-R39</f>
        <v>0</v>
      </c>
      <c r="S5" s="63"/>
      <c r="T5" s="64"/>
    </row>
    <row r="6" spans="1:25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5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136</v>
      </c>
      <c r="V7" s="76" t="s">
        <v>135</v>
      </c>
      <c r="W7" s="76" t="s">
        <v>132</v>
      </c>
      <c r="X7" s="76" t="s">
        <v>133</v>
      </c>
      <c r="Y7" s="76" t="s">
        <v>154</v>
      </c>
    </row>
    <row r="8" spans="1:25" x14ac:dyDescent="0.25">
      <c r="A8" s="77">
        <v>42767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 t="shared" ref="S8:T38" si="0">((C8*0.1)+(E8*0.4)+(G8*0.1)+(I8*0.4)+(K8*0.1)+(M8*0.4)+(O8*0.1)+(Q8*0.4))/1000</f>
        <v>0</v>
      </c>
      <c r="T8" s="84">
        <f t="shared" si="0"/>
        <v>0</v>
      </c>
      <c r="U8" s="51">
        <f>D8*100/1000/1000</f>
        <v>0</v>
      </c>
      <c r="V8" s="51">
        <f>F8*400/1000/1000</f>
        <v>0</v>
      </c>
      <c r="W8" s="51">
        <f>H8*100/1000/1000</f>
        <v>0</v>
      </c>
      <c r="X8" s="51">
        <f>J8*400/1000/1000</f>
        <v>0</v>
      </c>
      <c r="Y8" s="51">
        <f>P8*100/1000/1000</f>
        <v>0</v>
      </c>
    </row>
    <row r="9" spans="1:25" x14ac:dyDescent="0.25">
      <c r="A9" s="59">
        <f t="shared" ref="A9:A14" si="1">A8+1</f>
        <v>42768</v>
      </c>
      <c r="B9" s="78" t="s">
        <v>104</v>
      </c>
      <c r="C9" s="79"/>
      <c r="D9" s="79"/>
      <c r="E9" s="79"/>
      <c r="F9" s="79"/>
      <c r="G9" s="79"/>
      <c r="H9" s="85">
        <v>5950</v>
      </c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si="0"/>
        <v>0</v>
      </c>
      <c r="T9" s="84">
        <f t="shared" si="0"/>
        <v>0.59499999999999997</v>
      </c>
      <c r="U9" s="51">
        <f t="shared" ref="U9:U35" si="2">D9*100/1000/1000</f>
        <v>0</v>
      </c>
      <c r="V9" s="51">
        <f t="shared" ref="V9:V35" si="3">F9*400/1000/1000</f>
        <v>0</v>
      </c>
      <c r="W9" s="51">
        <f t="shared" ref="W9:W35" si="4">H9*100/1000/1000</f>
        <v>0.59499999999999997</v>
      </c>
      <c r="X9" s="51">
        <f t="shared" ref="X9:X35" si="5">J9*400/1000/1000</f>
        <v>0</v>
      </c>
      <c r="Y9" s="51">
        <f t="shared" ref="Y9:Y35" si="6">P9*100/1000/1000</f>
        <v>0</v>
      </c>
    </row>
    <row r="10" spans="1:25" x14ac:dyDescent="0.25">
      <c r="A10" s="77">
        <f t="shared" si="1"/>
        <v>42769</v>
      </c>
      <c r="B10" s="78" t="s">
        <v>105</v>
      </c>
      <c r="C10" s="79"/>
      <c r="D10" s="79"/>
      <c r="E10" s="79"/>
      <c r="F10" s="79"/>
      <c r="G10" s="79">
        <v>10000</v>
      </c>
      <c r="H10" s="85">
        <v>24395</v>
      </c>
      <c r="I10" s="79">
        <v>7000</v>
      </c>
      <c r="J10" s="85">
        <v>6000</v>
      </c>
      <c r="K10" s="80"/>
      <c r="L10" s="80"/>
      <c r="M10" s="80"/>
      <c r="N10" s="80"/>
      <c r="O10" s="81"/>
      <c r="P10" s="82"/>
      <c r="Q10" s="81"/>
      <c r="R10" s="83"/>
      <c r="S10" s="84">
        <f t="shared" si="0"/>
        <v>3.8</v>
      </c>
      <c r="T10" s="84">
        <f t="shared" si="0"/>
        <v>4.8395000000000001</v>
      </c>
      <c r="U10" s="51">
        <f t="shared" si="2"/>
        <v>0</v>
      </c>
      <c r="V10" s="51">
        <f t="shared" si="3"/>
        <v>0</v>
      </c>
      <c r="W10" s="51">
        <f t="shared" si="4"/>
        <v>2.4394999999999998</v>
      </c>
      <c r="X10" s="51">
        <f t="shared" si="5"/>
        <v>2.4</v>
      </c>
      <c r="Y10" s="51">
        <f t="shared" si="6"/>
        <v>0</v>
      </c>
    </row>
    <row r="11" spans="1:25" x14ac:dyDescent="0.25">
      <c r="A11" s="59">
        <f t="shared" si="1"/>
        <v>42770</v>
      </c>
      <c r="B11" s="78" t="s">
        <v>106</v>
      </c>
      <c r="C11" s="79"/>
      <c r="D11" s="79"/>
      <c r="E11" s="79"/>
      <c r="F11" s="79"/>
      <c r="G11" s="79">
        <v>15000</v>
      </c>
      <c r="H11" s="85">
        <v>26670</v>
      </c>
      <c r="I11" s="79">
        <v>10000</v>
      </c>
      <c r="J11" s="85">
        <v>11448</v>
      </c>
      <c r="K11" s="80"/>
      <c r="L11" s="80"/>
      <c r="M11" s="80"/>
      <c r="N11" s="86"/>
      <c r="O11" s="86"/>
      <c r="P11" s="86"/>
      <c r="Q11" s="86"/>
      <c r="R11" s="86"/>
      <c r="S11" s="87">
        <f t="shared" si="0"/>
        <v>5.5</v>
      </c>
      <c r="T11" s="87">
        <f t="shared" si="0"/>
        <v>7.2462</v>
      </c>
      <c r="U11" s="51">
        <f t="shared" si="2"/>
        <v>0</v>
      </c>
      <c r="V11" s="51">
        <f t="shared" si="3"/>
        <v>0</v>
      </c>
      <c r="W11" s="51">
        <f t="shared" si="4"/>
        <v>2.6669999999999998</v>
      </c>
      <c r="X11" s="51">
        <f t="shared" si="5"/>
        <v>4.5792000000000002</v>
      </c>
      <c r="Y11" s="51">
        <f t="shared" si="6"/>
        <v>0</v>
      </c>
    </row>
    <row r="12" spans="1:25" x14ac:dyDescent="0.25">
      <c r="A12" s="59">
        <f>A11+1</f>
        <v>42771</v>
      </c>
      <c r="B12" s="78" t="s">
        <v>107</v>
      </c>
      <c r="C12" s="79"/>
      <c r="D12" s="79"/>
      <c r="E12" s="79"/>
      <c r="F12" s="79"/>
      <c r="G12" s="79">
        <v>25000</v>
      </c>
      <c r="H12" s="85">
        <v>26775</v>
      </c>
      <c r="I12" s="79">
        <v>10000</v>
      </c>
      <c r="J12" s="85">
        <v>10656</v>
      </c>
      <c r="K12" s="80"/>
      <c r="L12" s="80"/>
      <c r="M12" s="80"/>
      <c r="N12" s="86"/>
      <c r="O12" s="81"/>
      <c r="P12" s="83"/>
      <c r="Q12" s="81"/>
      <c r="R12" s="83"/>
      <c r="S12" s="84">
        <f t="shared" si="0"/>
        <v>6.5</v>
      </c>
      <c r="T12" s="84">
        <f t="shared" si="0"/>
        <v>6.9399000000000006</v>
      </c>
      <c r="U12" s="51">
        <f t="shared" si="2"/>
        <v>0</v>
      </c>
      <c r="V12" s="51">
        <f t="shared" si="3"/>
        <v>0</v>
      </c>
      <c r="W12" s="51">
        <f t="shared" si="4"/>
        <v>2.6775000000000002</v>
      </c>
      <c r="X12" s="51">
        <f t="shared" si="5"/>
        <v>4.2623999999999995</v>
      </c>
      <c r="Y12" s="51">
        <f t="shared" si="6"/>
        <v>0</v>
      </c>
    </row>
    <row r="13" spans="1:25" x14ac:dyDescent="0.25">
      <c r="A13" s="77">
        <f t="shared" si="1"/>
        <v>42772</v>
      </c>
      <c r="B13" s="78" t="s">
        <v>108</v>
      </c>
      <c r="C13" s="79"/>
      <c r="D13" s="79"/>
      <c r="E13" s="79"/>
      <c r="F13" s="79"/>
      <c r="G13" s="79">
        <v>25000</v>
      </c>
      <c r="H13" s="85">
        <v>9800</v>
      </c>
      <c r="I13" s="79">
        <v>10000</v>
      </c>
      <c r="J13" s="85">
        <v>8880</v>
      </c>
      <c r="K13" s="80"/>
      <c r="L13" s="80"/>
      <c r="M13" s="80"/>
      <c r="N13" s="86"/>
      <c r="O13" s="83"/>
      <c r="P13" s="83"/>
      <c r="Q13" s="83"/>
      <c r="R13" s="83"/>
      <c r="S13" s="84">
        <f t="shared" si="0"/>
        <v>6.5</v>
      </c>
      <c r="T13" s="84">
        <f t="shared" si="0"/>
        <v>4.532</v>
      </c>
      <c r="U13" s="51">
        <f t="shared" si="2"/>
        <v>0</v>
      </c>
      <c r="V13" s="51">
        <f t="shared" si="3"/>
        <v>0</v>
      </c>
      <c r="W13" s="51">
        <f t="shared" si="4"/>
        <v>0.98</v>
      </c>
      <c r="X13" s="51">
        <f t="shared" si="5"/>
        <v>3.552</v>
      </c>
      <c r="Y13" s="51">
        <f t="shared" si="6"/>
        <v>0</v>
      </c>
    </row>
    <row r="14" spans="1:25" x14ac:dyDescent="0.25">
      <c r="A14" s="59">
        <f t="shared" si="1"/>
        <v>42773</v>
      </c>
      <c r="B14" s="78" t="s">
        <v>110</v>
      </c>
      <c r="C14" s="79"/>
      <c r="D14" s="79"/>
      <c r="E14" s="79"/>
      <c r="F14" s="79"/>
      <c r="G14" s="79">
        <v>25000</v>
      </c>
      <c r="H14" s="85">
        <v>6580</v>
      </c>
      <c r="I14" s="79">
        <v>10000</v>
      </c>
      <c r="J14" s="85">
        <v>9168</v>
      </c>
      <c r="K14" s="80"/>
      <c r="L14" s="80"/>
      <c r="M14" s="80"/>
      <c r="N14" s="86"/>
      <c r="O14" s="83"/>
      <c r="P14" s="83"/>
      <c r="Q14" s="83"/>
      <c r="R14" s="83"/>
      <c r="S14" s="84">
        <f t="shared" si="0"/>
        <v>6.5</v>
      </c>
      <c r="T14" s="84">
        <f t="shared" si="0"/>
        <v>4.3252000000000006</v>
      </c>
      <c r="U14" s="51">
        <f t="shared" si="2"/>
        <v>0</v>
      </c>
      <c r="V14" s="51">
        <f t="shared" si="3"/>
        <v>0</v>
      </c>
      <c r="W14" s="51">
        <f t="shared" si="4"/>
        <v>0.65800000000000003</v>
      </c>
      <c r="X14" s="51">
        <f t="shared" si="5"/>
        <v>3.6671999999999998</v>
      </c>
      <c r="Y14" s="51">
        <f t="shared" si="6"/>
        <v>0</v>
      </c>
    </row>
    <row r="15" spans="1:25" x14ac:dyDescent="0.25">
      <c r="A15" s="77">
        <f>A14+1</f>
        <v>42774</v>
      </c>
      <c r="B15" s="78" t="s">
        <v>103</v>
      </c>
      <c r="C15" s="79">
        <v>5000</v>
      </c>
      <c r="D15" s="85">
        <v>12950</v>
      </c>
      <c r="E15" s="79">
        <v>5000</v>
      </c>
      <c r="F15" s="85">
        <v>3840</v>
      </c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2.5</v>
      </c>
      <c r="T15" s="84">
        <f t="shared" si="0"/>
        <v>2.831</v>
      </c>
      <c r="U15" s="51">
        <f t="shared" si="2"/>
        <v>1.2949999999999999</v>
      </c>
      <c r="V15" s="51">
        <f>F15*400/1000/1000</f>
        <v>1.536</v>
      </c>
      <c r="W15" s="51">
        <f t="shared" si="4"/>
        <v>0</v>
      </c>
      <c r="X15" s="51">
        <f t="shared" si="5"/>
        <v>0</v>
      </c>
      <c r="Y15" s="51">
        <f t="shared" si="6"/>
        <v>0</v>
      </c>
    </row>
    <row r="16" spans="1:25" x14ac:dyDescent="0.25">
      <c r="A16" s="59">
        <f t="shared" ref="A16:A21" si="7">A15+1</f>
        <v>42775</v>
      </c>
      <c r="B16" s="78" t="s">
        <v>104</v>
      </c>
      <c r="C16" s="79">
        <v>25000</v>
      </c>
      <c r="D16" s="85">
        <v>27825</v>
      </c>
      <c r="E16" s="79">
        <v>10000</v>
      </c>
      <c r="F16" s="85">
        <v>8400</v>
      </c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0"/>
        <v>6.5</v>
      </c>
      <c r="T16" s="84">
        <f t="shared" si="0"/>
        <v>6.1425000000000001</v>
      </c>
      <c r="U16" s="51">
        <f t="shared" si="2"/>
        <v>2.7825000000000002</v>
      </c>
      <c r="V16" s="51">
        <f t="shared" si="3"/>
        <v>3.36</v>
      </c>
      <c r="W16" s="51">
        <f t="shared" si="4"/>
        <v>0</v>
      </c>
      <c r="X16" s="51">
        <f t="shared" si="5"/>
        <v>0</v>
      </c>
      <c r="Y16" s="51">
        <f t="shared" si="6"/>
        <v>0</v>
      </c>
    </row>
    <row r="17" spans="1:25" x14ac:dyDescent="0.25">
      <c r="A17" s="77">
        <f>A16+1</f>
        <v>42776</v>
      </c>
      <c r="B17" s="78" t="s">
        <v>105</v>
      </c>
      <c r="C17" s="79">
        <v>25000</v>
      </c>
      <c r="D17" s="85">
        <v>28700</v>
      </c>
      <c r="E17" s="79">
        <v>10000</v>
      </c>
      <c r="F17" s="85">
        <v>9360</v>
      </c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0"/>
        <v>6.5</v>
      </c>
      <c r="T17" s="84">
        <f t="shared" si="0"/>
        <v>6.6139999999999999</v>
      </c>
      <c r="U17" s="51">
        <f t="shared" si="2"/>
        <v>2.87</v>
      </c>
      <c r="V17" s="51">
        <f t="shared" si="3"/>
        <v>3.7440000000000002</v>
      </c>
      <c r="W17" s="51">
        <f t="shared" si="4"/>
        <v>0</v>
      </c>
      <c r="X17" s="51">
        <f t="shared" si="5"/>
        <v>0</v>
      </c>
      <c r="Y17" s="51">
        <f t="shared" si="6"/>
        <v>0</v>
      </c>
    </row>
    <row r="18" spans="1:25" x14ac:dyDescent="0.25">
      <c r="A18" s="59">
        <f t="shared" si="7"/>
        <v>42777</v>
      </c>
      <c r="B18" s="78" t="s">
        <v>106</v>
      </c>
      <c r="C18" s="79">
        <v>45000</v>
      </c>
      <c r="D18" s="85">
        <v>39375</v>
      </c>
      <c r="E18" s="79">
        <v>10000</v>
      </c>
      <c r="F18" s="85">
        <v>2400</v>
      </c>
      <c r="G18" s="79"/>
      <c r="H18" s="79"/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0"/>
        <v>8.5</v>
      </c>
      <c r="T18" s="87">
        <f t="shared" si="0"/>
        <v>4.8975</v>
      </c>
      <c r="U18" s="51">
        <f t="shared" si="2"/>
        <v>3.9375</v>
      </c>
      <c r="V18" s="51">
        <f t="shared" si="3"/>
        <v>0.96</v>
      </c>
      <c r="W18" s="51">
        <f t="shared" si="4"/>
        <v>0</v>
      </c>
      <c r="X18" s="51">
        <f t="shared" si="5"/>
        <v>0</v>
      </c>
      <c r="Y18" s="51">
        <f t="shared" si="6"/>
        <v>0</v>
      </c>
    </row>
    <row r="19" spans="1:25" x14ac:dyDescent="0.25">
      <c r="A19" s="59">
        <f t="shared" si="7"/>
        <v>42778</v>
      </c>
      <c r="B19" s="78" t="s">
        <v>107</v>
      </c>
      <c r="C19" s="79">
        <v>45000</v>
      </c>
      <c r="D19" s="85">
        <v>48335</v>
      </c>
      <c r="E19" s="79"/>
      <c r="F19" s="85"/>
      <c r="G19" s="79"/>
      <c r="H19" s="79"/>
      <c r="I19" s="79"/>
      <c r="J19" s="79"/>
      <c r="K19" s="80"/>
      <c r="L19" s="80"/>
      <c r="M19" s="86"/>
      <c r="N19" s="86"/>
      <c r="O19" s="81"/>
      <c r="P19" s="81"/>
      <c r="Q19" s="81"/>
      <c r="R19" s="81"/>
      <c r="S19" s="84">
        <f t="shared" si="0"/>
        <v>4.5</v>
      </c>
      <c r="T19" s="84">
        <f t="shared" si="0"/>
        <v>4.8334999999999999</v>
      </c>
      <c r="U19" s="51">
        <f t="shared" si="2"/>
        <v>4.8334999999999999</v>
      </c>
      <c r="V19" s="51">
        <f t="shared" si="3"/>
        <v>0</v>
      </c>
      <c r="W19" s="51">
        <f t="shared" si="4"/>
        <v>0</v>
      </c>
      <c r="X19" s="51">
        <f t="shared" si="5"/>
        <v>0</v>
      </c>
      <c r="Y19" s="51">
        <f t="shared" si="6"/>
        <v>0</v>
      </c>
    </row>
    <row r="20" spans="1:25" x14ac:dyDescent="0.25">
      <c r="A20" s="77">
        <f t="shared" si="7"/>
        <v>42779</v>
      </c>
      <c r="B20" s="78" t="s">
        <v>108</v>
      </c>
      <c r="C20" s="79">
        <v>5000</v>
      </c>
      <c r="D20" s="79"/>
      <c r="E20" s="79"/>
      <c r="F20" s="85"/>
      <c r="G20" s="79"/>
      <c r="H20" s="79"/>
      <c r="I20" s="79"/>
      <c r="J20" s="79"/>
      <c r="K20" s="80"/>
      <c r="L20" s="80"/>
      <c r="M20" s="86"/>
      <c r="N20" s="86"/>
      <c r="O20" s="81"/>
      <c r="P20" s="81"/>
      <c r="Q20" s="81"/>
      <c r="R20" s="81"/>
      <c r="S20" s="84">
        <f t="shared" si="0"/>
        <v>0.5</v>
      </c>
      <c r="T20" s="84">
        <f t="shared" si="0"/>
        <v>0</v>
      </c>
      <c r="U20" s="51">
        <f t="shared" si="2"/>
        <v>0</v>
      </c>
      <c r="V20" s="51">
        <f t="shared" si="3"/>
        <v>0</v>
      </c>
      <c r="W20" s="51">
        <f t="shared" si="4"/>
        <v>0</v>
      </c>
      <c r="X20" s="51">
        <f t="shared" si="5"/>
        <v>0</v>
      </c>
      <c r="Y20" s="51">
        <f t="shared" si="6"/>
        <v>0</v>
      </c>
    </row>
    <row r="21" spans="1:25" x14ac:dyDescent="0.25">
      <c r="A21" s="59">
        <f t="shared" si="7"/>
        <v>42780</v>
      </c>
      <c r="B21" s="78" t="s">
        <v>110</v>
      </c>
      <c r="C21" s="79"/>
      <c r="D21" s="85"/>
      <c r="E21" s="79"/>
      <c r="F21" s="85"/>
      <c r="G21" s="79"/>
      <c r="H21" s="79"/>
      <c r="I21" s="79"/>
      <c r="J21" s="79"/>
      <c r="K21" s="80"/>
      <c r="L21" s="80"/>
      <c r="M21" s="86"/>
      <c r="N21" s="86"/>
      <c r="O21" s="81"/>
      <c r="P21" s="86"/>
      <c r="Q21" s="81"/>
      <c r="R21" s="83"/>
      <c r="S21" s="84">
        <f t="shared" si="0"/>
        <v>0</v>
      </c>
      <c r="T21" s="84">
        <f t="shared" si="0"/>
        <v>0</v>
      </c>
      <c r="U21" s="51">
        <f t="shared" si="2"/>
        <v>0</v>
      </c>
      <c r="V21" s="51">
        <f t="shared" si="3"/>
        <v>0</v>
      </c>
      <c r="W21" s="51">
        <f t="shared" si="4"/>
        <v>0</v>
      </c>
      <c r="X21" s="51">
        <f t="shared" si="5"/>
        <v>0</v>
      </c>
      <c r="Y21" s="51">
        <f t="shared" si="6"/>
        <v>0</v>
      </c>
    </row>
    <row r="22" spans="1:25" x14ac:dyDescent="0.25">
      <c r="A22" s="77">
        <f>A21+1</f>
        <v>42781</v>
      </c>
      <c r="B22" s="78" t="s">
        <v>103</v>
      </c>
      <c r="C22" s="88"/>
      <c r="D22" s="85"/>
      <c r="E22" s="85"/>
      <c r="F22" s="85"/>
      <c r="G22" s="88"/>
      <c r="H22" s="88"/>
      <c r="I22" s="88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0"/>
        <v>0</v>
      </c>
      <c r="T22" s="84">
        <f t="shared" si="0"/>
        <v>0</v>
      </c>
      <c r="U22" s="51">
        <f t="shared" si="2"/>
        <v>0</v>
      </c>
      <c r="V22" s="51">
        <f t="shared" si="3"/>
        <v>0</v>
      </c>
      <c r="W22" s="51">
        <f t="shared" si="4"/>
        <v>0</v>
      </c>
      <c r="X22" s="51">
        <f t="shared" si="5"/>
        <v>0</v>
      </c>
      <c r="Y22" s="51">
        <f t="shared" si="6"/>
        <v>0</v>
      </c>
    </row>
    <row r="23" spans="1:25" x14ac:dyDescent="0.25">
      <c r="A23" s="59">
        <f t="shared" ref="A23:A28" si="8">A22+1</f>
        <v>42782</v>
      </c>
      <c r="B23" s="78" t="s">
        <v>104</v>
      </c>
      <c r="C23" s="88"/>
      <c r="D23" s="85"/>
      <c r="E23" s="85"/>
      <c r="F23" s="79"/>
      <c r="G23" s="88"/>
      <c r="H23" s="85"/>
      <c r="I23" s="88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0"/>
        <v>0</v>
      </c>
      <c r="T23" s="84">
        <f t="shared" si="0"/>
        <v>0</v>
      </c>
      <c r="U23" s="51">
        <f t="shared" si="2"/>
        <v>0</v>
      </c>
      <c r="V23" s="51">
        <f t="shared" si="3"/>
        <v>0</v>
      </c>
      <c r="W23" s="51">
        <f t="shared" si="4"/>
        <v>0</v>
      </c>
      <c r="X23" s="51">
        <f t="shared" si="5"/>
        <v>0</v>
      </c>
      <c r="Y23" s="51">
        <f t="shared" si="6"/>
        <v>0</v>
      </c>
    </row>
    <row r="24" spans="1:25" x14ac:dyDescent="0.25">
      <c r="A24" s="77">
        <f t="shared" si="8"/>
        <v>42783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0"/>
        <v>0</v>
      </c>
      <c r="T24" s="84">
        <f t="shared" si="0"/>
        <v>0</v>
      </c>
      <c r="U24" s="51">
        <f t="shared" si="2"/>
        <v>0</v>
      </c>
      <c r="V24" s="51">
        <f t="shared" si="3"/>
        <v>0</v>
      </c>
      <c r="W24" s="51">
        <f t="shared" si="4"/>
        <v>0</v>
      </c>
      <c r="X24" s="51">
        <f t="shared" si="5"/>
        <v>0</v>
      </c>
      <c r="Y24" s="51">
        <f t="shared" si="6"/>
        <v>0</v>
      </c>
    </row>
    <row r="25" spans="1:25" x14ac:dyDescent="0.25">
      <c r="A25" s="59">
        <f t="shared" si="8"/>
        <v>42784</v>
      </c>
      <c r="B25" s="78" t="s">
        <v>106</v>
      </c>
      <c r="C25" s="88"/>
      <c r="D25" s="88"/>
      <c r="E25" s="88"/>
      <c r="F25" s="88"/>
      <c r="G25" s="88"/>
      <c r="H25" s="88"/>
      <c r="I25" s="88"/>
      <c r="J25" s="88"/>
      <c r="K25" s="80"/>
      <c r="L25" s="86"/>
      <c r="M25" s="80"/>
      <c r="N25" s="81"/>
      <c r="O25" s="81">
        <v>17500</v>
      </c>
      <c r="P25" s="86">
        <v>16345</v>
      </c>
      <c r="Q25" s="81"/>
      <c r="R25" s="81"/>
      <c r="S25" s="87">
        <f t="shared" si="0"/>
        <v>1.75</v>
      </c>
      <c r="T25" s="87">
        <f t="shared" si="0"/>
        <v>1.6345000000000001</v>
      </c>
      <c r="U25" s="51">
        <f t="shared" si="2"/>
        <v>0</v>
      </c>
      <c r="V25" s="51">
        <f t="shared" si="3"/>
        <v>0</v>
      </c>
      <c r="W25" s="51">
        <f t="shared" si="4"/>
        <v>0</v>
      </c>
      <c r="X25" s="51">
        <f t="shared" si="5"/>
        <v>0</v>
      </c>
      <c r="Y25" s="51">
        <f t="shared" si="6"/>
        <v>1.6345000000000001</v>
      </c>
    </row>
    <row r="26" spans="1:25" x14ac:dyDescent="0.25">
      <c r="A26" s="59">
        <f t="shared" si="8"/>
        <v>42785</v>
      </c>
      <c r="B26" s="78" t="s">
        <v>107</v>
      </c>
      <c r="C26" s="88"/>
      <c r="D26" s="88"/>
      <c r="E26" s="88"/>
      <c r="F26" s="88"/>
      <c r="G26" s="88"/>
      <c r="H26" s="88"/>
      <c r="I26" s="88"/>
      <c r="J26" s="88"/>
      <c r="K26" s="80"/>
      <c r="L26" s="86"/>
      <c r="M26" s="80"/>
      <c r="N26" s="81"/>
      <c r="O26" s="81">
        <v>25000</v>
      </c>
      <c r="P26" s="86">
        <v>26775</v>
      </c>
      <c r="Q26" s="81"/>
      <c r="R26" s="86"/>
      <c r="S26" s="87">
        <f t="shared" si="0"/>
        <v>2.5</v>
      </c>
      <c r="T26" s="87">
        <f t="shared" si="0"/>
        <v>2.6775000000000002</v>
      </c>
      <c r="U26" s="51">
        <f t="shared" si="2"/>
        <v>0</v>
      </c>
      <c r="V26" s="51">
        <f t="shared" si="3"/>
        <v>0</v>
      </c>
      <c r="W26" s="51">
        <f t="shared" si="4"/>
        <v>0</v>
      </c>
      <c r="X26" s="51">
        <f t="shared" si="5"/>
        <v>0</v>
      </c>
      <c r="Y26" s="51">
        <f t="shared" si="6"/>
        <v>2.6775000000000002</v>
      </c>
    </row>
    <row r="27" spans="1:25" x14ac:dyDescent="0.25">
      <c r="A27" s="77">
        <f t="shared" si="8"/>
        <v>42786</v>
      </c>
      <c r="B27" s="78" t="s">
        <v>108</v>
      </c>
      <c r="C27" s="88"/>
      <c r="D27" s="88"/>
      <c r="E27" s="88"/>
      <c r="F27" s="88"/>
      <c r="G27" s="88"/>
      <c r="H27" s="88"/>
      <c r="I27" s="88"/>
      <c r="J27" s="88"/>
      <c r="K27" s="81"/>
      <c r="L27" s="86"/>
      <c r="M27" s="80"/>
      <c r="N27" s="81"/>
      <c r="O27" s="81">
        <v>25000</v>
      </c>
      <c r="P27" s="86">
        <v>27230</v>
      </c>
      <c r="Q27" s="81"/>
      <c r="R27" s="86"/>
      <c r="S27" s="87">
        <f t="shared" si="0"/>
        <v>2.5</v>
      </c>
      <c r="T27" s="87">
        <f t="shared" si="0"/>
        <v>2.7229999999999999</v>
      </c>
      <c r="U27" s="51">
        <f t="shared" si="2"/>
        <v>0</v>
      </c>
      <c r="V27" s="51">
        <f t="shared" si="3"/>
        <v>0</v>
      </c>
      <c r="W27" s="51">
        <f t="shared" si="4"/>
        <v>0</v>
      </c>
      <c r="X27" s="51">
        <f t="shared" si="5"/>
        <v>0</v>
      </c>
      <c r="Y27" s="51">
        <f t="shared" si="6"/>
        <v>2.7229999999999999</v>
      </c>
    </row>
    <row r="28" spans="1:25" x14ac:dyDescent="0.25">
      <c r="A28" s="59">
        <f t="shared" si="8"/>
        <v>42787</v>
      </c>
      <c r="B28" s="78" t="s">
        <v>110</v>
      </c>
      <c r="C28" s="88"/>
      <c r="D28" s="88"/>
      <c r="E28" s="88"/>
      <c r="F28" s="88"/>
      <c r="G28" s="88"/>
      <c r="H28" s="85">
        <v>5250</v>
      </c>
      <c r="I28" s="88"/>
      <c r="J28" s="88"/>
      <c r="K28" s="81"/>
      <c r="L28" s="86"/>
      <c r="M28" s="80"/>
      <c r="N28" s="81"/>
      <c r="O28" s="81">
        <v>25000</v>
      </c>
      <c r="P28" s="86">
        <v>22750</v>
      </c>
      <c r="Q28" s="81"/>
      <c r="R28" s="86"/>
      <c r="S28" s="87">
        <f t="shared" si="0"/>
        <v>2.5</v>
      </c>
      <c r="T28" s="87">
        <f t="shared" si="0"/>
        <v>2.8</v>
      </c>
      <c r="U28" s="51">
        <f t="shared" si="2"/>
        <v>0</v>
      </c>
      <c r="V28" s="51">
        <f t="shared" si="3"/>
        <v>0</v>
      </c>
      <c r="W28" s="51">
        <f t="shared" si="4"/>
        <v>0.52500000000000002</v>
      </c>
      <c r="X28" s="51">
        <f t="shared" si="5"/>
        <v>0</v>
      </c>
      <c r="Y28" s="51">
        <f t="shared" si="6"/>
        <v>2.2749999999999999</v>
      </c>
    </row>
    <row r="29" spans="1:25" x14ac:dyDescent="0.25">
      <c r="A29" s="77">
        <f>A28+1</f>
        <v>42788</v>
      </c>
      <c r="B29" s="78" t="s">
        <v>103</v>
      </c>
      <c r="C29" s="88"/>
      <c r="D29" s="88"/>
      <c r="E29" s="88"/>
      <c r="F29" s="88"/>
      <c r="G29" s="88">
        <v>25000</v>
      </c>
      <c r="H29" s="85">
        <v>17745</v>
      </c>
      <c r="I29" s="88"/>
      <c r="J29" s="85">
        <v>4848</v>
      </c>
      <c r="K29" s="80"/>
      <c r="L29" s="86"/>
      <c r="M29" s="80"/>
      <c r="N29" s="81"/>
      <c r="O29" s="81"/>
      <c r="P29" s="86"/>
      <c r="Q29" s="81"/>
      <c r="R29" s="81"/>
      <c r="S29" s="87">
        <f t="shared" si="0"/>
        <v>2.5</v>
      </c>
      <c r="T29" s="87">
        <f t="shared" si="0"/>
        <v>3.7136999999999998</v>
      </c>
      <c r="U29" s="51">
        <f t="shared" si="2"/>
        <v>0</v>
      </c>
      <c r="V29" s="51">
        <f t="shared" si="3"/>
        <v>0</v>
      </c>
      <c r="W29" s="51">
        <f t="shared" si="4"/>
        <v>1.7745</v>
      </c>
      <c r="X29" s="51">
        <f t="shared" si="5"/>
        <v>1.9392</v>
      </c>
      <c r="Y29" s="51">
        <f t="shared" si="6"/>
        <v>0</v>
      </c>
    </row>
    <row r="30" spans="1:25" x14ac:dyDescent="0.25">
      <c r="A30" s="59">
        <f t="shared" ref="A30:A35" si="9">A29+1</f>
        <v>42789</v>
      </c>
      <c r="B30" s="78" t="s">
        <v>104</v>
      </c>
      <c r="C30" s="88"/>
      <c r="D30" s="88"/>
      <c r="E30" s="88"/>
      <c r="F30" s="88"/>
      <c r="G30" s="88">
        <v>25000</v>
      </c>
      <c r="H30" s="85">
        <v>20020</v>
      </c>
      <c r="I30" s="88"/>
      <c r="J30" s="85">
        <v>1176</v>
      </c>
      <c r="K30" s="80"/>
      <c r="L30" s="86"/>
      <c r="M30" s="80"/>
      <c r="N30" s="81"/>
      <c r="O30" s="81"/>
      <c r="P30" s="81"/>
      <c r="Q30" s="81"/>
      <c r="R30" s="81"/>
      <c r="S30" s="87">
        <f t="shared" si="0"/>
        <v>2.5</v>
      </c>
      <c r="T30" s="87">
        <f t="shared" si="0"/>
        <v>2.4723999999999999</v>
      </c>
      <c r="U30" s="51">
        <f t="shared" si="2"/>
        <v>0</v>
      </c>
      <c r="V30" s="51">
        <f t="shared" si="3"/>
        <v>0</v>
      </c>
      <c r="W30" s="51">
        <f t="shared" si="4"/>
        <v>2.0019999999999998</v>
      </c>
      <c r="X30" s="51">
        <f t="shared" si="5"/>
        <v>0.47039999999999998</v>
      </c>
      <c r="Y30" s="51">
        <f t="shared" si="6"/>
        <v>0</v>
      </c>
    </row>
    <row r="31" spans="1:25" x14ac:dyDescent="0.25">
      <c r="A31" s="77">
        <f t="shared" si="9"/>
        <v>42790</v>
      </c>
      <c r="B31" s="78" t="s">
        <v>105</v>
      </c>
      <c r="C31" s="88"/>
      <c r="D31" s="88"/>
      <c r="E31" s="88"/>
      <c r="F31" s="85"/>
      <c r="G31" s="88">
        <v>5000</v>
      </c>
      <c r="H31" s="85">
        <v>19740</v>
      </c>
      <c r="I31" s="88"/>
      <c r="J31" s="85"/>
      <c r="K31" s="80"/>
      <c r="L31" s="81"/>
      <c r="M31" s="81"/>
      <c r="N31" s="81"/>
      <c r="O31" s="81"/>
      <c r="P31" s="81"/>
      <c r="Q31" s="81"/>
      <c r="R31" s="81"/>
      <c r="S31" s="87">
        <f t="shared" si="0"/>
        <v>0.5</v>
      </c>
      <c r="T31" s="87">
        <f t="shared" si="0"/>
        <v>1.974</v>
      </c>
      <c r="U31" s="51">
        <f t="shared" si="2"/>
        <v>0</v>
      </c>
      <c r="V31" s="51">
        <f t="shared" si="3"/>
        <v>0</v>
      </c>
      <c r="W31" s="51">
        <f t="shared" si="4"/>
        <v>1.974</v>
      </c>
      <c r="X31" s="51">
        <f t="shared" si="5"/>
        <v>0</v>
      </c>
      <c r="Y31" s="51">
        <f t="shared" si="6"/>
        <v>0</v>
      </c>
    </row>
    <row r="32" spans="1:25" x14ac:dyDescent="0.25">
      <c r="A32" s="59">
        <f t="shared" si="9"/>
        <v>42791</v>
      </c>
      <c r="B32" s="78" t="s">
        <v>106</v>
      </c>
      <c r="C32" s="88">
        <v>25000</v>
      </c>
      <c r="D32" s="85">
        <v>6230</v>
      </c>
      <c r="E32" s="88"/>
      <c r="F32" s="85"/>
      <c r="G32" s="88"/>
      <c r="H32" s="85">
        <v>2765</v>
      </c>
      <c r="I32" s="88"/>
      <c r="J32" s="88"/>
      <c r="K32" s="80"/>
      <c r="L32" s="81"/>
      <c r="M32" s="81"/>
      <c r="N32" s="81"/>
      <c r="O32" s="81"/>
      <c r="P32" s="86">
        <v>3920</v>
      </c>
      <c r="Q32" s="81"/>
      <c r="R32" s="81"/>
      <c r="S32" s="87">
        <f t="shared" si="0"/>
        <v>2.5</v>
      </c>
      <c r="T32" s="87">
        <f t="shared" si="0"/>
        <v>1.2915000000000001</v>
      </c>
      <c r="U32" s="51">
        <f t="shared" si="2"/>
        <v>0.623</v>
      </c>
      <c r="V32" s="51">
        <f t="shared" si="3"/>
        <v>0</v>
      </c>
      <c r="W32" s="51">
        <f t="shared" si="4"/>
        <v>0.27650000000000002</v>
      </c>
      <c r="X32" s="51">
        <f t="shared" si="5"/>
        <v>0</v>
      </c>
      <c r="Y32" s="51">
        <f t="shared" si="6"/>
        <v>0.39200000000000002</v>
      </c>
    </row>
    <row r="33" spans="1:25" x14ac:dyDescent="0.25">
      <c r="A33" s="59">
        <f t="shared" si="9"/>
        <v>42792</v>
      </c>
      <c r="B33" s="78" t="s">
        <v>107</v>
      </c>
      <c r="C33" s="88">
        <v>25000</v>
      </c>
      <c r="D33" s="85">
        <v>27545</v>
      </c>
      <c r="E33" s="88"/>
      <c r="F33" s="85"/>
      <c r="G33" s="88"/>
      <c r="H33" s="88"/>
      <c r="I33" s="88"/>
      <c r="J33" s="88"/>
      <c r="K33" s="80"/>
      <c r="L33" s="81"/>
      <c r="M33" s="81"/>
      <c r="N33" s="81"/>
      <c r="O33" s="81"/>
      <c r="P33" s="83"/>
      <c r="Q33" s="81"/>
      <c r="R33" s="83"/>
      <c r="S33" s="84">
        <f t="shared" si="0"/>
        <v>2.5</v>
      </c>
      <c r="T33" s="84">
        <f t="shared" si="0"/>
        <v>2.7545000000000002</v>
      </c>
      <c r="U33" s="51">
        <f t="shared" si="2"/>
        <v>2.7545000000000002</v>
      </c>
      <c r="V33" s="51">
        <f t="shared" si="3"/>
        <v>0</v>
      </c>
      <c r="W33" s="51">
        <f t="shared" si="4"/>
        <v>0</v>
      </c>
      <c r="X33" s="51">
        <f t="shared" si="5"/>
        <v>0</v>
      </c>
      <c r="Y33" s="51">
        <f t="shared" si="6"/>
        <v>0</v>
      </c>
    </row>
    <row r="34" spans="1:25" x14ac:dyDescent="0.25">
      <c r="A34" s="77">
        <f t="shared" si="9"/>
        <v>42793</v>
      </c>
      <c r="B34" s="78" t="s">
        <v>108</v>
      </c>
      <c r="C34" s="88">
        <v>25000</v>
      </c>
      <c r="D34" s="85">
        <v>30275</v>
      </c>
      <c r="E34" s="88"/>
      <c r="F34" s="88"/>
      <c r="G34" s="88"/>
      <c r="H34" s="88"/>
      <c r="I34" s="88"/>
      <c r="J34" s="88"/>
      <c r="K34" s="80"/>
      <c r="L34" s="86"/>
      <c r="M34" s="80"/>
      <c r="N34" s="81"/>
      <c r="O34" s="81"/>
      <c r="P34" s="83"/>
      <c r="Q34" s="81"/>
      <c r="R34" s="83"/>
      <c r="S34" s="84">
        <f t="shared" si="0"/>
        <v>2.5</v>
      </c>
      <c r="T34" s="84">
        <f t="shared" si="0"/>
        <v>3.0274999999999999</v>
      </c>
      <c r="U34" s="51">
        <f t="shared" si="2"/>
        <v>3.0274999999999999</v>
      </c>
      <c r="V34" s="51">
        <f t="shared" si="3"/>
        <v>0</v>
      </c>
      <c r="W34" s="51">
        <f t="shared" si="4"/>
        <v>0</v>
      </c>
      <c r="X34" s="51">
        <f t="shared" si="5"/>
        <v>0</v>
      </c>
      <c r="Y34" s="51">
        <f t="shared" si="6"/>
        <v>0</v>
      </c>
    </row>
    <row r="35" spans="1:25" x14ac:dyDescent="0.25">
      <c r="A35" s="59">
        <f t="shared" si="9"/>
        <v>42794</v>
      </c>
      <c r="B35" s="78" t="s">
        <v>110</v>
      </c>
      <c r="C35" s="88">
        <v>25000</v>
      </c>
      <c r="D35" s="85"/>
      <c r="E35" s="88"/>
      <c r="F35" s="85"/>
      <c r="G35" s="88"/>
      <c r="H35" s="88"/>
      <c r="I35" s="88"/>
      <c r="J35" s="88"/>
      <c r="K35" s="80"/>
      <c r="L35" s="81"/>
      <c r="M35" s="81"/>
      <c r="N35" s="81"/>
      <c r="O35" s="81"/>
      <c r="P35" s="81"/>
      <c r="Q35" s="81"/>
      <c r="R35" s="83"/>
      <c r="S35" s="84">
        <f t="shared" si="0"/>
        <v>2.5</v>
      </c>
      <c r="T35" s="84">
        <f t="shared" si="0"/>
        <v>0</v>
      </c>
      <c r="U35" s="51">
        <f t="shared" si="2"/>
        <v>0</v>
      </c>
      <c r="V35" s="51">
        <f t="shared" si="3"/>
        <v>0</v>
      </c>
      <c r="W35" s="51">
        <f t="shared" si="4"/>
        <v>0</v>
      </c>
      <c r="X35" s="51">
        <f t="shared" si="5"/>
        <v>0</v>
      </c>
      <c r="Y35" s="51">
        <f t="shared" si="6"/>
        <v>0</v>
      </c>
    </row>
    <row r="36" spans="1:25" hidden="1" x14ac:dyDescent="0.25">
      <c r="A36" s="77"/>
      <c r="B36" s="78"/>
      <c r="C36" s="88"/>
      <c r="D36" s="85"/>
      <c r="E36" s="88"/>
      <c r="F36" s="85"/>
      <c r="G36" s="88"/>
      <c r="H36" s="88"/>
      <c r="I36" s="88"/>
      <c r="J36" s="88"/>
      <c r="K36" s="80"/>
      <c r="L36" s="81"/>
      <c r="M36" s="81"/>
      <c r="N36" s="81"/>
      <c r="O36" s="81"/>
      <c r="P36" s="81"/>
      <c r="Q36" s="81"/>
      <c r="R36" s="83"/>
      <c r="S36" s="84">
        <f t="shared" si="0"/>
        <v>0</v>
      </c>
      <c r="T36" s="84">
        <f t="shared" si="0"/>
        <v>0</v>
      </c>
    </row>
    <row r="37" spans="1:25" hidden="1" x14ac:dyDescent="0.25">
      <c r="A37" s="59"/>
      <c r="B37" s="78"/>
      <c r="C37" s="88"/>
      <c r="D37" s="88"/>
      <c r="E37" s="88"/>
      <c r="F37" s="88"/>
      <c r="G37" s="88"/>
      <c r="H37" s="88"/>
      <c r="I37" s="88"/>
      <c r="J37" s="88"/>
      <c r="K37" s="80"/>
      <c r="L37" s="81"/>
      <c r="M37" s="81"/>
      <c r="N37" s="81"/>
      <c r="O37" s="81"/>
      <c r="P37" s="81"/>
      <c r="Q37" s="81"/>
      <c r="R37" s="81"/>
      <c r="S37" s="84">
        <f t="shared" si="0"/>
        <v>0</v>
      </c>
      <c r="T37" s="84">
        <f t="shared" si="0"/>
        <v>0</v>
      </c>
    </row>
    <row r="38" spans="1:25" hidden="1" x14ac:dyDescent="0.25">
      <c r="A38" s="59"/>
      <c r="B38" s="78"/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1"/>
      <c r="N38" s="81"/>
      <c r="O38" s="81"/>
      <c r="P38" s="81"/>
      <c r="Q38" s="81"/>
      <c r="R38" s="81"/>
      <c r="S38" s="84">
        <f t="shared" si="0"/>
        <v>0</v>
      </c>
      <c r="T38" s="84">
        <f t="shared" si="0"/>
        <v>0</v>
      </c>
    </row>
    <row r="39" spans="1:25" x14ac:dyDescent="0.25">
      <c r="A39" s="124" t="s">
        <v>111</v>
      </c>
      <c r="B39" s="125"/>
      <c r="C39" s="89">
        <f>SUM(C8:C38)</f>
        <v>250000</v>
      </c>
      <c r="D39" s="89">
        <f t="shared" ref="D39:R39" si="10">SUM(D8:D38)</f>
        <v>221235</v>
      </c>
      <c r="E39" s="89">
        <f t="shared" si="10"/>
        <v>35000</v>
      </c>
      <c r="F39" s="89">
        <f t="shared" si="10"/>
        <v>24000</v>
      </c>
      <c r="G39" s="89">
        <f t="shared" si="10"/>
        <v>155000</v>
      </c>
      <c r="H39" s="89">
        <f t="shared" si="10"/>
        <v>165690</v>
      </c>
      <c r="I39" s="89">
        <f t="shared" si="10"/>
        <v>47000</v>
      </c>
      <c r="J39" s="89">
        <f t="shared" si="10"/>
        <v>52176</v>
      </c>
      <c r="K39" s="89">
        <f t="shared" si="10"/>
        <v>0</v>
      </c>
      <c r="L39" s="89">
        <f t="shared" si="10"/>
        <v>0</v>
      </c>
      <c r="M39" s="89">
        <f t="shared" si="10"/>
        <v>0</v>
      </c>
      <c r="N39" s="89">
        <f t="shared" si="10"/>
        <v>0</v>
      </c>
      <c r="O39" s="89">
        <f t="shared" si="10"/>
        <v>92500</v>
      </c>
      <c r="P39" s="89">
        <f>SUM(P8:P38)</f>
        <v>97020</v>
      </c>
      <c r="Q39" s="89">
        <f t="shared" si="10"/>
        <v>0</v>
      </c>
      <c r="R39" s="89">
        <f t="shared" si="10"/>
        <v>0</v>
      </c>
      <c r="S39" s="90">
        <f>SUM(S8:S38)</f>
        <v>82.55</v>
      </c>
      <c r="T39" s="89">
        <f t="shared" ref="T39" si="11">SUM(T8:T37)</f>
        <v>78.864900000000006</v>
      </c>
      <c r="U39" s="100">
        <f>SUM(U8:U35)</f>
        <v>22.123500000000003</v>
      </c>
      <c r="V39" s="100">
        <f t="shared" ref="V39:Y39" si="12">SUM(V8:V35)</f>
        <v>9.6000000000000014</v>
      </c>
      <c r="W39" s="100">
        <f t="shared" si="12"/>
        <v>16.568999999999999</v>
      </c>
      <c r="X39" s="100">
        <f t="shared" si="12"/>
        <v>20.8704</v>
      </c>
      <c r="Y39" s="100">
        <f t="shared" si="12"/>
        <v>9.702</v>
      </c>
    </row>
    <row r="40" spans="1:25" x14ac:dyDescent="0.25">
      <c r="A40" s="124" t="s">
        <v>112</v>
      </c>
      <c r="B40" s="125"/>
      <c r="C40" s="91">
        <f>C39*0.1/1000</f>
        <v>25</v>
      </c>
      <c r="D40" s="91">
        <f t="shared" ref="D40" si="13">D39*0.1/1000</f>
        <v>22.1235</v>
      </c>
      <c r="E40" s="91">
        <f t="shared" ref="E40:J40" si="14">E39*0.4/1000</f>
        <v>14</v>
      </c>
      <c r="F40" s="91">
        <f t="shared" si="14"/>
        <v>9.6</v>
      </c>
      <c r="G40" s="91">
        <f>G39*0.1/1000</f>
        <v>15.5</v>
      </c>
      <c r="H40" s="91">
        <f>H39*0.1/1000</f>
        <v>16.568999999999999</v>
      </c>
      <c r="I40" s="91">
        <f t="shared" si="14"/>
        <v>18.8</v>
      </c>
      <c r="J40" s="91">
        <f t="shared" si="14"/>
        <v>20.8704</v>
      </c>
      <c r="K40" s="91">
        <f>K39*0.1/1000</f>
        <v>0</v>
      </c>
      <c r="L40" s="91">
        <f>L39*0.1/1000</f>
        <v>0</v>
      </c>
      <c r="M40" s="91">
        <f>M39*0.4/1000</f>
        <v>0</v>
      </c>
      <c r="N40" s="91">
        <f>N39*0.4/1000</f>
        <v>0</v>
      </c>
      <c r="O40" s="91">
        <f>O39*0.1/1000</f>
        <v>9.25</v>
      </c>
      <c r="P40" s="91">
        <f t="shared" ref="P40" si="15">P39*0.1/1000</f>
        <v>9.702</v>
      </c>
      <c r="Q40" s="91">
        <f>Q39*0.4/1000</f>
        <v>0</v>
      </c>
      <c r="R40" s="91">
        <f>R39*0.4/1000</f>
        <v>0</v>
      </c>
      <c r="S40" s="91"/>
      <c r="T40" s="91"/>
      <c r="U40" s="100"/>
      <c r="V40" s="100">
        <f>U39+V39</f>
        <v>31.723500000000005</v>
      </c>
      <c r="W40" s="100"/>
      <c r="X40" s="100">
        <f>W39+X39</f>
        <v>37.439399999999999</v>
      </c>
      <c r="Y40" s="100">
        <f>Y39</f>
        <v>9.702</v>
      </c>
    </row>
    <row r="41" spans="1:25" x14ac:dyDescent="0.25">
      <c r="C41" s="51">
        <v>250000</v>
      </c>
      <c r="E41" s="51">
        <v>35000</v>
      </c>
      <c r="G41" s="51">
        <v>150000</v>
      </c>
      <c r="I41" s="51">
        <v>47000</v>
      </c>
      <c r="O41" s="51">
        <v>92500</v>
      </c>
    </row>
    <row r="42" spans="1:25" x14ac:dyDescent="0.25">
      <c r="A42" s="52"/>
      <c r="O42" s="51">
        <v>97020</v>
      </c>
    </row>
    <row r="43" spans="1:25" x14ac:dyDescent="0.25">
      <c r="A43" s="52"/>
    </row>
    <row r="45" spans="1:25" x14ac:dyDescent="0.25">
      <c r="O45" s="52"/>
      <c r="P45" s="52"/>
      <c r="Q45" s="52"/>
      <c r="R45" s="52"/>
    </row>
  </sheetData>
  <mergeCells count="6">
    <mergeCell ref="A40:B40"/>
    <mergeCell ref="C3:R3"/>
    <mergeCell ref="C4:J4"/>
    <mergeCell ref="K4:R4"/>
    <mergeCell ref="S6:T6"/>
    <mergeCell ref="A39:B39"/>
  </mergeCells>
  <conditionalFormatting sqref="F5 H5:N5">
    <cfRule type="cellIs" dxfId="57" priority="1" stopIfTrue="1" operator="greaterThan">
      <formula>0</formula>
    </cfRule>
    <cfRule type="cellIs" dxfId="56" priority="2" stopIfTrue="1" operator="lessThanOrEqual">
      <formula>0</formula>
    </cfRule>
  </conditionalFormatting>
  <conditionalFormatting sqref="T5">
    <cfRule type="cellIs" dxfId="55" priority="13" stopIfTrue="1" operator="greaterThan">
      <formula>0</formula>
    </cfRule>
    <cfRule type="cellIs" dxfId="54" priority="14" stopIfTrue="1" operator="lessThanOrEqual">
      <formula>0</formula>
    </cfRule>
  </conditionalFormatting>
  <conditionalFormatting sqref="O5">
    <cfRule type="cellIs" dxfId="53" priority="12" operator="lessThan">
      <formula>0</formula>
    </cfRule>
  </conditionalFormatting>
  <conditionalFormatting sqref="D5:E5">
    <cfRule type="cellIs" dxfId="52" priority="10" stopIfTrue="1" operator="greaterThan">
      <formula>0</formula>
    </cfRule>
    <cfRule type="cellIs" dxfId="51" priority="11" stopIfTrue="1" operator="lessThanOrEqual">
      <formula>0</formula>
    </cfRule>
  </conditionalFormatting>
  <conditionalFormatting sqref="G5">
    <cfRule type="cellIs" dxfId="50" priority="9" operator="lessThan">
      <formula>0</formula>
    </cfRule>
  </conditionalFormatting>
  <conditionalFormatting sqref="Q5">
    <cfRule type="cellIs" dxfId="49" priority="8" operator="lessThan">
      <formula>0</formula>
    </cfRule>
  </conditionalFormatting>
  <conditionalFormatting sqref="C5">
    <cfRule type="cellIs" dxfId="48" priority="7" operator="lessThan">
      <formula>0</formula>
    </cfRule>
  </conditionalFormatting>
  <conditionalFormatting sqref="P5">
    <cfRule type="cellIs" dxfId="47" priority="5" stopIfTrue="1" operator="greaterThan">
      <formula>0</formula>
    </cfRule>
    <cfRule type="cellIs" dxfId="46" priority="6" stopIfTrue="1" operator="lessThanOrEqual">
      <formula>0</formula>
    </cfRule>
  </conditionalFormatting>
  <conditionalFormatting sqref="R5">
    <cfRule type="cellIs" dxfId="45" priority="3" stopIfTrue="1" operator="greaterThan">
      <formula>0</formula>
    </cfRule>
    <cfRule type="cellIs" dxfId="44" priority="4" stopIfTrue="1" operator="lessThanOrEqual">
      <formula>0</formula>
    </cfRule>
  </conditionalFormatting>
  <pageMargins left="0.7" right="0.7" top="0.75" bottom="0.75" header="0.3" footer="0.3"/>
  <pageSetup paperSize="9" scale="7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opLeftCell="A4" workbookViewId="0">
      <pane xSplit="17" ySplit="4" topLeftCell="U20" activePane="bottomRight" state="frozen"/>
      <selection activeCell="A4" sqref="A4"/>
      <selection pane="topRight" activeCell="R4" sqref="R4"/>
      <selection pane="bottomLeft" activeCell="A8" sqref="A8"/>
      <selection pane="bottomRight" activeCell="V33" sqref="V33"/>
    </sheetView>
  </sheetViews>
  <sheetFormatPr defaultRowHeight="15" x14ac:dyDescent="0.25"/>
  <cols>
    <col min="1" max="1" width="12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0" width="9" style="51" customWidth="1"/>
    <col min="11" max="14" width="9" style="51" hidden="1" customWidth="1"/>
    <col min="15" max="18" width="9.140625" style="51" customWidth="1"/>
    <col min="19" max="16384" width="9.140625" style="51"/>
  </cols>
  <sheetData>
    <row r="1" spans="1:25" x14ac:dyDescent="0.25">
      <c r="P1" s="52" t="s">
        <v>81</v>
      </c>
    </row>
    <row r="2" spans="1:25" ht="15.75" thickBot="1" x14ac:dyDescent="0.3">
      <c r="A2" s="53" t="s">
        <v>82</v>
      </c>
      <c r="C2" s="54" t="s">
        <v>83</v>
      </c>
      <c r="G2" s="54"/>
    </row>
    <row r="3" spans="1:25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5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5" x14ac:dyDescent="0.25">
      <c r="A5" s="59"/>
      <c r="B5" s="60" t="s">
        <v>88</v>
      </c>
      <c r="C5" s="61"/>
      <c r="D5" s="62">
        <f>C39-D39</f>
        <v>92815</v>
      </c>
      <c r="E5" s="62"/>
      <c r="F5" s="62">
        <f>E39-F39</f>
        <v>11000</v>
      </c>
      <c r="G5" s="61"/>
      <c r="H5" s="62">
        <f>G39-H39</f>
        <v>31835</v>
      </c>
      <c r="I5" s="62"/>
      <c r="J5" s="62">
        <f>I39-J39</f>
        <v>-4000</v>
      </c>
      <c r="K5" s="62"/>
      <c r="L5" s="62"/>
      <c r="M5" s="62"/>
      <c r="N5" s="62"/>
      <c r="O5" s="61"/>
      <c r="P5" s="62">
        <f>O39-P39</f>
        <v>-600</v>
      </c>
      <c r="Q5" s="61"/>
      <c r="R5" s="62">
        <f>Q39-R39</f>
        <v>0</v>
      </c>
      <c r="S5" s="63"/>
      <c r="T5" s="64"/>
    </row>
    <row r="6" spans="1:25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5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136</v>
      </c>
      <c r="V7" s="76" t="s">
        <v>135</v>
      </c>
      <c r="W7" s="76" t="s">
        <v>137</v>
      </c>
      <c r="X7" s="76" t="s">
        <v>138</v>
      </c>
      <c r="Y7" s="99" t="s">
        <v>139</v>
      </c>
    </row>
    <row r="8" spans="1:25" x14ac:dyDescent="0.25">
      <c r="A8" s="77">
        <v>42767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 t="shared" ref="S8:T38" si="0">((C8*0.1)+(E8*0.4)+(G8*0.1)+(I8*0.4)+(K8*0.1)+(M8*0.4)+(O8*0.1)+(Q8*0.4))/1000</f>
        <v>0</v>
      </c>
      <c r="T8" s="84">
        <f t="shared" si="0"/>
        <v>0</v>
      </c>
    </row>
    <row r="9" spans="1:25" x14ac:dyDescent="0.25">
      <c r="A9" s="59">
        <f t="shared" ref="A9:A14" si="1">A8+1</f>
        <v>42768</v>
      </c>
      <c r="B9" s="78" t="s">
        <v>104</v>
      </c>
      <c r="C9" s="79"/>
      <c r="D9" s="79"/>
      <c r="E9" s="79"/>
      <c r="F9" s="79"/>
      <c r="G9" s="79"/>
      <c r="H9" s="85">
        <v>5950</v>
      </c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si="0"/>
        <v>0</v>
      </c>
      <c r="T9" s="84">
        <f t="shared" si="0"/>
        <v>0.59499999999999997</v>
      </c>
      <c r="W9" s="51">
        <f t="shared" ref="W9:W14" si="2">H9*100/1000/1000</f>
        <v>0.59499999999999997</v>
      </c>
      <c r="X9" s="51">
        <f t="shared" ref="X9:X14" si="3">J9*400/1000/1000</f>
        <v>0</v>
      </c>
    </row>
    <row r="10" spans="1:25" x14ac:dyDescent="0.25">
      <c r="A10" s="77">
        <f t="shared" si="1"/>
        <v>42769</v>
      </c>
      <c r="B10" s="78" t="s">
        <v>105</v>
      </c>
      <c r="C10" s="79"/>
      <c r="D10" s="79"/>
      <c r="E10" s="79"/>
      <c r="F10" s="79"/>
      <c r="G10" s="79">
        <v>10000</v>
      </c>
      <c r="H10" s="85">
        <v>24395</v>
      </c>
      <c r="I10" s="79">
        <v>7000</v>
      </c>
      <c r="J10" s="85">
        <v>6000</v>
      </c>
      <c r="K10" s="80"/>
      <c r="L10" s="80"/>
      <c r="M10" s="80"/>
      <c r="N10" s="80"/>
      <c r="O10" s="81"/>
      <c r="P10" s="82"/>
      <c r="Q10" s="81"/>
      <c r="R10" s="83"/>
      <c r="S10" s="84">
        <f t="shared" si="0"/>
        <v>3.8</v>
      </c>
      <c r="T10" s="84">
        <f t="shared" si="0"/>
        <v>4.8395000000000001</v>
      </c>
      <c r="W10" s="51">
        <f t="shared" si="2"/>
        <v>2.4394999999999998</v>
      </c>
      <c r="X10" s="51">
        <f t="shared" si="3"/>
        <v>2.4</v>
      </c>
    </row>
    <row r="11" spans="1:25" x14ac:dyDescent="0.25">
      <c r="A11" s="59">
        <f t="shared" si="1"/>
        <v>42770</v>
      </c>
      <c r="B11" s="78" t="s">
        <v>106</v>
      </c>
      <c r="C11" s="79"/>
      <c r="D11" s="79"/>
      <c r="E11" s="79"/>
      <c r="F11" s="79"/>
      <c r="G11" s="79">
        <v>15000</v>
      </c>
      <c r="H11" s="85">
        <v>26670</v>
      </c>
      <c r="I11" s="79">
        <v>10000</v>
      </c>
      <c r="J11" s="85">
        <v>11448</v>
      </c>
      <c r="K11" s="80"/>
      <c r="L11" s="80"/>
      <c r="M11" s="80"/>
      <c r="N11" s="86"/>
      <c r="O11" s="86"/>
      <c r="P11" s="86"/>
      <c r="Q11" s="86"/>
      <c r="R11" s="86"/>
      <c r="S11" s="87">
        <f t="shared" si="0"/>
        <v>5.5</v>
      </c>
      <c r="T11" s="87">
        <f t="shared" si="0"/>
        <v>7.2462</v>
      </c>
      <c r="W11" s="51">
        <f t="shared" si="2"/>
        <v>2.6669999999999998</v>
      </c>
      <c r="X11" s="51">
        <f t="shared" si="3"/>
        <v>4.5792000000000002</v>
      </c>
    </row>
    <row r="12" spans="1:25" x14ac:dyDescent="0.25">
      <c r="A12" s="59">
        <f>A11+1</f>
        <v>42771</v>
      </c>
      <c r="B12" s="78" t="s">
        <v>107</v>
      </c>
      <c r="C12" s="79"/>
      <c r="D12" s="79"/>
      <c r="E12" s="79"/>
      <c r="F12" s="79"/>
      <c r="G12" s="79">
        <v>25000</v>
      </c>
      <c r="H12" s="85">
        <v>26775</v>
      </c>
      <c r="I12" s="79">
        <v>10000</v>
      </c>
      <c r="J12" s="85">
        <v>10656</v>
      </c>
      <c r="K12" s="80"/>
      <c r="L12" s="80"/>
      <c r="M12" s="80"/>
      <c r="N12" s="86"/>
      <c r="O12" s="81"/>
      <c r="P12" s="83"/>
      <c r="Q12" s="81"/>
      <c r="R12" s="83"/>
      <c r="S12" s="84">
        <f t="shared" si="0"/>
        <v>6.5</v>
      </c>
      <c r="T12" s="84">
        <f t="shared" si="0"/>
        <v>6.9399000000000006</v>
      </c>
      <c r="W12" s="51">
        <f t="shared" si="2"/>
        <v>2.6775000000000002</v>
      </c>
      <c r="X12" s="51">
        <f t="shared" si="3"/>
        <v>4.2623999999999995</v>
      </c>
    </row>
    <row r="13" spans="1:25" x14ac:dyDescent="0.25">
      <c r="A13" s="77">
        <f t="shared" si="1"/>
        <v>42772</v>
      </c>
      <c r="B13" s="78" t="s">
        <v>108</v>
      </c>
      <c r="C13" s="79"/>
      <c r="D13" s="79"/>
      <c r="E13" s="79"/>
      <c r="F13" s="79"/>
      <c r="G13" s="79">
        <v>25000</v>
      </c>
      <c r="H13" s="85">
        <v>9800</v>
      </c>
      <c r="I13" s="79">
        <v>10000</v>
      </c>
      <c r="J13" s="85">
        <v>8880</v>
      </c>
      <c r="K13" s="80"/>
      <c r="L13" s="80"/>
      <c r="M13" s="80"/>
      <c r="N13" s="86"/>
      <c r="O13" s="83"/>
      <c r="P13" s="83"/>
      <c r="Q13" s="83"/>
      <c r="R13" s="83"/>
      <c r="S13" s="84">
        <f t="shared" si="0"/>
        <v>6.5</v>
      </c>
      <c r="T13" s="84">
        <f t="shared" si="0"/>
        <v>4.532</v>
      </c>
      <c r="W13" s="51">
        <f t="shared" si="2"/>
        <v>0.98</v>
      </c>
      <c r="X13" s="51">
        <f t="shared" si="3"/>
        <v>3.552</v>
      </c>
    </row>
    <row r="14" spans="1:25" x14ac:dyDescent="0.25">
      <c r="A14" s="59">
        <f t="shared" si="1"/>
        <v>42773</v>
      </c>
      <c r="B14" s="78" t="s">
        <v>110</v>
      </c>
      <c r="C14" s="79"/>
      <c r="D14" s="79"/>
      <c r="E14" s="79"/>
      <c r="F14" s="79"/>
      <c r="G14" s="79">
        <v>25000</v>
      </c>
      <c r="H14" s="85">
        <v>6580</v>
      </c>
      <c r="I14" s="79">
        <v>10000</v>
      </c>
      <c r="J14" s="85">
        <v>9168</v>
      </c>
      <c r="K14" s="80"/>
      <c r="L14" s="80"/>
      <c r="M14" s="80"/>
      <c r="N14" s="86"/>
      <c r="O14" s="83"/>
      <c r="P14" s="83"/>
      <c r="Q14" s="83"/>
      <c r="R14" s="83"/>
      <c r="S14" s="84">
        <f t="shared" si="0"/>
        <v>6.5</v>
      </c>
      <c r="T14" s="84">
        <f t="shared" si="0"/>
        <v>4.3252000000000006</v>
      </c>
      <c r="W14" s="51">
        <f t="shared" si="2"/>
        <v>0.65800000000000003</v>
      </c>
      <c r="X14" s="51">
        <f t="shared" si="3"/>
        <v>3.6671999999999998</v>
      </c>
    </row>
    <row r="15" spans="1:25" x14ac:dyDescent="0.25">
      <c r="A15" s="77">
        <f>A14+1</f>
        <v>42774</v>
      </c>
      <c r="B15" s="78" t="s">
        <v>103</v>
      </c>
      <c r="C15" s="79">
        <v>5000</v>
      </c>
      <c r="D15" s="85">
        <v>12950</v>
      </c>
      <c r="E15" s="79">
        <v>5000</v>
      </c>
      <c r="F15" s="85">
        <v>3840</v>
      </c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2.5</v>
      </c>
      <c r="T15" s="84">
        <f t="shared" si="0"/>
        <v>2.831</v>
      </c>
      <c r="U15" s="51">
        <f t="shared" ref="U15:U19" si="4">D15*100/1000/1000</f>
        <v>1.2949999999999999</v>
      </c>
      <c r="V15" s="51">
        <f t="shared" ref="V15:V19" si="5">F15*400/1000/1000</f>
        <v>1.536</v>
      </c>
    </row>
    <row r="16" spans="1:25" x14ac:dyDescent="0.25">
      <c r="A16" s="59">
        <f t="shared" ref="A16:A21" si="6">A15+1</f>
        <v>42775</v>
      </c>
      <c r="B16" s="78" t="s">
        <v>104</v>
      </c>
      <c r="C16" s="79">
        <v>25000</v>
      </c>
      <c r="D16" s="85">
        <v>27825</v>
      </c>
      <c r="E16" s="79">
        <v>10000</v>
      </c>
      <c r="F16" s="85">
        <v>8400</v>
      </c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0"/>
        <v>6.5</v>
      </c>
      <c r="T16" s="84">
        <f t="shared" si="0"/>
        <v>6.1425000000000001</v>
      </c>
      <c r="U16" s="51">
        <f t="shared" si="4"/>
        <v>2.7825000000000002</v>
      </c>
      <c r="V16" s="51">
        <f t="shared" si="5"/>
        <v>3.36</v>
      </c>
    </row>
    <row r="17" spans="1:25" x14ac:dyDescent="0.25">
      <c r="A17" s="77">
        <f>A16+1</f>
        <v>42776</v>
      </c>
      <c r="B17" s="78" t="s">
        <v>105</v>
      </c>
      <c r="C17" s="79">
        <v>25000</v>
      </c>
      <c r="D17" s="85">
        <v>28700</v>
      </c>
      <c r="E17" s="79">
        <v>10000</v>
      </c>
      <c r="F17" s="85">
        <v>9360</v>
      </c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0"/>
        <v>6.5</v>
      </c>
      <c r="T17" s="84">
        <f t="shared" si="0"/>
        <v>6.6139999999999999</v>
      </c>
      <c r="U17" s="51">
        <f t="shared" si="4"/>
        <v>2.87</v>
      </c>
      <c r="V17" s="51">
        <f t="shared" si="5"/>
        <v>3.7440000000000002</v>
      </c>
    </row>
    <row r="18" spans="1:25" x14ac:dyDescent="0.25">
      <c r="A18" s="59">
        <f t="shared" si="6"/>
        <v>42777</v>
      </c>
      <c r="B18" s="78" t="s">
        <v>106</v>
      </c>
      <c r="C18" s="79">
        <v>45000</v>
      </c>
      <c r="D18" s="85">
        <v>39375</v>
      </c>
      <c r="E18" s="79">
        <v>10000</v>
      </c>
      <c r="F18" s="85">
        <v>2400</v>
      </c>
      <c r="G18" s="79"/>
      <c r="H18" s="79"/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0"/>
        <v>8.5</v>
      </c>
      <c r="T18" s="87">
        <f t="shared" si="0"/>
        <v>4.8975</v>
      </c>
      <c r="U18" s="51">
        <f t="shared" si="4"/>
        <v>3.9375</v>
      </c>
      <c r="V18" s="51">
        <f t="shared" si="5"/>
        <v>0.96</v>
      </c>
    </row>
    <row r="19" spans="1:25" x14ac:dyDescent="0.25">
      <c r="A19" s="59">
        <f t="shared" si="6"/>
        <v>42778</v>
      </c>
      <c r="B19" s="78" t="s">
        <v>107</v>
      </c>
      <c r="C19" s="79">
        <v>45000</v>
      </c>
      <c r="D19" s="85">
        <v>48335</v>
      </c>
      <c r="E19" s="79"/>
      <c r="F19" s="85"/>
      <c r="G19" s="79"/>
      <c r="H19" s="79"/>
      <c r="I19" s="79"/>
      <c r="J19" s="79"/>
      <c r="K19" s="80"/>
      <c r="L19" s="80"/>
      <c r="M19" s="86"/>
      <c r="N19" s="86"/>
      <c r="O19" s="81"/>
      <c r="P19" s="81"/>
      <c r="Q19" s="81"/>
      <c r="R19" s="81"/>
      <c r="S19" s="84">
        <f t="shared" si="0"/>
        <v>4.5</v>
      </c>
      <c r="T19" s="84">
        <f t="shared" si="0"/>
        <v>4.8334999999999999</v>
      </c>
      <c r="U19" s="51">
        <f t="shared" si="4"/>
        <v>4.8334999999999999</v>
      </c>
      <c r="V19" s="51">
        <f t="shared" si="5"/>
        <v>0</v>
      </c>
    </row>
    <row r="20" spans="1:25" x14ac:dyDescent="0.25">
      <c r="A20" s="77">
        <f t="shared" si="6"/>
        <v>42779</v>
      </c>
      <c r="B20" s="78" t="s">
        <v>108</v>
      </c>
      <c r="C20" s="79">
        <v>5000</v>
      </c>
      <c r="D20" s="79"/>
      <c r="E20" s="79"/>
      <c r="F20" s="85"/>
      <c r="G20" s="79"/>
      <c r="H20" s="79"/>
      <c r="I20" s="79"/>
      <c r="J20" s="79"/>
      <c r="K20" s="80"/>
      <c r="L20" s="80"/>
      <c r="M20" s="86"/>
      <c r="N20" s="86"/>
      <c r="O20" s="81"/>
      <c r="P20" s="81"/>
      <c r="Q20" s="81"/>
      <c r="R20" s="81"/>
      <c r="S20" s="84">
        <f t="shared" si="0"/>
        <v>0.5</v>
      </c>
      <c r="T20" s="84">
        <f t="shared" si="0"/>
        <v>0</v>
      </c>
    </row>
    <row r="21" spans="1:25" x14ac:dyDescent="0.25">
      <c r="A21" s="59">
        <f t="shared" si="6"/>
        <v>42780</v>
      </c>
      <c r="B21" s="78" t="s">
        <v>110</v>
      </c>
      <c r="C21" s="79"/>
      <c r="D21" s="85"/>
      <c r="E21" s="79"/>
      <c r="F21" s="85"/>
      <c r="G21" s="79"/>
      <c r="H21" s="79"/>
      <c r="I21" s="79"/>
      <c r="J21" s="79"/>
      <c r="K21" s="80"/>
      <c r="L21" s="80"/>
      <c r="M21" s="86"/>
      <c r="N21" s="86"/>
      <c r="O21" s="81"/>
      <c r="P21" s="86"/>
      <c r="Q21" s="81"/>
      <c r="R21" s="83"/>
      <c r="S21" s="84">
        <f t="shared" si="0"/>
        <v>0</v>
      </c>
      <c r="T21" s="84">
        <f t="shared" si="0"/>
        <v>0</v>
      </c>
    </row>
    <row r="22" spans="1:25" x14ac:dyDescent="0.25">
      <c r="A22" s="77">
        <f>A21+1</f>
        <v>42781</v>
      </c>
      <c r="B22" s="78" t="s">
        <v>103</v>
      </c>
      <c r="C22" s="88"/>
      <c r="D22" s="85"/>
      <c r="E22" s="85"/>
      <c r="F22" s="85"/>
      <c r="G22" s="88"/>
      <c r="H22" s="88"/>
      <c r="I22" s="88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0"/>
        <v>0</v>
      </c>
      <c r="T22" s="84">
        <f t="shared" si="0"/>
        <v>0</v>
      </c>
    </row>
    <row r="23" spans="1:25" x14ac:dyDescent="0.25">
      <c r="A23" s="59">
        <f t="shared" ref="A23:A28" si="7">A22+1</f>
        <v>42782</v>
      </c>
      <c r="B23" s="78" t="s">
        <v>104</v>
      </c>
      <c r="C23" s="88"/>
      <c r="D23" s="85"/>
      <c r="E23" s="85"/>
      <c r="F23" s="79"/>
      <c r="G23" s="88"/>
      <c r="H23" s="85"/>
      <c r="I23" s="88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0"/>
        <v>0</v>
      </c>
      <c r="T23" s="84">
        <f t="shared" si="0"/>
        <v>0</v>
      </c>
    </row>
    <row r="24" spans="1:25" x14ac:dyDescent="0.25">
      <c r="A24" s="77">
        <f t="shared" si="7"/>
        <v>42783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0"/>
        <v>0</v>
      </c>
      <c r="T24" s="84">
        <f t="shared" si="0"/>
        <v>0</v>
      </c>
      <c r="V24" s="97"/>
      <c r="W24" s="97"/>
    </row>
    <row r="25" spans="1:25" x14ac:dyDescent="0.25">
      <c r="A25" s="59">
        <f t="shared" si="7"/>
        <v>42784</v>
      </c>
      <c r="B25" s="78" t="s">
        <v>106</v>
      </c>
      <c r="C25" s="88"/>
      <c r="D25" s="88"/>
      <c r="E25" s="88"/>
      <c r="F25" s="88"/>
      <c r="G25" s="88"/>
      <c r="H25" s="88"/>
      <c r="I25" s="88"/>
      <c r="J25" s="88"/>
      <c r="K25" s="80"/>
      <c r="L25" s="86"/>
      <c r="M25" s="80"/>
      <c r="N25" s="81"/>
      <c r="O25" s="81">
        <v>17500</v>
      </c>
      <c r="P25" s="86">
        <v>16345</v>
      </c>
      <c r="Q25" s="81"/>
      <c r="R25" s="81"/>
      <c r="S25" s="87">
        <f t="shared" si="0"/>
        <v>1.75</v>
      </c>
      <c r="T25" s="87">
        <f t="shared" si="0"/>
        <v>1.6345000000000001</v>
      </c>
      <c r="V25" s="97"/>
      <c r="W25" s="98"/>
      <c r="Y25" s="98">
        <f>P25*100/1000/1000</f>
        <v>1.6345000000000001</v>
      </c>
    </row>
    <row r="26" spans="1:25" x14ac:dyDescent="0.25">
      <c r="A26" s="59">
        <f t="shared" si="7"/>
        <v>42785</v>
      </c>
      <c r="B26" s="78" t="s">
        <v>107</v>
      </c>
      <c r="C26" s="88"/>
      <c r="D26" s="88"/>
      <c r="E26" s="88"/>
      <c r="F26" s="88"/>
      <c r="G26" s="88"/>
      <c r="H26" s="88"/>
      <c r="I26" s="88"/>
      <c r="J26" s="88"/>
      <c r="K26" s="80"/>
      <c r="L26" s="86"/>
      <c r="M26" s="80"/>
      <c r="N26" s="81"/>
      <c r="O26" s="81">
        <v>25000</v>
      </c>
      <c r="P26" s="86">
        <v>26775</v>
      </c>
      <c r="Q26" s="81"/>
      <c r="R26" s="86"/>
      <c r="S26" s="87">
        <f t="shared" si="0"/>
        <v>2.5</v>
      </c>
      <c r="T26" s="87">
        <f t="shared" si="0"/>
        <v>2.6775000000000002</v>
      </c>
      <c r="V26" s="97"/>
      <c r="W26" s="98"/>
      <c r="Y26" s="98">
        <f t="shared" ref="Y26:Y29" si="8">P26*100/1000/1000</f>
        <v>2.6775000000000002</v>
      </c>
    </row>
    <row r="27" spans="1:25" x14ac:dyDescent="0.25">
      <c r="A27" s="77">
        <f t="shared" si="7"/>
        <v>42786</v>
      </c>
      <c r="B27" s="78" t="s">
        <v>108</v>
      </c>
      <c r="C27" s="88"/>
      <c r="D27" s="88"/>
      <c r="E27" s="88"/>
      <c r="F27" s="88"/>
      <c r="G27" s="88"/>
      <c r="H27" s="88"/>
      <c r="I27" s="88"/>
      <c r="J27" s="88"/>
      <c r="K27" s="81"/>
      <c r="L27" s="86"/>
      <c r="M27" s="80"/>
      <c r="N27" s="81"/>
      <c r="O27" s="81">
        <v>25000</v>
      </c>
      <c r="P27" s="86">
        <v>27230</v>
      </c>
      <c r="Q27" s="81"/>
      <c r="R27" s="86"/>
      <c r="S27" s="87">
        <f t="shared" si="0"/>
        <v>2.5</v>
      </c>
      <c r="T27" s="87">
        <f t="shared" si="0"/>
        <v>2.7229999999999999</v>
      </c>
      <c r="V27" s="97"/>
      <c r="W27" s="98"/>
      <c r="Y27" s="98">
        <f t="shared" si="8"/>
        <v>2.7229999999999999</v>
      </c>
    </row>
    <row r="28" spans="1:25" x14ac:dyDescent="0.25">
      <c r="A28" s="59">
        <f t="shared" si="7"/>
        <v>42787</v>
      </c>
      <c r="B28" s="78" t="s">
        <v>110</v>
      </c>
      <c r="C28" s="88"/>
      <c r="D28" s="88"/>
      <c r="E28" s="88"/>
      <c r="F28" s="88"/>
      <c r="G28" s="88"/>
      <c r="H28" s="85">
        <v>5250</v>
      </c>
      <c r="I28" s="88"/>
      <c r="J28" s="88"/>
      <c r="K28" s="81"/>
      <c r="L28" s="86"/>
      <c r="M28" s="80"/>
      <c r="N28" s="81"/>
      <c r="O28" s="81">
        <v>25000</v>
      </c>
      <c r="P28" s="86">
        <v>22750</v>
      </c>
      <c r="Q28" s="81"/>
      <c r="R28" s="86"/>
      <c r="S28" s="87">
        <f t="shared" si="0"/>
        <v>2.5</v>
      </c>
      <c r="T28" s="87">
        <f t="shared" si="0"/>
        <v>2.8</v>
      </c>
      <c r="V28" s="97"/>
      <c r="W28" s="98">
        <f>H28*100/1000/1000</f>
        <v>0.52500000000000002</v>
      </c>
      <c r="Y28" s="98">
        <f t="shared" si="8"/>
        <v>2.2749999999999999</v>
      </c>
    </row>
    <row r="29" spans="1:25" x14ac:dyDescent="0.25">
      <c r="A29" s="77">
        <f>A28+1</f>
        <v>42788</v>
      </c>
      <c r="B29" s="78" t="s">
        <v>103</v>
      </c>
      <c r="C29" s="88"/>
      <c r="D29" s="88"/>
      <c r="E29" s="88"/>
      <c r="F29" s="88"/>
      <c r="G29" s="88">
        <v>25000</v>
      </c>
      <c r="H29" s="85">
        <v>17745</v>
      </c>
      <c r="I29" s="88"/>
      <c r="J29" s="85">
        <v>4848</v>
      </c>
      <c r="K29" s="80"/>
      <c r="L29" s="86"/>
      <c r="M29" s="80"/>
      <c r="N29" s="81"/>
      <c r="O29" s="81"/>
      <c r="P29" s="86"/>
      <c r="Q29" s="81"/>
      <c r="R29" s="81"/>
      <c r="S29" s="87">
        <f t="shared" si="0"/>
        <v>2.5</v>
      </c>
      <c r="T29" s="87">
        <f t="shared" si="0"/>
        <v>3.7136999999999998</v>
      </c>
      <c r="W29" s="51">
        <f>H29*100/1000/1000</f>
        <v>1.7745</v>
      </c>
      <c r="X29" s="51">
        <f>J29*400/1000/1000</f>
        <v>1.9392</v>
      </c>
      <c r="Y29" s="98">
        <f t="shared" si="8"/>
        <v>0</v>
      </c>
    </row>
    <row r="30" spans="1:25" x14ac:dyDescent="0.25">
      <c r="A30" s="59">
        <f t="shared" ref="A30:A35" si="9">A29+1</f>
        <v>42789</v>
      </c>
      <c r="B30" s="78" t="s">
        <v>104</v>
      </c>
      <c r="C30" s="88"/>
      <c r="D30" s="88"/>
      <c r="E30" s="88"/>
      <c r="F30" s="88"/>
      <c r="G30" s="88">
        <v>25000</v>
      </c>
      <c r="H30" s="88"/>
      <c r="I30" s="88"/>
      <c r="J30" s="85"/>
      <c r="K30" s="80"/>
      <c r="L30" s="86"/>
      <c r="M30" s="80"/>
      <c r="N30" s="81"/>
      <c r="O30" s="81"/>
      <c r="P30" s="81"/>
      <c r="Q30" s="81"/>
      <c r="R30" s="81"/>
      <c r="S30" s="87">
        <f t="shared" si="0"/>
        <v>2.5</v>
      </c>
      <c r="T30" s="87">
        <f t="shared" si="0"/>
        <v>0</v>
      </c>
    </row>
    <row r="31" spans="1:25" x14ac:dyDescent="0.25">
      <c r="A31" s="77">
        <f t="shared" si="9"/>
        <v>42790</v>
      </c>
      <c r="B31" s="78" t="s">
        <v>105</v>
      </c>
      <c r="C31" s="88"/>
      <c r="D31" s="88"/>
      <c r="E31" s="88"/>
      <c r="F31" s="85"/>
      <c r="G31" s="88">
        <v>5000</v>
      </c>
      <c r="H31" s="88"/>
      <c r="I31" s="88"/>
      <c r="J31" s="85"/>
      <c r="K31" s="80"/>
      <c r="L31" s="81"/>
      <c r="M31" s="81"/>
      <c r="N31" s="81"/>
      <c r="O31" s="81"/>
      <c r="P31" s="81"/>
      <c r="Q31" s="81"/>
      <c r="R31" s="81"/>
      <c r="S31" s="87">
        <f t="shared" si="0"/>
        <v>0.5</v>
      </c>
      <c r="T31" s="87">
        <f t="shared" si="0"/>
        <v>0</v>
      </c>
    </row>
    <row r="32" spans="1:25" x14ac:dyDescent="0.25">
      <c r="A32" s="59">
        <f t="shared" si="9"/>
        <v>42791</v>
      </c>
      <c r="B32" s="78" t="s">
        <v>106</v>
      </c>
      <c r="C32" s="88">
        <v>25000</v>
      </c>
      <c r="D32" s="88"/>
      <c r="E32" s="88"/>
      <c r="F32" s="85"/>
      <c r="G32" s="88"/>
      <c r="H32" s="88"/>
      <c r="I32" s="88"/>
      <c r="J32" s="88"/>
      <c r="K32" s="80"/>
      <c r="L32" s="81"/>
      <c r="M32" s="81"/>
      <c r="N32" s="81"/>
      <c r="O32" s="81"/>
      <c r="P32" s="81"/>
      <c r="Q32" s="81"/>
      <c r="R32" s="81"/>
      <c r="S32" s="87">
        <f t="shared" si="0"/>
        <v>2.5</v>
      </c>
      <c r="T32" s="87">
        <f t="shared" si="0"/>
        <v>0</v>
      </c>
      <c r="U32" s="51">
        <f>SUM(U9:U29)</f>
        <v>15.718500000000002</v>
      </c>
      <c r="V32" s="51">
        <f t="shared" ref="V32:W32" si="10">SUM(V9:V29)</f>
        <v>9.6000000000000014</v>
      </c>
      <c r="W32" s="51">
        <f t="shared" si="10"/>
        <v>12.3165</v>
      </c>
      <c r="X32" s="51">
        <f>SUM(X9:X29)</f>
        <v>20.399999999999999</v>
      </c>
      <c r="Y32" s="51">
        <f>SUM(Y9:Y29)</f>
        <v>9.31</v>
      </c>
    </row>
    <row r="33" spans="1:24" x14ac:dyDescent="0.25">
      <c r="A33" s="59">
        <f t="shared" si="9"/>
        <v>42792</v>
      </c>
      <c r="B33" s="78" t="s">
        <v>107</v>
      </c>
      <c r="C33" s="88">
        <v>25000</v>
      </c>
      <c r="D33" s="88"/>
      <c r="E33" s="88"/>
      <c r="F33" s="85"/>
      <c r="G33" s="88"/>
      <c r="H33" s="88"/>
      <c r="I33" s="88"/>
      <c r="J33" s="88"/>
      <c r="K33" s="80"/>
      <c r="L33" s="81"/>
      <c r="M33" s="81"/>
      <c r="N33" s="81"/>
      <c r="O33" s="81"/>
      <c r="P33" s="83"/>
      <c r="Q33" s="81"/>
      <c r="R33" s="83"/>
      <c r="S33" s="84">
        <f t="shared" si="0"/>
        <v>2.5</v>
      </c>
      <c r="T33" s="84">
        <f t="shared" si="0"/>
        <v>0</v>
      </c>
      <c r="V33" s="51">
        <f>U32+V32</f>
        <v>25.318500000000004</v>
      </c>
      <c r="X33" s="51">
        <f>W32+X32</f>
        <v>32.716499999999996</v>
      </c>
    </row>
    <row r="34" spans="1:24" x14ac:dyDescent="0.25">
      <c r="A34" s="77">
        <f t="shared" si="9"/>
        <v>42793</v>
      </c>
      <c r="B34" s="78" t="s">
        <v>108</v>
      </c>
      <c r="C34" s="88">
        <v>25000</v>
      </c>
      <c r="D34" s="88"/>
      <c r="E34" s="88"/>
      <c r="F34" s="88"/>
      <c r="G34" s="88"/>
      <c r="H34" s="88"/>
      <c r="I34" s="88"/>
      <c r="J34" s="88"/>
      <c r="K34" s="80"/>
      <c r="L34" s="86"/>
      <c r="M34" s="80"/>
      <c r="N34" s="81"/>
      <c r="O34" s="81"/>
      <c r="P34" s="83"/>
      <c r="Q34" s="81"/>
      <c r="R34" s="83"/>
      <c r="S34" s="84">
        <f t="shared" si="0"/>
        <v>2.5</v>
      </c>
      <c r="T34" s="84">
        <f t="shared" si="0"/>
        <v>0</v>
      </c>
      <c r="X34" s="51">
        <f>W32+X32+Y32</f>
        <v>42.026499999999999</v>
      </c>
    </row>
    <row r="35" spans="1:24" x14ac:dyDescent="0.25">
      <c r="A35" s="59">
        <f t="shared" si="9"/>
        <v>42794</v>
      </c>
      <c r="B35" s="78" t="s">
        <v>110</v>
      </c>
      <c r="C35" s="88">
        <v>25000</v>
      </c>
      <c r="D35" s="85"/>
      <c r="E35" s="88"/>
      <c r="F35" s="85"/>
      <c r="G35" s="88"/>
      <c r="H35" s="88"/>
      <c r="I35" s="88"/>
      <c r="J35" s="88"/>
      <c r="K35" s="80"/>
      <c r="L35" s="81"/>
      <c r="M35" s="81"/>
      <c r="N35" s="81"/>
      <c r="O35" s="81"/>
      <c r="P35" s="81"/>
      <c r="Q35" s="81"/>
      <c r="R35" s="83"/>
      <c r="S35" s="84">
        <f t="shared" si="0"/>
        <v>2.5</v>
      </c>
      <c r="T35" s="84">
        <f t="shared" si="0"/>
        <v>0</v>
      </c>
    </row>
    <row r="36" spans="1:24" hidden="1" x14ac:dyDescent="0.25">
      <c r="A36" s="77"/>
      <c r="B36" s="78"/>
      <c r="C36" s="88"/>
      <c r="D36" s="85"/>
      <c r="E36" s="88"/>
      <c r="F36" s="85"/>
      <c r="G36" s="88"/>
      <c r="H36" s="88"/>
      <c r="I36" s="88"/>
      <c r="J36" s="88"/>
      <c r="K36" s="80"/>
      <c r="L36" s="81"/>
      <c r="M36" s="81"/>
      <c r="N36" s="81"/>
      <c r="O36" s="81"/>
      <c r="P36" s="81"/>
      <c r="Q36" s="81"/>
      <c r="R36" s="83"/>
      <c r="S36" s="84">
        <f t="shared" si="0"/>
        <v>0</v>
      </c>
      <c r="T36" s="84">
        <f t="shared" si="0"/>
        <v>0</v>
      </c>
    </row>
    <row r="37" spans="1:24" hidden="1" x14ac:dyDescent="0.25">
      <c r="A37" s="59"/>
      <c r="B37" s="78"/>
      <c r="C37" s="88"/>
      <c r="D37" s="88"/>
      <c r="E37" s="88"/>
      <c r="F37" s="88"/>
      <c r="G37" s="88"/>
      <c r="H37" s="88"/>
      <c r="I37" s="88"/>
      <c r="J37" s="88"/>
      <c r="K37" s="80"/>
      <c r="L37" s="81"/>
      <c r="M37" s="81"/>
      <c r="N37" s="81"/>
      <c r="O37" s="81"/>
      <c r="P37" s="81"/>
      <c r="Q37" s="81"/>
      <c r="R37" s="81"/>
      <c r="S37" s="84">
        <f t="shared" si="0"/>
        <v>0</v>
      </c>
      <c r="T37" s="84">
        <f t="shared" si="0"/>
        <v>0</v>
      </c>
    </row>
    <row r="38" spans="1:24" hidden="1" x14ac:dyDescent="0.25">
      <c r="A38" s="59"/>
      <c r="B38" s="78"/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1"/>
      <c r="N38" s="81"/>
      <c r="O38" s="81"/>
      <c r="P38" s="81"/>
      <c r="Q38" s="81"/>
      <c r="R38" s="81"/>
      <c r="S38" s="84">
        <f t="shared" si="0"/>
        <v>0</v>
      </c>
      <c r="T38" s="84">
        <f t="shared" si="0"/>
        <v>0</v>
      </c>
    </row>
    <row r="39" spans="1:24" x14ac:dyDescent="0.25">
      <c r="A39" s="124" t="s">
        <v>111</v>
      </c>
      <c r="B39" s="125"/>
      <c r="C39" s="89">
        <f>SUM(C8:C38)</f>
        <v>250000</v>
      </c>
      <c r="D39" s="89">
        <f t="shared" ref="D39:R39" si="11">SUM(D8:D38)</f>
        <v>157185</v>
      </c>
      <c r="E39" s="89">
        <f t="shared" si="11"/>
        <v>35000</v>
      </c>
      <c r="F39" s="89">
        <f t="shared" si="11"/>
        <v>24000</v>
      </c>
      <c r="G39" s="89">
        <f t="shared" si="11"/>
        <v>155000</v>
      </c>
      <c r="H39" s="89">
        <f t="shared" si="11"/>
        <v>123165</v>
      </c>
      <c r="I39" s="89">
        <f t="shared" si="11"/>
        <v>47000</v>
      </c>
      <c r="J39" s="89">
        <f t="shared" si="11"/>
        <v>51000</v>
      </c>
      <c r="K39" s="89">
        <f t="shared" si="11"/>
        <v>0</v>
      </c>
      <c r="L39" s="89">
        <f t="shared" si="11"/>
        <v>0</v>
      </c>
      <c r="M39" s="89">
        <f t="shared" si="11"/>
        <v>0</v>
      </c>
      <c r="N39" s="89">
        <f t="shared" si="11"/>
        <v>0</v>
      </c>
      <c r="O39" s="89">
        <f t="shared" si="11"/>
        <v>92500</v>
      </c>
      <c r="P39" s="89">
        <f>SUM(P8:P38)</f>
        <v>93100</v>
      </c>
      <c r="Q39" s="89">
        <f t="shared" si="11"/>
        <v>0</v>
      </c>
      <c r="R39" s="89">
        <f t="shared" si="11"/>
        <v>0</v>
      </c>
      <c r="S39" s="90">
        <f>SUM(S8:S38)</f>
        <v>82.55</v>
      </c>
      <c r="T39" s="89">
        <f t="shared" ref="T39" si="12">SUM(T8:T37)</f>
        <v>67.344999999999999</v>
      </c>
    </row>
    <row r="40" spans="1:24" x14ac:dyDescent="0.25">
      <c r="A40" s="124" t="s">
        <v>112</v>
      </c>
      <c r="B40" s="125"/>
      <c r="C40" s="91">
        <f>C39*0.1/1000</f>
        <v>25</v>
      </c>
      <c r="D40" s="91">
        <f t="shared" ref="D40" si="13">D39*0.1/1000</f>
        <v>15.718500000000001</v>
      </c>
      <c r="E40" s="91">
        <f t="shared" ref="E40:J40" si="14">E39*0.4/1000</f>
        <v>14</v>
      </c>
      <c r="F40" s="91">
        <f t="shared" si="14"/>
        <v>9.6</v>
      </c>
      <c r="G40" s="91">
        <f>G39*0.1/1000</f>
        <v>15.5</v>
      </c>
      <c r="H40" s="91">
        <f>H39*0.1/1000</f>
        <v>12.3165</v>
      </c>
      <c r="I40" s="91">
        <f t="shared" si="14"/>
        <v>18.8</v>
      </c>
      <c r="J40" s="91">
        <f t="shared" si="14"/>
        <v>20.399999999999999</v>
      </c>
      <c r="K40" s="91">
        <f>K39*0.1/1000</f>
        <v>0</v>
      </c>
      <c r="L40" s="91">
        <f>L39*0.1/1000</f>
        <v>0</v>
      </c>
      <c r="M40" s="91">
        <f>M39*0.4/1000</f>
        <v>0</v>
      </c>
      <c r="N40" s="91">
        <f>N39*0.4/1000</f>
        <v>0</v>
      </c>
      <c r="O40" s="91">
        <f>O39*0.1/1000</f>
        <v>9.25</v>
      </c>
      <c r="P40" s="91">
        <f t="shared" ref="P40" si="15">P39*0.1/1000</f>
        <v>9.31</v>
      </c>
      <c r="Q40" s="91">
        <f>Q39*0.4/1000</f>
        <v>0</v>
      </c>
      <c r="R40" s="91">
        <f>R39*0.4/1000</f>
        <v>0</v>
      </c>
      <c r="S40" s="91"/>
      <c r="T40" s="91"/>
    </row>
    <row r="41" spans="1:24" x14ac:dyDescent="0.25">
      <c r="C41" s="51">
        <v>250000</v>
      </c>
      <c r="E41" s="51">
        <v>35000</v>
      </c>
      <c r="G41" s="51">
        <v>150000</v>
      </c>
      <c r="I41" s="51">
        <v>47000</v>
      </c>
      <c r="O41" s="51">
        <v>92500</v>
      </c>
    </row>
    <row r="42" spans="1:24" x14ac:dyDescent="0.25">
      <c r="A42" s="52"/>
    </row>
    <row r="43" spans="1:24" x14ac:dyDescent="0.25">
      <c r="A43" s="52"/>
    </row>
    <row r="45" spans="1:24" x14ac:dyDescent="0.25">
      <c r="O45" s="52"/>
      <c r="P45" s="52"/>
      <c r="Q45" s="52"/>
      <c r="R45" s="52"/>
    </row>
  </sheetData>
  <mergeCells count="6">
    <mergeCell ref="A40:B40"/>
    <mergeCell ref="C3:R3"/>
    <mergeCell ref="C4:J4"/>
    <mergeCell ref="K4:R4"/>
    <mergeCell ref="S6:T6"/>
    <mergeCell ref="A39:B39"/>
  </mergeCells>
  <conditionalFormatting sqref="F5 H5:N5">
    <cfRule type="cellIs" dxfId="43" priority="1" stopIfTrue="1" operator="greaterThan">
      <formula>0</formula>
    </cfRule>
    <cfRule type="cellIs" dxfId="42" priority="2" stopIfTrue="1" operator="lessThanOrEqual">
      <formula>0</formula>
    </cfRule>
  </conditionalFormatting>
  <conditionalFormatting sqref="T5">
    <cfRule type="cellIs" dxfId="41" priority="13" stopIfTrue="1" operator="greaterThan">
      <formula>0</formula>
    </cfRule>
    <cfRule type="cellIs" dxfId="40" priority="14" stopIfTrue="1" operator="lessThanOrEqual">
      <formula>0</formula>
    </cfRule>
  </conditionalFormatting>
  <conditionalFormatting sqref="O5">
    <cfRule type="cellIs" dxfId="39" priority="12" operator="lessThan">
      <formula>0</formula>
    </cfRule>
  </conditionalFormatting>
  <conditionalFormatting sqref="D5:E5">
    <cfRule type="cellIs" dxfId="38" priority="10" stopIfTrue="1" operator="greaterThan">
      <formula>0</formula>
    </cfRule>
    <cfRule type="cellIs" dxfId="37" priority="11" stopIfTrue="1" operator="lessThanOrEqual">
      <formula>0</formula>
    </cfRule>
  </conditionalFormatting>
  <conditionalFormatting sqref="G5">
    <cfRule type="cellIs" dxfId="36" priority="9" operator="lessThan">
      <formula>0</formula>
    </cfRule>
  </conditionalFormatting>
  <conditionalFormatting sqref="Q5">
    <cfRule type="cellIs" dxfId="35" priority="8" operator="lessThan">
      <formula>0</formula>
    </cfRule>
  </conditionalFormatting>
  <conditionalFormatting sqref="C5">
    <cfRule type="cellIs" dxfId="34" priority="7" operator="lessThan">
      <formula>0</formula>
    </cfRule>
  </conditionalFormatting>
  <conditionalFormatting sqref="P5">
    <cfRule type="cellIs" dxfId="33" priority="5" stopIfTrue="1" operator="greaterThan">
      <formula>0</formula>
    </cfRule>
    <cfRule type="cellIs" dxfId="32" priority="6" stopIfTrue="1" operator="lessThanOrEqual">
      <formula>0</formula>
    </cfRule>
  </conditionalFormatting>
  <conditionalFormatting sqref="R5">
    <cfRule type="cellIs" dxfId="31" priority="3" stopIfTrue="1" operator="greaterThan">
      <formula>0</formula>
    </cfRule>
    <cfRule type="cellIs" dxfId="30" priority="4" stopIfTrue="1" operator="lessThanOrEqual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topLeftCell="A10" workbookViewId="0">
      <selection activeCell="X33" sqref="X33"/>
    </sheetView>
  </sheetViews>
  <sheetFormatPr defaultRowHeight="15" x14ac:dyDescent="0.25"/>
  <cols>
    <col min="1" max="1" width="12" style="51" customWidth="1"/>
    <col min="2" max="2" width="10.7109375" style="51" customWidth="1"/>
    <col min="3" max="3" width="9.42578125" style="51" customWidth="1"/>
    <col min="4" max="6" width="9" style="51" customWidth="1"/>
    <col min="7" max="7" width="9.42578125" style="51" customWidth="1"/>
    <col min="8" max="10" width="9" style="51" customWidth="1"/>
    <col min="11" max="14" width="9" style="51" hidden="1" customWidth="1"/>
    <col min="15" max="18" width="9.140625" style="51" customWidth="1"/>
    <col min="19" max="16384" width="9.140625" style="51"/>
  </cols>
  <sheetData>
    <row r="1" spans="1:24" x14ac:dyDescent="0.25">
      <c r="P1" s="52" t="s">
        <v>81</v>
      </c>
    </row>
    <row r="2" spans="1:24" ht="15.75" thickBot="1" x14ac:dyDescent="0.3">
      <c r="A2" s="53" t="s">
        <v>82</v>
      </c>
      <c r="C2" s="54" t="s">
        <v>83</v>
      </c>
      <c r="G2" s="54"/>
    </row>
    <row r="3" spans="1:24" ht="15.75" thickBot="1" x14ac:dyDescent="0.3">
      <c r="A3" s="55" t="s">
        <v>84</v>
      </c>
      <c r="B3" s="56"/>
      <c r="C3" s="126" t="s">
        <v>85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</row>
    <row r="4" spans="1:24" ht="15.75" thickBot="1" x14ac:dyDescent="0.3">
      <c r="A4" s="57"/>
      <c r="B4" s="58"/>
      <c r="C4" s="129" t="s">
        <v>86</v>
      </c>
      <c r="D4" s="130"/>
      <c r="E4" s="130"/>
      <c r="F4" s="130"/>
      <c r="G4" s="130"/>
      <c r="H4" s="130"/>
      <c r="I4" s="130"/>
      <c r="J4" s="131"/>
      <c r="K4" s="132" t="s">
        <v>87</v>
      </c>
      <c r="L4" s="130"/>
      <c r="M4" s="130"/>
      <c r="N4" s="130"/>
      <c r="O4" s="130"/>
      <c r="P4" s="130"/>
      <c r="Q4" s="130"/>
      <c r="R4" s="133"/>
    </row>
    <row r="5" spans="1:24" x14ac:dyDescent="0.25">
      <c r="A5" s="59"/>
      <c r="B5" s="60" t="s">
        <v>88</v>
      </c>
      <c r="C5" s="61"/>
      <c r="D5" s="62">
        <f>C39-D39</f>
        <v>92815</v>
      </c>
      <c r="E5" s="62"/>
      <c r="F5" s="62">
        <f>E39-F39</f>
        <v>11000</v>
      </c>
      <c r="G5" s="61"/>
      <c r="H5" s="62">
        <f>G39-H39</f>
        <v>54830</v>
      </c>
      <c r="I5" s="62"/>
      <c r="J5" s="62">
        <f>I39-J39</f>
        <v>848</v>
      </c>
      <c r="K5" s="62"/>
      <c r="L5" s="62"/>
      <c r="M5" s="62"/>
      <c r="N5" s="62"/>
      <c r="O5" s="61"/>
      <c r="P5" s="62">
        <f>O39-P39</f>
        <v>22150</v>
      </c>
      <c r="Q5" s="61"/>
      <c r="R5" s="62">
        <f>Q39-R39</f>
        <v>0</v>
      </c>
      <c r="S5" s="63"/>
      <c r="T5" s="64"/>
    </row>
    <row r="6" spans="1:24" x14ac:dyDescent="0.25">
      <c r="A6" s="57"/>
      <c r="B6" s="65"/>
      <c r="C6" s="66" t="s">
        <v>89</v>
      </c>
      <c r="D6" s="67" t="s">
        <v>90</v>
      </c>
      <c r="E6" s="66" t="s">
        <v>89</v>
      </c>
      <c r="F6" s="67" t="s">
        <v>90</v>
      </c>
      <c r="G6" s="66" t="s">
        <v>89</v>
      </c>
      <c r="H6" s="67" t="s">
        <v>90</v>
      </c>
      <c r="I6" s="66" t="s">
        <v>89</v>
      </c>
      <c r="J6" s="67" t="s">
        <v>90</v>
      </c>
      <c r="K6" s="66" t="s">
        <v>89</v>
      </c>
      <c r="L6" s="67" t="s">
        <v>90</v>
      </c>
      <c r="M6" s="66" t="s">
        <v>89</v>
      </c>
      <c r="N6" s="67" t="s">
        <v>90</v>
      </c>
      <c r="O6" s="68" t="s">
        <v>89</v>
      </c>
      <c r="P6" s="69" t="s">
        <v>90</v>
      </c>
      <c r="Q6" s="68" t="s">
        <v>89</v>
      </c>
      <c r="R6" s="69" t="s">
        <v>90</v>
      </c>
      <c r="S6" s="134"/>
      <c r="T6" s="134"/>
    </row>
    <row r="7" spans="1:24" s="76" customFormat="1" ht="45" x14ac:dyDescent="0.25">
      <c r="A7" s="70" t="s">
        <v>91</v>
      </c>
      <c r="B7" s="71" t="s">
        <v>92</v>
      </c>
      <c r="C7" s="72" t="s">
        <v>93</v>
      </c>
      <c r="D7" s="73" t="str">
        <f>C7</f>
        <v>Floral Bouquet 100 GM</v>
      </c>
      <c r="E7" s="72" t="s">
        <v>94</v>
      </c>
      <c r="F7" s="73" t="str">
        <f>E7</f>
        <v>Floral Bouquet 400 GM</v>
      </c>
      <c r="G7" s="74" t="s">
        <v>95</v>
      </c>
      <c r="H7" s="75" t="str">
        <f>G7</f>
        <v>Cooling Breeze 100 GM</v>
      </c>
      <c r="I7" s="74" t="s">
        <v>96</v>
      </c>
      <c r="J7" s="75" t="str">
        <f>I7</f>
        <v>Cooling Breeze 400 GM</v>
      </c>
      <c r="K7" s="72" t="s">
        <v>97</v>
      </c>
      <c r="L7" s="73" t="str">
        <f>K7</f>
        <v>Floral Bouquet 100 GM - Export</v>
      </c>
      <c r="M7" s="72" t="s">
        <v>98</v>
      </c>
      <c r="N7" s="73" t="str">
        <f>M7</f>
        <v>Floral Bouquet 400 GM - Export</v>
      </c>
      <c r="O7" s="74" t="s">
        <v>99</v>
      </c>
      <c r="P7" s="75" t="str">
        <f>O7</f>
        <v>Cooling Breeze 100 GM Export</v>
      </c>
      <c r="Q7" s="74" t="s">
        <v>100</v>
      </c>
      <c r="R7" s="75" t="str">
        <f>Q7</f>
        <v>Cooling Breeze 400 GM Export</v>
      </c>
      <c r="S7" s="71" t="s">
        <v>101</v>
      </c>
      <c r="T7" s="71" t="s">
        <v>102</v>
      </c>
      <c r="U7" s="76" t="s">
        <v>132</v>
      </c>
      <c r="V7" s="76" t="s">
        <v>133</v>
      </c>
      <c r="W7" s="76" t="s">
        <v>134</v>
      </c>
      <c r="X7" s="76" t="s">
        <v>135</v>
      </c>
    </row>
    <row r="8" spans="1:24" x14ac:dyDescent="0.25">
      <c r="A8" s="77">
        <v>42767</v>
      </c>
      <c r="B8" s="78" t="s">
        <v>103</v>
      </c>
      <c r="C8" s="79"/>
      <c r="D8" s="79"/>
      <c r="E8" s="79"/>
      <c r="F8" s="79"/>
      <c r="G8" s="79"/>
      <c r="H8" s="79"/>
      <c r="I8" s="79"/>
      <c r="J8" s="79"/>
      <c r="K8" s="80"/>
      <c r="L8" s="80"/>
      <c r="M8" s="80"/>
      <c r="N8" s="80"/>
      <c r="O8" s="81"/>
      <c r="P8" s="82"/>
      <c r="Q8" s="81"/>
      <c r="R8" s="83"/>
      <c r="S8" s="84">
        <f t="shared" ref="S8:T38" si="0">((C8*0.1)+(E8*0.4)+(G8*0.1)+(I8*0.4)+(K8*0.1)+(M8*0.4)+(O8*0.1)+(Q8*0.4))/1000</f>
        <v>0</v>
      </c>
      <c r="T8" s="84">
        <f t="shared" si="0"/>
        <v>0</v>
      </c>
    </row>
    <row r="9" spans="1:24" x14ac:dyDescent="0.25">
      <c r="A9" s="59">
        <f t="shared" ref="A9:A14" si="1">A8+1</f>
        <v>42768</v>
      </c>
      <c r="B9" s="78" t="s">
        <v>104</v>
      </c>
      <c r="C9" s="79"/>
      <c r="D9" s="79"/>
      <c r="E9" s="79"/>
      <c r="F9" s="79"/>
      <c r="G9" s="79"/>
      <c r="H9" s="85">
        <v>5950</v>
      </c>
      <c r="I9" s="79"/>
      <c r="J9" s="79"/>
      <c r="K9" s="80"/>
      <c r="L9" s="80"/>
      <c r="M9" s="80"/>
      <c r="N9" s="80"/>
      <c r="O9" s="81"/>
      <c r="P9" s="81"/>
      <c r="Q9" s="81"/>
      <c r="R9" s="81"/>
      <c r="S9" s="84">
        <f t="shared" si="0"/>
        <v>0</v>
      </c>
      <c r="T9" s="84">
        <f t="shared" si="0"/>
        <v>0.59499999999999997</v>
      </c>
      <c r="U9" s="51">
        <f>H9*100/1000/1000</f>
        <v>0.59499999999999997</v>
      </c>
      <c r="V9" s="51">
        <f>J9*400/1000/1000</f>
        <v>0</v>
      </c>
    </row>
    <row r="10" spans="1:24" x14ac:dyDescent="0.25">
      <c r="A10" s="77">
        <f t="shared" si="1"/>
        <v>42769</v>
      </c>
      <c r="B10" s="78" t="s">
        <v>105</v>
      </c>
      <c r="C10" s="79"/>
      <c r="D10" s="79"/>
      <c r="E10" s="79"/>
      <c r="F10" s="79"/>
      <c r="G10" s="79">
        <v>10000</v>
      </c>
      <c r="H10" s="85">
        <v>24395</v>
      </c>
      <c r="I10" s="79">
        <v>7000</v>
      </c>
      <c r="J10" s="85">
        <v>6000</v>
      </c>
      <c r="K10" s="80"/>
      <c r="L10" s="80"/>
      <c r="M10" s="80"/>
      <c r="N10" s="80"/>
      <c r="O10" s="81"/>
      <c r="P10" s="82"/>
      <c r="Q10" s="81"/>
      <c r="R10" s="83"/>
      <c r="S10" s="84">
        <f t="shared" si="0"/>
        <v>3.8</v>
      </c>
      <c r="T10" s="84">
        <f t="shared" si="0"/>
        <v>4.8395000000000001</v>
      </c>
      <c r="U10" s="51">
        <f t="shared" ref="U10:U14" si="2">H10*100/1000/1000</f>
        <v>2.4394999999999998</v>
      </c>
      <c r="V10" s="51">
        <f t="shared" ref="V10:V14" si="3">J10*400/1000/1000</f>
        <v>2.4</v>
      </c>
    </row>
    <row r="11" spans="1:24" x14ac:dyDescent="0.25">
      <c r="A11" s="59">
        <f t="shared" si="1"/>
        <v>42770</v>
      </c>
      <c r="B11" s="78" t="s">
        <v>106</v>
      </c>
      <c r="C11" s="79"/>
      <c r="D11" s="79"/>
      <c r="E11" s="79"/>
      <c r="F11" s="79"/>
      <c r="G11" s="79">
        <v>15000</v>
      </c>
      <c r="H11" s="85">
        <v>26670</v>
      </c>
      <c r="I11" s="79">
        <v>10000</v>
      </c>
      <c r="J11" s="85">
        <v>11448</v>
      </c>
      <c r="K11" s="80"/>
      <c r="L11" s="80"/>
      <c r="M11" s="80"/>
      <c r="N11" s="86"/>
      <c r="O11" s="86"/>
      <c r="P11" s="86"/>
      <c r="Q11" s="86"/>
      <c r="R11" s="86"/>
      <c r="S11" s="87">
        <f t="shared" si="0"/>
        <v>5.5</v>
      </c>
      <c r="T11" s="87">
        <f t="shared" si="0"/>
        <v>7.2462</v>
      </c>
      <c r="U11" s="51">
        <f t="shared" si="2"/>
        <v>2.6669999999999998</v>
      </c>
      <c r="V11" s="51">
        <f t="shared" si="3"/>
        <v>4.5792000000000002</v>
      </c>
    </row>
    <row r="12" spans="1:24" x14ac:dyDescent="0.25">
      <c r="A12" s="59">
        <f>A11+1</f>
        <v>42771</v>
      </c>
      <c r="B12" s="78" t="s">
        <v>107</v>
      </c>
      <c r="C12" s="79"/>
      <c r="D12" s="79"/>
      <c r="E12" s="79"/>
      <c r="F12" s="79"/>
      <c r="G12" s="79">
        <v>25000</v>
      </c>
      <c r="H12" s="85">
        <v>26775</v>
      </c>
      <c r="I12" s="79">
        <v>10000</v>
      </c>
      <c r="J12" s="85">
        <v>10656</v>
      </c>
      <c r="K12" s="80"/>
      <c r="L12" s="80"/>
      <c r="M12" s="80"/>
      <c r="N12" s="86"/>
      <c r="O12" s="81"/>
      <c r="P12" s="83"/>
      <c r="Q12" s="81"/>
      <c r="R12" s="83"/>
      <c r="S12" s="84">
        <f t="shared" si="0"/>
        <v>6.5</v>
      </c>
      <c r="T12" s="84">
        <f t="shared" si="0"/>
        <v>6.9399000000000006</v>
      </c>
      <c r="U12" s="51">
        <f t="shared" si="2"/>
        <v>2.6775000000000002</v>
      </c>
      <c r="V12" s="51">
        <f t="shared" si="3"/>
        <v>4.2623999999999995</v>
      </c>
    </row>
    <row r="13" spans="1:24" x14ac:dyDescent="0.25">
      <c r="A13" s="77">
        <f t="shared" si="1"/>
        <v>42772</v>
      </c>
      <c r="B13" s="78" t="s">
        <v>108</v>
      </c>
      <c r="C13" s="79"/>
      <c r="D13" s="79"/>
      <c r="E13" s="79"/>
      <c r="F13" s="79"/>
      <c r="G13" s="79">
        <v>25000</v>
      </c>
      <c r="H13" s="85">
        <v>9800</v>
      </c>
      <c r="I13" s="79">
        <v>10000</v>
      </c>
      <c r="J13" s="85">
        <v>8880</v>
      </c>
      <c r="K13" s="80"/>
      <c r="L13" s="80"/>
      <c r="M13" s="80"/>
      <c r="N13" s="86"/>
      <c r="O13" s="83"/>
      <c r="P13" s="83"/>
      <c r="Q13" s="83"/>
      <c r="R13" s="83"/>
      <c r="S13" s="84">
        <f t="shared" si="0"/>
        <v>6.5</v>
      </c>
      <c r="T13" s="84">
        <f t="shared" si="0"/>
        <v>4.532</v>
      </c>
      <c r="U13" s="51">
        <f t="shared" si="2"/>
        <v>0.98</v>
      </c>
      <c r="V13" s="51">
        <f t="shared" si="3"/>
        <v>3.552</v>
      </c>
    </row>
    <row r="14" spans="1:24" x14ac:dyDescent="0.25">
      <c r="A14" s="59">
        <f t="shared" si="1"/>
        <v>42773</v>
      </c>
      <c r="B14" s="78" t="s">
        <v>110</v>
      </c>
      <c r="C14" s="79"/>
      <c r="D14" s="79"/>
      <c r="E14" s="79"/>
      <c r="F14" s="79"/>
      <c r="G14" s="79">
        <v>25000</v>
      </c>
      <c r="H14" s="85">
        <v>6580</v>
      </c>
      <c r="I14" s="79">
        <v>10000</v>
      </c>
      <c r="J14" s="85">
        <v>9168</v>
      </c>
      <c r="K14" s="80"/>
      <c r="L14" s="80"/>
      <c r="M14" s="80"/>
      <c r="N14" s="86"/>
      <c r="O14" s="83"/>
      <c r="P14" s="83"/>
      <c r="Q14" s="83"/>
      <c r="R14" s="83"/>
      <c r="S14" s="84">
        <f t="shared" si="0"/>
        <v>6.5</v>
      </c>
      <c r="T14" s="84">
        <f t="shared" si="0"/>
        <v>4.3252000000000006</v>
      </c>
      <c r="U14" s="51">
        <f t="shared" si="2"/>
        <v>0.65800000000000003</v>
      </c>
      <c r="V14" s="51">
        <f t="shared" si="3"/>
        <v>3.6671999999999998</v>
      </c>
    </row>
    <row r="15" spans="1:24" x14ac:dyDescent="0.25">
      <c r="A15" s="77">
        <f>A14+1</f>
        <v>42774</v>
      </c>
      <c r="B15" s="78" t="s">
        <v>103</v>
      </c>
      <c r="C15" s="79">
        <v>5000</v>
      </c>
      <c r="D15" s="85">
        <v>12950</v>
      </c>
      <c r="E15" s="79">
        <v>5000</v>
      </c>
      <c r="F15" s="85">
        <v>3840</v>
      </c>
      <c r="G15" s="79"/>
      <c r="H15" s="79"/>
      <c r="I15" s="79"/>
      <c r="J15" s="79"/>
      <c r="K15" s="80"/>
      <c r="L15" s="80"/>
      <c r="M15" s="80"/>
      <c r="N15" s="80"/>
      <c r="O15" s="80"/>
      <c r="P15" s="80"/>
      <c r="Q15" s="80"/>
      <c r="R15" s="80"/>
      <c r="S15" s="84">
        <f t="shared" si="0"/>
        <v>2.5</v>
      </c>
      <c r="T15" s="84">
        <f t="shared" si="0"/>
        <v>2.831</v>
      </c>
      <c r="W15" s="51">
        <f>D15*100/1000/1000</f>
        <v>1.2949999999999999</v>
      </c>
      <c r="X15" s="51">
        <f>F15*400/1000/1000</f>
        <v>1.536</v>
      </c>
    </row>
    <row r="16" spans="1:24" x14ac:dyDescent="0.25">
      <c r="A16" s="59">
        <f t="shared" ref="A16:A21" si="4">A15+1</f>
        <v>42775</v>
      </c>
      <c r="B16" s="78" t="s">
        <v>104</v>
      </c>
      <c r="C16" s="79">
        <v>25000</v>
      </c>
      <c r="D16" s="85">
        <v>27825</v>
      </c>
      <c r="E16" s="79">
        <v>10000</v>
      </c>
      <c r="F16" s="85">
        <v>8400</v>
      </c>
      <c r="G16" s="79"/>
      <c r="H16" s="79"/>
      <c r="I16" s="79"/>
      <c r="J16" s="79"/>
      <c r="K16" s="80"/>
      <c r="L16" s="80"/>
      <c r="M16" s="80"/>
      <c r="N16" s="80"/>
      <c r="O16" s="80"/>
      <c r="P16" s="80"/>
      <c r="Q16" s="80"/>
      <c r="R16" s="80"/>
      <c r="S16" s="84">
        <f t="shared" si="0"/>
        <v>6.5</v>
      </c>
      <c r="T16" s="84">
        <f t="shared" si="0"/>
        <v>6.1425000000000001</v>
      </c>
      <c r="W16" s="51">
        <f t="shared" ref="W16:W20" si="5">D16*100/1000/1000</f>
        <v>2.7825000000000002</v>
      </c>
      <c r="X16" s="51">
        <f t="shared" ref="X16:X20" si="6">F16*400/1000/1000</f>
        <v>3.36</v>
      </c>
    </row>
    <row r="17" spans="1:24" x14ac:dyDescent="0.25">
      <c r="A17" s="77">
        <f>A16+1</f>
        <v>42776</v>
      </c>
      <c r="B17" s="78" t="s">
        <v>105</v>
      </c>
      <c r="C17" s="79">
        <v>25000</v>
      </c>
      <c r="D17" s="85">
        <v>28700</v>
      </c>
      <c r="E17" s="79">
        <v>10000</v>
      </c>
      <c r="F17" s="85">
        <v>9360</v>
      </c>
      <c r="G17" s="79"/>
      <c r="H17" s="79"/>
      <c r="I17" s="79"/>
      <c r="J17" s="79"/>
      <c r="K17" s="80"/>
      <c r="L17" s="80"/>
      <c r="M17" s="86"/>
      <c r="N17" s="86"/>
      <c r="O17" s="81"/>
      <c r="P17" s="81"/>
      <c r="Q17" s="81"/>
      <c r="R17" s="81"/>
      <c r="S17" s="84">
        <f t="shared" si="0"/>
        <v>6.5</v>
      </c>
      <c r="T17" s="84">
        <f t="shared" si="0"/>
        <v>6.6139999999999999</v>
      </c>
      <c r="W17" s="51">
        <f t="shared" si="5"/>
        <v>2.87</v>
      </c>
      <c r="X17" s="51">
        <f t="shared" si="6"/>
        <v>3.7440000000000002</v>
      </c>
    </row>
    <row r="18" spans="1:24" x14ac:dyDescent="0.25">
      <c r="A18" s="59">
        <f t="shared" si="4"/>
        <v>42777</v>
      </c>
      <c r="B18" s="78" t="s">
        <v>106</v>
      </c>
      <c r="C18" s="79">
        <v>45000</v>
      </c>
      <c r="D18" s="85">
        <v>39375</v>
      </c>
      <c r="E18" s="79">
        <v>10000</v>
      </c>
      <c r="F18" s="85">
        <v>2400</v>
      </c>
      <c r="G18" s="79"/>
      <c r="H18" s="79"/>
      <c r="I18" s="79"/>
      <c r="J18" s="79"/>
      <c r="K18" s="80"/>
      <c r="L18" s="80"/>
      <c r="M18" s="81"/>
      <c r="N18" s="86"/>
      <c r="O18" s="80"/>
      <c r="P18" s="80"/>
      <c r="Q18" s="80"/>
      <c r="R18" s="80"/>
      <c r="S18" s="84">
        <f t="shared" si="0"/>
        <v>8.5</v>
      </c>
      <c r="T18" s="87">
        <f t="shared" si="0"/>
        <v>4.8975</v>
      </c>
      <c r="W18" s="51">
        <f t="shared" si="5"/>
        <v>3.9375</v>
      </c>
      <c r="X18" s="51">
        <f t="shared" si="6"/>
        <v>0.96</v>
      </c>
    </row>
    <row r="19" spans="1:24" x14ac:dyDescent="0.25">
      <c r="A19" s="59">
        <f t="shared" si="4"/>
        <v>42778</v>
      </c>
      <c r="B19" s="78" t="s">
        <v>107</v>
      </c>
      <c r="C19" s="79">
        <v>45000</v>
      </c>
      <c r="D19" s="85">
        <v>48335</v>
      </c>
      <c r="E19" s="79"/>
      <c r="F19" s="85"/>
      <c r="G19" s="79"/>
      <c r="H19" s="79"/>
      <c r="I19" s="79"/>
      <c r="J19" s="79"/>
      <c r="K19" s="80"/>
      <c r="L19" s="80"/>
      <c r="M19" s="86"/>
      <c r="N19" s="86"/>
      <c r="O19" s="81"/>
      <c r="P19" s="81"/>
      <c r="Q19" s="81"/>
      <c r="R19" s="81"/>
      <c r="S19" s="84">
        <f t="shared" si="0"/>
        <v>4.5</v>
      </c>
      <c r="T19" s="84">
        <f t="shared" si="0"/>
        <v>4.8334999999999999</v>
      </c>
      <c r="W19" s="51">
        <f t="shared" si="5"/>
        <v>4.8334999999999999</v>
      </c>
      <c r="X19" s="51">
        <f t="shared" si="6"/>
        <v>0</v>
      </c>
    </row>
    <row r="20" spans="1:24" x14ac:dyDescent="0.25">
      <c r="A20" s="77">
        <f t="shared" si="4"/>
        <v>42779</v>
      </c>
      <c r="B20" s="78" t="s">
        <v>108</v>
      </c>
      <c r="C20" s="79">
        <v>5000</v>
      </c>
      <c r="D20" s="79"/>
      <c r="E20" s="79"/>
      <c r="F20" s="85"/>
      <c r="G20" s="79"/>
      <c r="H20" s="79"/>
      <c r="I20" s="79"/>
      <c r="J20" s="79"/>
      <c r="K20" s="80"/>
      <c r="L20" s="80"/>
      <c r="M20" s="86"/>
      <c r="N20" s="86"/>
      <c r="O20" s="81"/>
      <c r="P20" s="81"/>
      <c r="Q20" s="81"/>
      <c r="R20" s="81"/>
      <c r="S20" s="84">
        <f t="shared" si="0"/>
        <v>0.5</v>
      </c>
      <c r="T20" s="84">
        <f t="shared" si="0"/>
        <v>0</v>
      </c>
      <c r="W20" s="51">
        <f t="shared" si="5"/>
        <v>0</v>
      </c>
      <c r="X20" s="51">
        <f t="shared" si="6"/>
        <v>0</v>
      </c>
    </row>
    <row r="21" spans="1:24" x14ac:dyDescent="0.25">
      <c r="A21" s="59">
        <f t="shared" si="4"/>
        <v>42780</v>
      </c>
      <c r="B21" s="78" t="s">
        <v>110</v>
      </c>
      <c r="C21" s="79"/>
      <c r="D21" s="85"/>
      <c r="E21" s="79"/>
      <c r="F21" s="85"/>
      <c r="G21" s="79"/>
      <c r="H21" s="79"/>
      <c r="I21" s="79"/>
      <c r="J21" s="79"/>
      <c r="K21" s="80"/>
      <c r="L21" s="80"/>
      <c r="M21" s="86"/>
      <c r="N21" s="86"/>
      <c r="O21" s="81"/>
      <c r="P21" s="86"/>
      <c r="Q21" s="81"/>
      <c r="R21" s="83"/>
      <c r="S21" s="84">
        <f t="shared" si="0"/>
        <v>0</v>
      </c>
      <c r="T21" s="84">
        <f t="shared" si="0"/>
        <v>0</v>
      </c>
    </row>
    <row r="22" spans="1:24" x14ac:dyDescent="0.25">
      <c r="A22" s="77">
        <f>A21+1</f>
        <v>42781</v>
      </c>
      <c r="B22" s="78" t="s">
        <v>103</v>
      </c>
      <c r="C22" s="88"/>
      <c r="D22" s="85"/>
      <c r="E22" s="85"/>
      <c r="F22" s="85"/>
      <c r="G22" s="88"/>
      <c r="H22" s="88"/>
      <c r="I22" s="88"/>
      <c r="J22" s="88"/>
      <c r="K22" s="80"/>
      <c r="L22" s="86"/>
      <c r="M22" s="81"/>
      <c r="N22" s="86"/>
      <c r="O22" s="81"/>
      <c r="P22" s="83"/>
      <c r="Q22" s="81"/>
      <c r="R22" s="83"/>
      <c r="S22" s="84">
        <f t="shared" si="0"/>
        <v>0</v>
      </c>
      <c r="T22" s="84">
        <f t="shared" si="0"/>
        <v>0</v>
      </c>
    </row>
    <row r="23" spans="1:24" x14ac:dyDescent="0.25">
      <c r="A23" s="59">
        <f t="shared" ref="A23:A28" si="7">A22+1</f>
        <v>42782</v>
      </c>
      <c r="B23" s="78" t="s">
        <v>104</v>
      </c>
      <c r="C23" s="88"/>
      <c r="D23" s="85"/>
      <c r="E23" s="85"/>
      <c r="F23" s="79"/>
      <c r="G23" s="88"/>
      <c r="H23" s="85"/>
      <c r="I23" s="88"/>
      <c r="J23" s="85"/>
      <c r="K23" s="80"/>
      <c r="L23" s="86"/>
      <c r="M23" s="86"/>
      <c r="N23" s="86"/>
      <c r="O23" s="81"/>
      <c r="P23" s="82"/>
      <c r="Q23" s="81"/>
      <c r="R23" s="83"/>
      <c r="S23" s="84">
        <f t="shared" si="0"/>
        <v>0</v>
      </c>
      <c r="T23" s="84">
        <f t="shared" si="0"/>
        <v>0</v>
      </c>
    </row>
    <row r="24" spans="1:24" x14ac:dyDescent="0.25">
      <c r="A24" s="77">
        <f t="shared" si="7"/>
        <v>42783</v>
      </c>
      <c r="B24" s="78" t="s">
        <v>105</v>
      </c>
      <c r="C24" s="88"/>
      <c r="D24" s="85"/>
      <c r="E24" s="88"/>
      <c r="F24" s="79"/>
      <c r="G24" s="88"/>
      <c r="H24" s="88"/>
      <c r="I24" s="88"/>
      <c r="J24" s="88"/>
      <c r="K24" s="80"/>
      <c r="L24" s="86"/>
      <c r="M24" s="80"/>
      <c r="N24" s="81"/>
      <c r="O24" s="81"/>
      <c r="P24" s="82"/>
      <c r="Q24" s="81"/>
      <c r="R24" s="83"/>
      <c r="S24" s="84">
        <f t="shared" si="0"/>
        <v>0</v>
      </c>
      <c r="T24" s="84">
        <f t="shared" si="0"/>
        <v>0</v>
      </c>
      <c r="V24" s="97"/>
      <c r="W24" s="97"/>
    </row>
    <row r="25" spans="1:24" x14ac:dyDescent="0.25">
      <c r="A25" s="59">
        <f t="shared" si="7"/>
        <v>42784</v>
      </c>
      <c r="B25" s="78" t="s">
        <v>106</v>
      </c>
      <c r="C25" s="88"/>
      <c r="D25" s="88"/>
      <c r="E25" s="88"/>
      <c r="F25" s="88"/>
      <c r="G25" s="88"/>
      <c r="H25" s="88"/>
      <c r="I25" s="88"/>
      <c r="J25" s="88"/>
      <c r="K25" s="80"/>
      <c r="L25" s="86"/>
      <c r="M25" s="80"/>
      <c r="N25" s="81"/>
      <c r="O25" s="81">
        <v>17500</v>
      </c>
      <c r="P25" s="86">
        <v>16345</v>
      </c>
      <c r="Q25" s="81"/>
      <c r="R25" s="81"/>
      <c r="S25" s="87">
        <f t="shared" si="0"/>
        <v>1.75</v>
      </c>
      <c r="T25" s="87">
        <f t="shared" si="0"/>
        <v>1.6345000000000001</v>
      </c>
      <c r="U25" s="51">
        <f>P25*100/1000/1000</f>
        <v>1.6345000000000001</v>
      </c>
      <c r="V25" s="97"/>
      <c r="W25" s="98"/>
    </row>
    <row r="26" spans="1:24" x14ac:dyDescent="0.25">
      <c r="A26" s="59">
        <f t="shared" si="7"/>
        <v>42785</v>
      </c>
      <c r="B26" s="78" t="s">
        <v>107</v>
      </c>
      <c r="C26" s="88"/>
      <c r="D26" s="88"/>
      <c r="E26" s="88"/>
      <c r="F26" s="88"/>
      <c r="G26" s="88"/>
      <c r="H26" s="88"/>
      <c r="I26" s="88"/>
      <c r="J26" s="88"/>
      <c r="K26" s="80"/>
      <c r="L26" s="86"/>
      <c r="M26" s="80"/>
      <c r="N26" s="81"/>
      <c r="O26" s="81">
        <v>25000</v>
      </c>
      <c r="P26" s="86">
        <v>26775</v>
      </c>
      <c r="Q26" s="81"/>
      <c r="R26" s="86"/>
      <c r="S26" s="87">
        <f t="shared" si="0"/>
        <v>2.5</v>
      </c>
      <c r="T26" s="87">
        <f t="shared" si="0"/>
        <v>2.6775000000000002</v>
      </c>
      <c r="U26" s="51">
        <f t="shared" ref="U26:U27" si="8">P26*100/1000/1000</f>
        <v>2.6775000000000002</v>
      </c>
      <c r="V26" s="97"/>
      <c r="W26" s="98"/>
    </row>
    <row r="27" spans="1:24" x14ac:dyDescent="0.25">
      <c r="A27" s="77">
        <f t="shared" si="7"/>
        <v>42786</v>
      </c>
      <c r="B27" s="78" t="s">
        <v>108</v>
      </c>
      <c r="C27" s="88"/>
      <c r="D27" s="88"/>
      <c r="E27" s="88"/>
      <c r="F27" s="88"/>
      <c r="G27" s="88"/>
      <c r="H27" s="88"/>
      <c r="I27" s="88"/>
      <c r="J27" s="88"/>
      <c r="K27" s="81"/>
      <c r="L27" s="86"/>
      <c r="M27" s="80"/>
      <c r="N27" s="81"/>
      <c r="O27" s="81">
        <v>25000</v>
      </c>
      <c r="P27" s="86">
        <v>27230</v>
      </c>
      <c r="Q27" s="81"/>
      <c r="R27" s="86"/>
      <c r="S27" s="87">
        <f t="shared" si="0"/>
        <v>2.5</v>
      </c>
      <c r="T27" s="87">
        <f t="shared" si="0"/>
        <v>2.7229999999999999</v>
      </c>
      <c r="U27" s="51">
        <f t="shared" si="8"/>
        <v>2.7229999999999999</v>
      </c>
      <c r="V27" s="97"/>
      <c r="W27" s="98"/>
    </row>
    <row r="28" spans="1:24" x14ac:dyDescent="0.25">
      <c r="A28" s="59">
        <f t="shared" si="7"/>
        <v>42787</v>
      </c>
      <c r="B28" s="78" t="s">
        <v>110</v>
      </c>
      <c r="C28" s="88"/>
      <c r="D28" s="88"/>
      <c r="E28" s="88"/>
      <c r="F28" s="88"/>
      <c r="G28" s="88"/>
      <c r="H28" s="88"/>
      <c r="I28" s="88"/>
      <c r="J28" s="88"/>
      <c r="K28" s="81"/>
      <c r="L28" s="86"/>
      <c r="M28" s="80"/>
      <c r="N28" s="81"/>
      <c r="O28" s="81">
        <v>25000</v>
      </c>
      <c r="P28" s="81"/>
      <c r="Q28" s="81"/>
      <c r="R28" s="86"/>
      <c r="S28" s="87">
        <f t="shared" si="0"/>
        <v>2.5</v>
      </c>
      <c r="T28" s="87">
        <f t="shared" si="0"/>
        <v>0</v>
      </c>
      <c r="V28" s="97"/>
      <c r="W28" s="97"/>
    </row>
    <row r="29" spans="1:24" x14ac:dyDescent="0.25">
      <c r="A29" s="77">
        <f>A28+1</f>
        <v>42788</v>
      </c>
      <c r="B29" s="78" t="s">
        <v>103</v>
      </c>
      <c r="C29" s="88"/>
      <c r="D29" s="88"/>
      <c r="E29" s="88"/>
      <c r="F29" s="88"/>
      <c r="G29" s="88">
        <v>25000</v>
      </c>
      <c r="H29" s="88"/>
      <c r="I29" s="88"/>
      <c r="J29" s="85"/>
      <c r="K29" s="80"/>
      <c r="L29" s="86"/>
      <c r="M29" s="80"/>
      <c r="N29" s="81"/>
      <c r="O29" s="81"/>
      <c r="P29" s="81"/>
      <c r="Q29" s="81"/>
      <c r="R29" s="81"/>
      <c r="S29" s="87">
        <f t="shared" si="0"/>
        <v>2.5</v>
      </c>
      <c r="T29" s="87">
        <f t="shared" si="0"/>
        <v>0</v>
      </c>
    </row>
    <row r="30" spans="1:24" x14ac:dyDescent="0.25">
      <c r="A30" s="59">
        <f t="shared" ref="A30:A35" si="9">A29+1</f>
        <v>42789</v>
      </c>
      <c r="B30" s="78" t="s">
        <v>104</v>
      </c>
      <c r="C30" s="88"/>
      <c r="D30" s="88"/>
      <c r="E30" s="88"/>
      <c r="F30" s="88"/>
      <c r="G30" s="88">
        <v>25000</v>
      </c>
      <c r="H30" s="88"/>
      <c r="I30" s="88"/>
      <c r="J30" s="85"/>
      <c r="K30" s="80"/>
      <c r="L30" s="86"/>
      <c r="M30" s="80"/>
      <c r="N30" s="81"/>
      <c r="O30" s="81"/>
      <c r="P30" s="81"/>
      <c r="Q30" s="81"/>
      <c r="R30" s="81"/>
      <c r="S30" s="87">
        <f t="shared" si="0"/>
        <v>2.5</v>
      </c>
      <c r="T30" s="87">
        <f t="shared" si="0"/>
        <v>0</v>
      </c>
      <c r="U30" s="51">
        <f>SUM(U9:U28)</f>
        <v>17.052</v>
      </c>
      <c r="V30" s="51">
        <f t="shared" ref="V30:X30" si="10">SUM(V9:V28)</f>
        <v>18.460799999999999</v>
      </c>
      <c r="W30" s="51">
        <f t="shared" si="10"/>
        <v>15.718500000000002</v>
      </c>
      <c r="X30" s="51">
        <f t="shared" si="10"/>
        <v>9.6000000000000014</v>
      </c>
    </row>
    <row r="31" spans="1:24" x14ac:dyDescent="0.25">
      <c r="A31" s="77">
        <f t="shared" si="9"/>
        <v>42790</v>
      </c>
      <c r="B31" s="78" t="s">
        <v>105</v>
      </c>
      <c r="C31" s="88"/>
      <c r="D31" s="88"/>
      <c r="E31" s="88"/>
      <c r="F31" s="85"/>
      <c r="G31" s="88">
        <v>5000</v>
      </c>
      <c r="H31" s="88"/>
      <c r="I31" s="88"/>
      <c r="J31" s="85"/>
      <c r="K31" s="80"/>
      <c r="L31" s="81"/>
      <c r="M31" s="81"/>
      <c r="N31" s="81"/>
      <c r="O31" s="81"/>
      <c r="P31" s="81"/>
      <c r="Q31" s="81"/>
      <c r="R31" s="81"/>
      <c r="S31" s="87">
        <f t="shared" si="0"/>
        <v>0.5</v>
      </c>
      <c r="T31" s="87">
        <f t="shared" si="0"/>
        <v>0</v>
      </c>
    </row>
    <row r="32" spans="1:24" x14ac:dyDescent="0.25">
      <c r="A32" s="59">
        <f t="shared" si="9"/>
        <v>42791</v>
      </c>
      <c r="B32" s="78" t="s">
        <v>106</v>
      </c>
      <c r="C32" s="88">
        <v>25000</v>
      </c>
      <c r="D32" s="88"/>
      <c r="E32" s="88"/>
      <c r="F32" s="85"/>
      <c r="G32" s="88"/>
      <c r="H32" s="88"/>
      <c r="I32" s="88"/>
      <c r="J32" s="88"/>
      <c r="K32" s="80"/>
      <c r="L32" s="81"/>
      <c r="M32" s="81"/>
      <c r="N32" s="81"/>
      <c r="O32" s="81"/>
      <c r="P32" s="81"/>
      <c r="Q32" s="81"/>
      <c r="R32" s="81"/>
      <c r="S32" s="87">
        <f t="shared" si="0"/>
        <v>2.5</v>
      </c>
      <c r="T32" s="87">
        <f t="shared" si="0"/>
        <v>0</v>
      </c>
      <c r="V32" s="51">
        <f>U30+V30</f>
        <v>35.512799999999999</v>
      </c>
      <c r="X32" s="51">
        <f>W30+X30</f>
        <v>25.318500000000004</v>
      </c>
    </row>
    <row r="33" spans="1:20" x14ac:dyDescent="0.25">
      <c r="A33" s="59">
        <f t="shared" si="9"/>
        <v>42792</v>
      </c>
      <c r="B33" s="78" t="s">
        <v>107</v>
      </c>
      <c r="C33" s="88">
        <v>25000</v>
      </c>
      <c r="D33" s="88"/>
      <c r="E33" s="88"/>
      <c r="F33" s="85"/>
      <c r="G33" s="88"/>
      <c r="H33" s="88"/>
      <c r="I33" s="88"/>
      <c r="J33" s="88"/>
      <c r="K33" s="80"/>
      <c r="L33" s="81"/>
      <c r="M33" s="81"/>
      <c r="N33" s="81"/>
      <c r="O33" s="81"/>
      <c r="P33" s="83"/>
      <c r="Q33" s="81"/>
      <c r="R33" s="83"/>
      <c r="S33" s="84">
        <f t="shared" si="0"/>
        <v>2.5</v>
      </c>
      <c r="T33" s="84">
        <f t="shared" si="0"/>
        <v>0</v>
      </c>
    </row>
    <row r="34" spans="1:20" x14ac:dyDescent="0.25">
      <c r="A34" s="77">
        <f t="shared" si="9"/>
        <v>42793</v>
      </c>
      <c r="B34" s="78" t="s">
        <v>108</v>
      </c>
      <c r="C34" s="88">
        <v>25000</v>
      </c>
      <c r="D34" s="88"/>
      <c r="E34" s="88"/>
      <c r="F34" s="88"/>
      <c r="G34" s="88"/>
      <c r="H34" s="88"/>
      <c r="I34" s="88"/>
      <c r="J34" s="88"/>
      <c r="K34" s="80"/>
      <c r="L34" s="86"/>
      <c r="M34" s="80"/>
      <c r="N34" s="81"/>
      <c r="O34" s="81"/>
      <c r="P34" s="83"/>
      <c r="Q34" s="81"/>
      <c r="R34" s="83"/>
      <c r="S34" s="84">
        <f t="shared" si="0"/>
        <v>2.5</v>
      </c>
      <c r="T34" s="84">
        <f t="shared" si="0"/>
        <v>0</v>
      </c>
    </row>
    <row r="35" spans="1:20" x14ac:dyDescent="0.25">
      <c r="A35" s="59">
        <f t="shared" si="9"/>
        <v>42794</v>
      </c>
      <c r="B35" s="78" t="s">
        <v>110</v>
      </c>
      <c r="C35" s="88">
        <v>25000</v>
      </c>
      <c r="D35" s="85"/>
      <c r="E35" s="88"/>
      <c r="F35" s="85"/>
      <c r="G35" s="88"/>
      <c r="H35" s="88"/>
      <c r="I35" s="88"/>
      <c r="J35" s="88"/>
      <c r="K35" s="80"/>
      <c r="L35" s="81"/>
      <c r="M35" s="81"/>
      <c r="N35" s="81"/>
      <c r="O35" s="81"/>
      <c r="P35" s="81"/>
      <c r="Q35" s="81"/>
      <c r="R35" s="83"/>
      <c r="S35" s="84">
        <f t="shared" si="0"/>
        <v>2.5</v>
      </c>
      <c r="T35" s="84">
        <f t="shared" si="0"/>
        <v>0</v>
      </c>
    </row>
    <row r="36" spans="1:20" x14ac:dyDescent="0.25">
      <c r="A36" s="77"/>
      <c r="B36" s="78"/>
      <c r="C36" s="88"/>
      <c r="D36" s="85"/>
      <c r="E36" s="88"/>
      <c r="F36" s="85"/>
      <c r="G36" s="88"/>
      <c r="H36" s="88"/>
      <c r="I36" s="88"/>
      <c r="J36" s="88"/>
      <c r="K36" s="80"/>
      <c r="L36" s="81"/>
      <c r="M36" s="81"/>
      <c r="N36" s="81"/>
      <c r="O36" s="81"/>
      <c r="P36" s="81"/>
      <c r="Q36" s="81"/>
      <c r="R36" s="83"/>
      <c r="S36" s="84">
        <f t="shared" si="0"/>
        <v>0</v>
      </c>
      <c r="T36" s="84">
        <f t="shared" si="0"/>
        <v>0</v>
      </c>
    </row>
    <row r="37" spans="1:20" x14ac:dyDescent="0.25">
      <c r="A37" s="59"/>
      <c r="B37" s="78"/>
      <c r="C37" s="88"/>
      <c r="D37" s="88"/>
      <c r="E37" s="88"/>
      <c r="F37" s="88"/>
      <c r="G37" s="88"/>
      <c r="H37" s="88"/>
      <c r="I37" s="88"/>
      <c r="J37" s="88"/>
      <c r="K37" s="80"/>
      <c r="L37" s="81"/>
      <c r="M37" s="81"/>
      <c r="N37" s="81"/>
      <c r="O37" s="81"/>
      <c r="P37" s="81"/>
      <c r="Q37" s="81"/>
      <c r="R37" s="81"/>
      <c r="S37" s="84">
        <f t="shared" si="0"/>
        <v>0</v>
      </c>
      <c r="T37" s="84">
        <f t="shared" si="0"/>
        <v>0</v>
      </c>
    </row>
    <row r="38" spans="1:20" x14ac:dyDescent="0.25">
      <c r="A38" s="59"/>
      <c r="B38" s="78"/>
      <c r="C38" s="88"/>
      <c r="D38" s="88"/>
      <c r="E38" s="88"/>
      <c r="F38" s="88"/>
      <c r="G38" s="88"/>
      <c r="H38" s="88"/>
      <c r="I38" s="88"/>
      <c r="J38" s="88"/>
      <c r="K38" s="80"/>
      <c r="L38" s="81"/>
      <c r="M38" s="81"/>
      <c r="N38" s="81"/>
      <c r="O38" s="81"/>
      <c r="P38" s="81"/>
      <c r="Q38" s="81"/>
      <c r="R38" s="81"/>
      <c r="S38" s="84">
        <f t="shared" si="0"/>
        <v>0</v>
      </c>
      <c r="T38" s="84">
        <f t="shared" si="0"/>
        <v>0</v>
      </c>
    </row>
    <row r="39" spans="1:20" x14ac:dyDescent="0.25">
      <c r="A39" s="124" t="s">
        <v>111</v>
      </c>
      <c r="B39" s="125"/>
      <c r="C39" s="89">
        <f>SUM(C8:C38)</f>
        <v>250000</v>
      </c>
      <c r="D39" s="89">
        <f t="shared" ref="D39:R39" si="11">SUM(D8:D38)</f>
        <v>157185</v>
      </c>
      <c r="E39" s="89">
        <f t="shared" si="11"/>
        <v>35000</v>
      </c>
      <c r="F39" s="89">
        <f t="shared" si="11"/>
        <v>24000</v>
      </c>
      <c r="G39" s="89">
        <f t="shared" si="11"/>
        <v>155000</v>
      </c>
      <c r="H39" s="89">
        <f t="shared" si="11"/>
        <v>100170</v>
      </c>
      <c r="I39" s="89">
        <f t="shared" si="11"/>
        <v>47000</v>
      </c>
      <c r="J39" s="89">
        <f t="shared" si="11"/>
        <v>46152</v>
      </c>
      <c r="K39" s="89">
        <f t="shared" si="11"/>
        <v>0</v>
      </c>
      <c r="L39" s="89">
        <f t="shared" si="11"/>
        <v>0</v>
      </c>
      <c r="M39" s="89">
        <f t="shared" si="11"/>
        <v>0</v>
      </c>
      <c r="N39" s="89">
        <f t="shared" si="11"/>
        <v>0</v>
      </c>
      <c r="O39" s="89">
        <f t="shared" si="11"/>
        <v>92500</v>
      </c>
      <c r="P39" s="89">
        <f>SUM(P8:P38)</f>
        <v>70350</v>
      </c>
      <c r="Q39" s="89">
        <f t="shared" si="11"/>
        <v>0</v>
      </c>
      <c r="R39" s="89">
        <f t="shared" si="11"/>
        <v>0</v>
      </c>
      <c r="S39" s="90">
        <f>SUM(S8:S38)</f>
        <v>82.55</v>
      </c>
      <c r="T39" s="89">
        <f t="shared" ref="T39" si="12">SUM(T8:T37)</f>
        <v>60.831300000000006</v>
      </c>
    </row>
    <row r="40" spans="1:20" x14ac:dyDescent="0.25">
      <c r="A40" s="124" t="s">
        <v>112</v>
      </c>
      <c r="B40" s="125"/>
      <c r="C40" s="91">
        <f>C39*0.1/1000</f>
        <v>25</v>
      </c>
      <c r="D40" s="91">
        <f t="shared" ref="D40" si="13">D39*0.1/1000</f>
        <v>15.718500000000001</v>
      </c>
      <c r="E40" s="91">
        <f t="shared" ref="E40:J40" si="14">E39*0.4/1000</f>
        <v>14</v>
      </c>
      <c r="F40" s="91">
        <f t="shared" si="14"/>
        <v>9.6</v>
      </c>
      <c r="G40" s="91">
        <f>G39*0.1/1000</f>
        <v>15.5</v>
      </c>
      <c r="H40" s="91">
        <f>H39*0.1/1000</f>
        <v>10.016999999999999</v>
      </c>
      <c r="I40" s="91">
        <f t="shared" si="14"/>
        <v>18.8</v>
      </c>
      <c r="J40" s="91">
        <f t="shared" si="14"/>
        <v>18.460799999999999</v>
      </c>
      <c r="K40" s="91">
        <f>K39*0.1/1000</f>
        <v>0</v>
      </c>
      <c r="L40" s="91">
        <f>L39*0.1/1000</f>
        <v>0</v>
      </c>
      <c r="M40" s="91">
        <f>M39*0.4/1000</f>
        <v>0</v>
      </c>
      <c r="N40" s="91">
        <f>N39*0.4/1000</f>
        <v>0</v>
      </c>
      <c r="O40" s="91">
        <f>O39*0.1/1000</f>
        <v>9.25</v>
      </c>
      <c r="P40" s="91">
        <f t="shared" ref="P40" si="15">P39*0.1/1000</f>
        <v>7.0350000000000001</v>
      </c>
      <c r="Q40" s="91">
        <f>Q39*0.4/1000</f>
        <v>0</v>
      </c>
      <c r="R40" s="91">
        <f>R39*0.4/1000</f>
        <v>0</v>
      </c>
      <c r="S40" s="91"/>
      <c r="T40" s="91"/>
    </row>
    <row r="41" spans="1:20" x14ac:dyDescent="0.25">
      <c r="C41" s="51">
        <v>250000</v>
      </c>
      <c r="E41" s="51">
        <v>35000</v>
      </c>
      <c r="G41" s="51">
        <v>150000</v>
      </c>
      <c r="I41" s="51">
        <v>47000</v>
      </c>
      <c r="O41" s="51">
        <v>92500</v>
      </c>
    </row>
    <row r="42" spans="1:20" x14ac:dyDescent="0.25">
      <c r="A42" s="52"/>
    </row>
    <row r="43" spans="1:20" x14ac:dyDescent="0.25">
      <c r="A43" s="52"/>
    </row>
    <row r="45" spans="1:20" x14ac:dyDescent="0.25">
      <c r="O45" s="52"/>
      <c r="P45" s="52"/>
      <c r="Q45" s="52"/>
      <c r="R45" s="52"/>
    </row>
  </sheetData>
  <mergeCells count="6">
    <mergeCell ref="A40:B40"/>
    <mergeCell ref="C3:R3"/>
    <mergeCell ref="C4:J4"/>
    <mergeCell ref="K4:R4"/>
    <mergeCell ref="S6:T6"/>
    <mergeCell ref="A39:B39"/>
  </mergeCells>
  <conditionalFormatting sqref="F5 H5:N5">
    <cfRule type="cellIs" dxfId="29" priority="1" stopIfTrue="1" operator="greaterThan">
      <formula>0</formula>
    </cfRule>
    <cfRule type="cellIs" dxfId="28" priority="2" stopIfTrue="1" operator="lessThanOrEqual">
      <formula>0</formula>
    </cfRule>
  </conditionalFormatting>
  <conditionalFormatting sqref="T5">
    <cfRule type="cellIs" dxfId="27" priority="13" stopIfTrue="1" operator="greaterThan">
      <formula>0</formula>
    </cfRule>
    <cfRule type="cellIs" dxfId="26" priority="14" stopIfTrue="1" operator="lessThanOrEqual">
      <formula>0</formula>
    </cfRule>
  </conditionalFormatting>
  <conditionalFormatting sqref="O5">
    <cfRule type="cellIs" dxfId="25" priority="12" operator="lessThan">
      <formula>0</formula>
    </cfRule>
  </conditionalFormatting>
  <conditionalFormatting sqref="D5:E5">
    <cfRule type="cellIs" dxfId="24" priority="10" stopIfTrue="1" operator="greaterThan">
      <formula>0</formula>
    </cfRule>
    <cfRule type="cellIs" dxfId="23" priority="11" stopIfTrue="1" operator="lessThanOrEqual">
      <formula>0</formula>
    </cfRule>
  </conditionalFormatting>
  <conditionalFormatting sqref="G5">
    <cfRule type="cellIs" dxfId="22" priority="9" operator="lessThan">
      <formula>0</formula>
    </cfRule>
  </conditionalFormatting>
  <conditionalFormatting sqref="Q5">
    <cfRule type="cellIs" dxfId="21" priority="8" operator="lessThan">
      <formula>0</formula>
    </cfRule>
  </conditionalFormatting>
  <conditionalFormatting sqref="C5">
    <cfRule type="cellIs" dxfId="20" priority="7" operator="lessThan">
      <formula>0</formula>
    </cfRule>
  </conditionalFormatting>
  <conditionalFormatting sqref="P5">
    <cfRule type="cellIs" dxfId="19" priority="5" stopIfTrue="1" operator="greaterThan">
      <formula>0</formula>
    </cfRule>
    <cfRule type="cellIs" dxfId="18" priority="6" stopIfTrue="1" operator="lessThanOrEqual">
      <formula>0</formula>
    </cfRule>
  </conditionalFormatting>
  <conditionalFormatting sqref="R5">
    <cfRule type="cellIs" dxfId="17" priority="3" stopIfTrue="1" operator="greaterThan">
      <formula>0</formula>
    </cfRule>
    <cfRule type="cellIs" dxfId="16" priority="4" stopIfTrue="1" operator="lessThanOr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 (2)</vt:lpstr>
      <vt:lpstr>Prod dt 28-03-17</vt:lpstr>
      <vt:lpstr>Prod dt 23-03-17 (2)</vt:lpstr>
      <vt:lpstr>Prod dt 01-03-17 (2)</vt:lpstr>
      <vt:lpstr>Prod dt 28-2-17</vt:lpstr>
      <vt:lpstr>Prod dt 27-2-17</vt:lpstr>
      <vt:lpstr>Production data on 22-2-17 (2)</vt:lpstr>
      <vt:lpstr>Production data on 20-2-17 (3)</vt:lpstr>
      <vt:lpstr>Production data on 12-2-17</vt:lpstr>
      <vt:lpstr>Revised plan as of 1-2-17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Sanjib Chakraborty</dc:creator>
  <cp:lastModifiedBy>Sanjib Chakraborty</cp:lastModifiedBy>
  <cp:lastPrinted>2016-10-17T13:17:23Z</cp:lastPrinted>
  <dcterms:created xsi:type="dcterms:W3CDTF">2016-10-17T10:48:40Z</dcterms:created>
  <dcterms:modified xsi:type="dcterms:W3CDTF">2017-04-11T11:31:59Z</dcterms:modified>
</cp:coreProperties>
</file>