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5" i="1" l="1"/>
  <c r="D5" i="1"/>
  <c r="G5" i="1"/>
  <c r="H5" i="1"/>
  <c r="K5" i="1"/>
  <c r="F57" i="1"/>
  <c r="G57" i="1" s="1"/>
  <c r="H57" i="1" s="1"/>
  <c r="E55" i="1"/>
  <c r="D55" i="1"/>
  <c r="C44" i="1"/>
  <c r="D44" i="1" s="1"/>
  <c r="I24" i="1"/>
  <c r="K10" i="1"/>
  <c r="L10" i="1" s="1"/>
  <c r="M10" i="1" s="1"/>
  <c r="I10" i="1"/>
  <c r="H10" i="1"/>
  <c r="C10" i="1"/>
  <c r="F10" i="1" s="1"/>
  <c r="K9" i="1"/>
  <c r="L9" i="1" s="1"/>
  <c r="M9" i="1" s="1"/>
  <c r="I9" i="1"/>
  <c r="H9" i="1"/>
  <c r="C9" i="1"/>
  <c r="F9" i="1" s="1"/>
  <c r="K8" i="1"/>
  <c r="L8" i="1" s="1"/>
  <c r="M8" i="1" s="1"/>
  <c r="I8" i="1"/>
  <c r="H8" i="1"/>
  <c r="C8" i="1"/>
  <c r="F8" i="1" s="1"/>
  <c r="K7" i="1"/>
  <c r="H7" i="1"/>
  <c r="G7" i="1"/>
  <c r="D7" i="1"/>
  <c r="C7" i="1"/>
  <c r="K6" i="1"/>
  <c r="H6" i="1"/>
  <c r="D6" i="1"/>
  <c r="G6" i="1" s="1"/>
  <c r="C6" i="1"/>
  <c r="K4" i="1"/>
  <c r="H4" i="1"/>
  <c r="G4" i="1"/>
  <c r="D4" i="1"/>
  <c r="C4" i="1"/>
  <c r="K3" i="1"/>
  <c r="H3" i="1"/>
  <c r="G3" i="1"/>
  <c r="D3" i="1"/>
  <c r="C3" i="1"/>
  <c r="F5" i="1" l="1"/>
  <c r="L5" i="1"/>
  <c r="M5" i="1" s="1"/>
  <c r="I5" i="1"/>
  <c r="J5" i="1" s="1"/>
  <c r="L4" i="1"/>
  <c r="M4" i="1" s="1"/>
  <c r="F4" i="1"/>
  <c r="J9" i="1"/>
  <c r="F7" i="1"/>
  <c r="F3" i="1"/>
  <c r="J10" i="1"/>
  <c r="I3" i="1"/>
  <c r="F6" i="1"/>
  <c r="I7" i="1"/>
  <c r="J7" i="1" s="1"/>
  <c r="J8" i="1"/>
  <c r="L6" i="1"/>
  <c r="M6" i="1" s="1"/>
  <c r="I6" i="1"/>
  <c r="J6" i="1" s="1"/>
  <c r="I4" i="1"/>
  <c r="J4" i="1" s="1"/>
  <c r="D45" i="1"/>
  <c r="D46" i="1" s="1"/>
  <c r="D48" i="1" s="1"/>
  <c r="L3" i="1"/>
  <c r="M3" i="1" s="1"/>
  <c r="L7" i="1"/>
  <c r="M7" i="1" s="1"/>
  <c r="J3" i="1" l="1"/>
  <c r="I12" i="1"/>
</calcChain>
</file>

<file path=xl/sharedStrings.xml><?xml version="1.0" encoding="utf-8"?>
<sst xmlns="http://schemas.openxmlformats.org/spreadsheetml/2006/main" count="32" uniqueCount="31">
  <si>
    <t>Monthly Saving/Loss Value</t>
  </si>
  <si>
    <t>Key material efficiencies</t>
  </si>
  <si>
    <t>Savings /variance %</t>
  </si>
  <si>
    <t>Volume</t>
  </si>
  <si>
    <t>Rate Avg</t>
  </si>
  <si>
    <t>Amount</t>
  </si>
  <si>
    <t>YTD volume</t>
  </si>
  <si>
    <t>YTD savings</t>
  </si>
  <si>
    <t>Distilation yield</t>
  </si>
  <si>
    <t>Soap Noodle Manufacturing yield (TFM basis)</t>
  </si>
  <si>
    <t>Soap packing Wt Giveaway (on declared wt)</t>
  </si>
  <si>
    <t xml:space="preserve"> TFM Giveaway as per Reco</t>
  </si>
  <si>
    <t>Powder packing give away (on declared weight)</t>
  </si>
  <si>
    <t>Raw material over consumption MSP</t>
  </si>
  <si>
    <t>Packing material  overconsumption  MSP</t>
  </si>
  <si>
    <t>Perfume over consumption</t>
  </si>
  <si>
    <t>Total Saving/loss (-) (in Lakhs)</t>
  </si>
  <si>
    <t>These  dfa reprocessed  and resulted in yield of 60%   (checked from DFA yield file and confirmed by Wadekar)</t>
  </si>
  <si>
    <t>Hence  DFA saved from reprocessing   =199*60%=  119 Mt</t>
  </si>
  <si>
    <t xml:space="preserve">Net loss of DfA    =  199-119= 80 Mt *60000=  48 lakhs </t>
  </si>
  <si>
    <t xml:space="preserve">Pitch relaisalion after sale    =80*25000=           20.00 Lakhs </t>
  </si>
  <si>
    <t>Loss                                                                                   28 Lakhs</t>
  </si>
  <si>
    <t>Add:  Reprocessing cost    3000*199=                    5.97 Lakhs</t>
  </si>
  <si>
    <t>So total loss                                                                   33.97   lakhs                                 </t>
  </si>
  <si>
    <t xml:space="preserve">Avg per MT loss  of yield                                          33.97/199=  0.17 lakhs </t>
  </si>
  <si>
    <t>get 65% after reprocessing</t>
  </si>
  <si>
    <t xml:space="preserve">Loss </t>
  </si>
  <si>
    <t>Less residue sale value</t>
  </si>
  <si>
    <t>Add Reprocessing cost )distilation)</t>
  </si>
  <si>
    <t>198 Lacs</t>
  </si>
  <si>
    <t>Total RM/PM Savings 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</si>
</sst>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10" fontId="2" fillId="2" borderId="1" xfId="1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/>
    <xf numFmtId="10" fontId="2" fillId="2" borderId="1" xfId="1" applyNumberFormat="1" applyFont="1" applyFill="1" applyBorder="1"/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left" wrapText="1"/>
    </xf>
    <xf numFmtId="10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eraj.sharma/AppData/Local/Microsoft/Windows/INetCache/Content.Outlook/TPIOOTIB/Copy%20of%20revised%20MIS%20March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Cost (2)"/>
      <sheetName val="Summary (MIS)"/>
      <sheetName val="Sheet10"/>
      <sheetName val="working"/>
      <sheetName val="splitting"/>
      <sheetName val="Sheet9"/>
      <sheetName val="distilation"/>
      <sheetName val="TFM RECO "/>
      <sheetName val="Giveaway"/>
      <sheetName val="MSP stocks"/>
      <sheetName val="power and fuel"/>
      <sheetName val="Sheet8"/>
      <sheetName val="Conversion Cost"/>
      <sheetName val="LYPR con"/>
      <sheetName val="Comp year wise"/>
      <sheetName val="PY Con cost"/>
      <sheetName val="offline"/>
      <sheetName val="manpower"/>
      <sheetName val="Sheet1"/>
      <sheetName val="Sheet6"/>
      <sheetName val="RM variance"/>
      <sheetName val="PM variance"/>
      <sheetName val="ytd rmpm working"/>
      <sheetName val="Material saving value (2)"/>
      <sheetName val="Utility savings value"/>
      <sheetName val="Material saving value"/>
      <sheetName val="dfa"/>
      <sheetName val="rates utility"/>
      <sheetName val="Talc pr"/>
      <sheetName val="Sheet2"/>
      <sheetName val="Sheet3"/>
      <sheetName val="Sheet4"/>
      <sheetName val="Sheet5"/>
      <sheetName val="MSP KWH STD"/>
      <sheetName val="ORS"/>
      <sheetName val="CS"/>
      <sheetName val="HP saving"/>
      <sheetName val="PCP prod"/>
      <sheetName val="Mandays &amp; KWH"/>
      <sheetName val="Sheet7"/>
      <sheetName val="Production report"/>
      <sheetName val="J&amp;J carton"/>
      <sheetName val="TLP PM"/>
      <sheetName val="TLP RM"/>
      <sheetName val="Sheet11"/>
    </sheetNames>
    <sheetDataSet>
      <sheetData sheetId="0"/>
      <sheetData sheetId="1">
        <row r="4">
          <cell r="C4">
            <v>1830.9539999999997</v>
          </cell>
          <cell r="E4">
            <v>27094.398000000001</v>
          </cell>
        </row>
        <row r="5">
          <cell r="C5">
            <v>3454.9169999999999</v>
          </cell>
          <cell r="E5">
            <v>34777.510999999999</v>
          </cell>
        </row>
        <row r="6">
          <cell r="C6">
            <v>2811.846</v>
          </cell>
          <cell r="E6">
            <v>34613.546000000002</v>
          </cell>
        </row>
        <row r="7">
          <cell r="C7">
            <v>391.23079999999999</v>
          </cell>
          <cell r="E7">
            <v>3769.4207999999999</v>
          </cell>
        </row>
        <row r="16">
          <cell r="B16">
            <v>88.936593544185058</v>
          </cell>
          <cell r="C16"/>
          <cell r="D16">
            <v>83.669500113492688</v>
          </cell>
          <cell r="E16">
            <v>84.060834715040272</v>
          </cell>
        </row>
        <row r="18">
          <cell r="B18">
            <v>1</v>
          </cell>
          <cell r="C18">
            <v>0.99780412985608535</v>
          </cell>
          <cell r="D18">
            <v>1</v>
          </cell>
          <cell r="E18">
            <v>1.004397900974241</v>
          </cell>
        </row>
        <row r="19">
          <cell r="B19">
            <v>6.4913714301625411E-3</v>
          </cell>
          <cell r="C19"/>
          <cell r="D19">
            <v>6.4913714301625411E-3</v>
          </cell>
          <cell r="E19">
            <v>4.4620929762156682E-3</v>
          </cell>
        </row>
        <row r="21">
          <cell r="B21">
            <v>1.1999999999999999E-3</v>
          </cell>
          <cell r="C21">
            <v>-3.8393762556765025E-4</v>
          </cell>
          <cell r="D21">
            <v>1.1999999999999999E-3</v>
          </cell>
          <cell r="E21">
            <v>-2.7405858125916917E-3</v>
          </cell>
        </row>
        <row r="22">
          <cell r="B22">
            <v>3.2000000000000001E-2</v>
          </cell>
          <cell r="C22"/>
          <cell r="D22">
            <v>3.2000000000000001E-2</v>
          </cell>
          <cell r="E22">
            <v>2.8144957334260323E-2</v>
          </cell>
        </row>
        <row r="25">
          <cell r="B25">
            <v>0</v>
          </cell>
          <cell r="C25">
            <v>5.2836569736288488E-3</v>
          </cell>
          <cell r="D25">
            <v>0</v>
          </cell>
          <cell r="E25">
            <v>-4.5258423008479815E-3</v>
          </cell>
        </row>
        <row r="26">
          <cell r="B26">
            <v>1.26E-2</v>
          </cell>
          <cell r="C26">
            <v>1.1800953133625516E-2</v>
          </cell>
          <cell r="D26">
            <v>1.26E-2</v>
          </cell>
          <cell r="E26">
            <v>8.2988823848523779E-3</v>
          </cell>
        </row>
        <row r="27">
          <cell r="B27">
            <v>2.0000000000000001E-4</v>
          </cell>
          <cell r="C27">
            <v>1.4382103061993492E-4</v>
          </cell>
          <cell r="D27">
            <v>2.0000000000000001E-4</v>
          </cell>
          <cell r="E27">
            <v>4.0319949152803204E-6</v>
          </cell>
        </row>
      </sheetData>
      <sheetData sheetId="2"/>
      <sheetData sheetId="3"/>
      <sheetData sheetId="4"/>
      <sheetData sheetId="5"/>
      <sheetData sheetId="6"/>
      <sheetData sheetId="7">
        <row r="29">
          <cell r="K29">
            <v>2517.3715973137996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L2">
            <v>3.1528516239999997</v>
          </cell>
          <cell r="N2">
            <v>29.953131421000002</v>
          </cell>
        </row>
        <row r="3">
          <cell r="L3">
            <v>2.9844255038050003</v>
          </cell>
          <cell r="N3">
            <v>39.723501396309096</v>
          </cell>
        </row>
        <row r="4">
          <cell r="L4">
            <v>1.9245910600000002</v>
          </cell>
          <cell r="N4">
            <v>25.009332489000005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abSelected="1" workbookViewId="0">
      <selection activeCell="I12" sqref="I12"/>
    </sheetView>
  </sheetViews>
  <sheetFormatPr defaultRowHeight="15" x14ac:dyDescent="0.25"/>
  <cols>
    <col min="2" max="2" width="43.7109375" customWidth="1"/>
    <col min="3" max="3" width="16.7109375" customWidth="1"/>
    <col min="4" max="4" width="11" customWidth="1"/>
    <col min="5" max="5" width="9.7109375" customWidth="1"/>
    <col min="6" max="6" width="11.5703125" customWidth="1"/>
    <col min="7" max="7" width="11.7109375" customWidth="1"/>
    <col min="8" max="8" width="13.28515625" customWidth="1"/>
    <col min="9" max="9" width="10.7109375" customWidth="1"/>
    <col min="10" max="10" width="8" customWidth="1"/>
    <col min="11" max="11" width="11" hidden="1" customWidth="1"/>
    <col min="12" max="12" width="14.140625" hidden="1" customWidth="1"/>
    <col min="13" max="13" width="15.5703125" hidden="1" customWidth="1"/>
  </cols>
  <sheetData>
    <row r="1" spans="2:13" ht="21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28.5" customHeight="1" x14ac:dyDescent="0.25">
      <c r="B2" s="3" t="s">
        <v>1</v>
      </c>
      <c r="C2" s="4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/>
      <c r="J2" s="2"/>
      <c r="K2" s="1" t="s">
        <v>7</v>
      </c>
      <c r="L2" s="2"/>
      <c r="M2" s="2"/>
    </row>
    <row r="3" spans="2:13" ht="18" customHeight="1" x14ac:dyDescent="0.25">
      <c r="B3" s="3" t="s">
        <v>8</v>
      </c>
      <c r="C3" s="5">
        <f>('[1]Summary (MIS)'!C16-'[1]Summary (MIS)'!B16)/100</f>
        <v>-0.88936593544185061</v>
      </c>
      <c r="D3" s="6">
        <f>'[1]Summary (MIS)'!C4</f>
        <v>1830.9539999999997</v>
      </c>
      <c r="E3" s="1">
        <v>17950</v>
      </c>
      <c r="F3" s="6">
        <f t="shared" ref="F3:F7" si="0">(C3*D3)*E3</f>
        <v>-29229566.699449912</v>
      </c>
      <c r="G3" s="7">
        <f>'[1]Summary (MIS)'!E4</f>
        <v>27094.398000000001</v>
      </c>
      <c r="H3" s="8">
        <f>('[1]Summary (MIS)'!E16-'[1]Summary (MIS)'!D16)/100</f>
        <v>3.9133460154758383E-3</v>
      </c>
      <c r="I3" s="7">
        <f t="shared" ref="I3:I7" si="1">E3*G3*H3</f>
        <v>1903234.0924675467</v>
      </c>
      <c r="J3" s="9">
        <f t="shared" ref="J3:J7" si="2">I3/100000</f>
        <v>19.032340924675466</v>
      </c>
      <c r="K3" s="8">
        <f>('[1]Summary (MIS)'!E16-'[1]Summary (MIS)'!D16)/100</f>
        <v>3.9133460154758383E-3</v>
      </c>
      <c r="L3" s="9">
        <f>E3*G3*K3</f>
        <v>1903234.0924675467</v>
      </c>
      <c r="M3" s="9">
        <f t="shared" ref="M3:M9" si="3">L3/100000</f>
        <v>19.032340924675466</v>
      </c>
    </row>
    <row r="4" spans="2:13" ht="18" customHeight="1" x14ac:dyDescent="0.25">
      <c r="B4" s="3" t="s">
        <v>9</v>
      </c>
      <c r="C4" s="5">
        <f>'[1]Summary (MIS)'!C18-'[1]Summary (MIS)'!B18</f>
        <v>-2.1958701439146466E-3</v>
      </c>
      <c r="D4" s="6">
        <f>'[1]Summary (MIS)'!C6</f>
        <v>2811.846</v>
      </c>
      <c r="E4" s="1">
        <v>52000</v>
      </c>
      <c r="F4" s="6">
        <f t="shared" si="0"/>
        <v>-321071.3313956628</v>
      </c>
      <c r="G4" s="7">
        <f>'[1]Summary (MIS)'!E6</f>
        <v>34613.546000000002</v>
      </c>
      <c r="H4" s="8">
        <f>'[1]Summary (MIS)'!E18-'[1]Summary (MIS)'!D18</f>
        <v>4.3979009742409758E-3</v>
      </c>
      <c r="I4" s="7">
        <f t="shared" si="1"/>
        <v>7915801.279117411</v>
      </c>
      <c r="J4" s="9">
        <f t="shared" si="2"/>
        <v>79.158012791174116</v>
      </c>
      <c r="K4" s="8">
        <f>'[1]Summary (MIS)'!E18-'[1]Summary (MIS)'!D18</f>
        <v>4.3979009742409758E-3</v>
      </c>
      <c r="L4" s="9">
        <f t="shared" ref="L4:L7" si="4">E4*G4*K4</f>
        <v>7915801.279117411</v>
      </c>
      <c r="M4" s="9">
        <f t="shared" si="3"/>
        <v>79.158012791174116</v>
      </c>
    </row>
    <row r="5" spans="2:13" ht="18" customHeight="1" x14ac:dyDescent="0.25">
      <c r="B5" s="10" t="s">
        <v>10</v>
      </c>
      <c r="C5" s="5">
        <f>'[1]Summary (MIS)'!B19-'[1]Summary (MIS)'!C19</f>
        <v>6.4913714301625411E-3</v>
      </c>
      <c r="D5" s="6">
        <f>'[1]Summary (MIS)'!C5</f>
        <v>3454.9169999999999</v>
      </c>
      <c r="E5" s="1">
        <v>68000</v>
      </c>
      <c r="F5" s="6">
        <f t="shared" si="0"/>
        <v>1525046.1665020355</v>
      </c>
      <c r="G5" s="7">
        <f>'[1]Summary (MIS)'!E5</f>
        <v>34777.510999999999</v>
      </c>
      <c r="H5" s="8">
        <f>'[1]Summary (MIS)'!D19-'[1]Summary (MIS)'!E19</f>
        <v>2.029278453946873E-3</v>
      </c>
      <c r="I5" s="7">
        <f t="shared" si="1"/>
        <v>4798981.2552856253</v>
      </c>
      <c r="J5" s="9">
        <f t="shared" si="2"/>
        <v>47.98981255285625</v>
      </c>
      <c r="K5" s="8">
        <f>'[1]Summary (MIS)'!E19-'[1]Summary (MIS)'!D19</f>
        <v>-2.029278453946873E-3</v>
      </c>
      <c r="L5" s="9">
        <f t="shared" si="4"/>
        <v>-4798981.2552856253</v>
      </c>
      <c r="M5" s="9">
        <f t="shared" si="3"/>
        <v>-47.98981255285625</v>
      </c>
    </row>
    <row r="6" spans="2:13" ht="18" customHeight="1" x14ac:dyDescent="0.25">
      <c r="B6" s="3" t="s">
        <v>11</v>
      </c>
      <c r="C6" s="5">
        <f>'[1]Summary (MIS)'!B21-'[1]Summary (MIS)'!C21</f>
        <v>1.5839376255676501E-3</v>
      </c>
      <c r="D6" s="6">
        <f>'[1]TFM RECO '!K29</f>
        <v>2517.3715973137996</v>
      </c>
      <c r="E6" s="1">
        <v>52000</v>
      </c>
      <c r="F6" s="6">
        <f t="shared" si="0"/>
        <v>207342.69870707445</v>
      </c>
      <c r="G6" s="7">
        <f>20491+D6</f>
        <v>23008.371597313799</v>
      </c>
      <c r="H6" s="8">
        <f>'[1]Summary (MIS)'!D21-'[1]Summary (MIS)'!E21</f>
        <v>3.9405858125916918E-3</v>
      </c>
      <c r="I6" s="7">
        <f t="shared" si="1"/>
        <v>4714656.0597350448</v>
      </c>
      <c r="J6" s="9">
        <f t="shared" si="2"/>
        <v>47.146560597350451</v>
      </c>
      <c r="K6" s="8">
        <f>'[1]Summary (MIS)'!D21-'[1]Summary (MIS)'!E21</f>
        <v>3.9405858125916918E-3</v>
      </c>
      <c r="L6" s="9">
        <f t="shared" si="4"/>
        <v>4714656.0597350448</v>
      </c>
      <c r="M6" s="9">
        <f t="shared" si="3"/>
        <v>47.146560597350451</v>
      </c>
    </row>
    <row r="7" spans="2:13" ht="18" customHeight="1" x14ac:dyDescent="0.25">
      <c r="B7" s="2" t="s">
        <v>12</v>
      </c>
      <c r="C7" s="5">
        <f>'[1]Summary (MIS)'!B22-'[1]Summary (MIS)'!C22</f>
        <v>3.2000000000000001E-2</v>
      </c>
      <c r="D7" s="6">
        <f>'[1]Summary (MIS)'!C7</f>
        <v>391.23079999999999</v>
      </c>
      <c r="E7" s="1">
        <v>31000</v>
      </c>
      <c r="F7" s="6">
        <f t="shared" si="0"/>
        <v>388100.95360000001</v>
      </c>
      <c r="G7" s="7">
        <f>'[1]Summary (MIS)'!E7</f>
        <v>3769.4207999999999</v>
      </c>
      <c r="H7" s="8">
        <f>'[1]Summary (MIS)'!D22-'[1]Summary (MIS)'!E22</f>
        <v>3.8550426657396782E-3</v>
      </c>
      <c r="I7" s="7">
        <f t="shared" si="1"/>
        <v>450469.61828292429</v>
      </c>
      <c r="J7" s="9">
        <f t="shared" si="2"/>
        <v>4.5046961828292433</v>
      </c>
      <c r="K7" s="8">
        <f>'[1]Summary (MIS)'!D22-'[1]Summary (MIS)'!E22</f>
        <v>3.8550426657396782E-3</v>
      </c>
      <c r="L7" s="9">
        <f t="shared" si="4"/>
        <v>450469.61828292429</v>
      </c>
      <c r="M7" s="9">
        <f t="shared" si="3"/>
        <v>4.5046961828292433</v>
      </c>
    </row>
    <row r="8" spans="2:13" ht="18" customHeight="1" x14ac:dyDescent="0.25">
      <c r="B8" s="3" t="s">
        <v>13</v>
      </c>
      <c r="C8" s="5">
        <f>'[1]Summary (MIS)'!B25-('[1]Summary (MIS)'!C25)</f>
        <v>-5.2836569736288488E-3</v>
      </c>
      <c r="D8" s="1"/>
      <c r="E8" s="1"/>
      <c r="F8" s="6">
        <f>'[1]ytd rmpm working'!L2*C8*10000000</f>
        <v>-166585.86469964639</v>
      </c>
      <c r="G8" s="2"/>
      <c r="H8" s="11">
        <f>'[1]Summary (MIS)'!D25-'[1]Summary (MIS)'!E25</f>
        <v>4.5258423008479815E-3</v>
      </c>
      <c r="I8" s="7">
        <f>'[1]ytd rmpm working'!N2*100</f>
        <v>2995.3131421000003</v>
      </c>
      <c r="J8" s="9">
        <f>I8*H8</f>
        <v>13.556314922802063</v>
      </c>
      <c r="K8" s="8">
        <f>'[1]Summary (MIS)'!D25-'[1]Summary (MIS)'!E25</f>
        <v>4.5258423008479815E-3</v>
      </c>
      <c r="L8" s="7">
        <f>K8*'[1]ytd rmpm working'!N2*10000000</f>
        <v>1355631.4922802062</v>
      </c>
      <c r="M8" s="9">
        <f t="shared" si="3"/>
        <v>13.556314922802061</v>
      </c>
    </row>
    <row r="9" spans="2:13" ht="18" customHeight="1" x14ac:dyDescent="0.25">
      <c r="B9" s="3" t="s">
        <v>14</v>
      </c>
      <c r="C9" s="5">
        <f>'[1]Summary (MIS)'!B26-'[1]Summary (MIS)'!C26</f>
        <v>7.9904686637448374E-4</v>
      </c>
      <c r="D9" s="1"/>
      <c r="E9" s="1"/>
      <c r="F9" s="6">
        <f>'[1]ytd rmpm working'!L3*C9*10000000</f>
        <v>23846.958467434753</v>
      </c>
      <c r="G9" s="2"/>
      <c r="H9" s="11">
        <f>'[1]Summary (MIS)'!D26-'[1]Summary (MIS)'!E26</f>
        <v>4.3011176151476222E-3</v>
      </c>
      <c r="I9" s="7">
        <f>'[1]ytd rmpm working'!N3*100</f>
        <v>3972.3501396309098</v>
      </c>
      <c r="J9" s="9">
        <f>I9*H9</f>
        <v>17.085545159100622</v>
      </c>
      <c r="K9" s="8">
        <f>'[1]Summary (MIS)'!D26-'[1]Summary (MIS)'!E26</f>
        <v>4.3011176151476222E-3</v>
      </c>
      <c r="L9" s="7">
        <f>K9*'[1]ytd rmpm working'!N3*10000000</f>
        <v>1708554.515910062</v>
      </c>
      <c r="M9" s="9">
        <f t="shared" si="3"/>
        <v>17.085545159100619</v>
      </c>
    </row>
    <row r="10" spans="2:13" ht="18" customHeight="1" x14ac:dyDescent="0.25">
      <c r="B10" s="3" t="s">
        <v>15</v>
      </c>
      <c r="C10" s="5">
        <f>'[1]Summary (MIS)'!B27-'[1]Summary (MIS)'!C27</f>
        <v>5.6178969380065087E-5</v>
      </c>
      <c r="D10" s="1"/>
      <c r="E10" s="1"/>
      <c r="F10" s="6">
        <f>'[1]ytd rmpm working'!L4*C10*10000000</f>
        <v>1081.2154222888703</v>
      </c>
      <c r="G10" s="2"/>
      <c r="H10" s="11">
        <f>'[1]Summary (MIS)'!D27-'[1]Summary (MIS)'!E27</f>
        <v>1.9596800508471968E-4</v>
      </c>
      <c r="I10" s="7">
        <f>'[1]ytd rmpm working'!N4*100</f>
        <v>2500.9332489000008</v>
      </c>
      <c r="J10" s="9">
        <f>I10*H10</f>
        <v>0.49010289963697984</v>
      </c>
      <c r="K10" s="8">
        <f>'[1]Summary (MIS)'!D27-'[1]Summary (MIS)'!E27</f>
        <v>1.9596800508471968E-4</v>
      </c>
      <c r="L10" s="7">
        <f>K10*'[1]ytd rmpm working'!N4*10000000</f>
        <v>49010.289963697986</v>
      </c>
      <c r="M10" s="9">
        <f>L10/100000</f>
        <v>0.49010289963697984</v>
      </c>
    </row>
    <row r="11" spans="2:13" x14ac:dyDescent="0.25">
      <c r="B11" s="2" t="s">
        <v>16</v>
      </c>
      <c r="C11" s="1"/>
      <c r="D11" s="1"/>
      <c r="E11" s="1"/>
      <c r="F11" s="6"/>
      <c r="G11" s="2"/>
      <c r="H11" s="2"/>
      <c r="I11" s="2"/>
      <c r="J11" s="12"/>
      <c r="K11" s="2"/>
      <c r="L11" s="2"/>
      <c r="M11" s="12"/>
    </row>
    <row r="12" spans="2:13" x14ac:dyDescent="0.25">
      <c r="I12" s="15">
        <f>SUM(I3:I11)</f>
        <v>19792610.901419181</v>
      </c>
    </row>
    <row r="15" spans="2:13" x14ac:dyDescent="0.25">
      <c r="B15" s="16" t="s">
        <v>30</v>
      </c>
      <c r="C15" s="16" t="s">
        <v>29</v>
      </c>
    </row>
    <row r="24" spans="2:9" x14ac:dyDescent="0.25">
      <c r="H24">
        <v>65000</v>
      </c>
      <c r="I24">
        <f>H24*80%</f>
        <v>52000</v>
      </c>
    </row>
    <row r="25" spans="2:9" ht="3.75" customHeight="1" x14ac:dyDescent="0.25"/>
    <row r="26" spans="2:9" ht="22.5" customHeight="1" x14ac:dyDescent="0.25">
      <c r="B26" s="13" t="s">
        <v>17</v>
      </c>
    </row>
    <row r="27" spans="2:9" x14ac:dyDescent="0.25">
      <c r="B27" s="13"/>
    </row>
    <row r="28" spans="2:9" x14ac:dyDescent="0.25">
      <c r="B28" s="13" t="s">
        <v>18</v>
      </c>
    </row>
    <row r="29" spans="2:9" x14ac:dyDescent="0.25">
      <c r="B29" s="13"/>
    </row>
    <row r="30" spans="2:9" x14ac:dyDescent="0.25">
      <c r="B30" s="13" t="s">
        <v>19</v>
      </c>
    </row>
    <row r="31" spans="2:9" x14ac:dyDescent="0.25">
      <c r="B31" s="13" t="s">
        <v>20</v>
      </c>
    </row>
    <row r="32" spans="2:9" x14ac:dyDescent="0.25">
      <c r="B32" s="13" t="s">
        <v>21</v>
      </c>
    </row>
    <row r="33" spans="2:4" x14ac:dyDescent="0.25">
      <c r="B33" s="13"/>
    </row>
    <row r="34" spans="2:4" x14ac:dyDescent="0.25">
      <c r="B34" s="13" t="s">
        <v>22</v>
      </c>
    </row>
    <row r="35" spans="2:4" x14ac:dyDescent="0.25">
      <c r="B35" s="13"/>
    </row>
    <row r="36" spans="2:4" x14ac:dyDescent="0.25">
      <c r="B36" s="13" t="s">
        <v>23</v>
      </c>
    </row>
    <row r="37" spans="2:4" x14ac:dyDescent="0.25">
      <c r="B37" s="13"/>
    </row>
    <row r="38" spans="2:4" x14ac:dyDescent="0.25">
      <c r="B38" s="13" t="s">
        <v>24</v>
      </c>
    </row>
    <row r="42" spans="2:4" x14ac:dyDescent="0.25">
      <c r="B42" s="14"/>
      <c r="C42">
        <v>1000</v>
      </c>
      <c r="D42">
        <v>65000</v>
      </c>
    </row>
    <row r="43" spans="2:4" x14ac:dyDescent="0.25">
      <c r="B43" t="s">
        <v>25</v>
      </c>
      <c r="C43">
        <v>650</v>
      </c>
    </row>
    <row r="44" spans="2:4" x14ac:dyDescent="0.25">
      <c r="B44" t="s">
        <v>26</v>
      </c>
      <c r="C44">
        <f>C42-C43</f>
        <v>350</v>
      </c>
      <c r="D44">
        <f>C44*65</f>
        <v>22750</v>
      </c>
    </row>
    <row r="45" spans="2:4" x14ac:dyDescent="0.25">
      <c r="B45" t="s">
        <v>27</v>
      </c>
      <c r="D45">
        <f>C44*18</f>
        <v>6300</v>
      </c>
    </row>
    <row r="46" spans="2:4" x14ac:dyDescent="0.25">
      <c r="D46">
        <f>D44-D45</f>
        <v>16450</v>
      </c>
    </row>
    <row r="47" spans="2:4" x14ac:dyDescent="0.25">
      <c r="B47" t="s">
        <v>28</v>
      </c>
      <c r="D47">
        <v>1500</v>
      </c>
    </row>
    <row r="48" spans="2:4" x14ac:dyDescent="0.25">
      <c r="D48">
        <f>D46+D47</f>
        <v>17950</v>
      </c>
    </row>
    <row r="54" spans="3:8" x14ac:dyDescent="0.25">
      <c r="D54">
        <v>65</v>
      </c>
      <c r="E54">
        <v>35</v>
      </c>
    </row>
    <row r="55" spans="3:8" x14ac:dyDescent="0.25">
      <c r="C55">
        <v>60000</v>
      </c>
      <c r="D55">
        <f>C55*65%</f>
        <v>39000</v>
      </c>
      <c r="E55">
        <f>C55-D55</f>
        <v>21000</v>
      </c>
      <c r="F55">
        <v>2000</v>
      </c>
    </row>
    <row r="56" spans="3:8" x14ac:dyDescent="0.25">
      <c r="D56">
        <v>1</v>
      </c>
    </row>
    <row r="57" spans="3:8" x14ac:dyDescent="0.25">
      <c r="D57">
        <v>650</v>
      </c>
      <c r="E57">
        <v>350</v>
      </c>
      <c r="F57">
        <f>65-18</f>
        <v>47</v>
      </c>
      <c r="G57">
        <f>E57*F57</f>
        <v>16450</v>
      </c>
      <c r="H57">
        <f>G57+1500</f>
        <v>17950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2017-04-11T08:14:43Z</dcterms:modified>
</cp:coreProperties>
</file>