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30" windowWidth="15120" windowHeight="7455" tabRatio="906"/>
  </bookViews>
  <sheets>
    <sheet name="FY 2016-17" sheetId="26" r:id="rId1"/>
    <sheet name="FY 2015-16" sheetId="4" state="hidden" r:id="rId2"/>
    <sheet name="OTIF" sheetId="27" r:id="rId3"/>
    <sheet name="Total Inventory" sheetId="6" r:id="rId4"/>
    <sheet name="SMOG-60" sheetId="19" r:id="rId5"/>
    <sheet name="SMOG-90" sheetId="15" r:id="rId6"/>
    <sheet name="SMOG-180" sheetId="14" r:id="rId7"/>
    <sheet name="SMOG-360" sheetId="28" r:id="rId8"/>
    <sheet name="RM-PM_DIOH_60" sheetId="20" r:id="rId9"/>
    <sheet name="RM-PM_DIOH_90" sheetId="21" r:id="rId10"/>
    <sheet name="Inventoy-DIOH" sheetId="17" r:id="rId11"/>
    <sheet name="CoGS data" sheetId="16" state="hidden" r:id="rId12"/>
    <sheet name="Plan cancellation summary" sheetId="23" state="hidden" r:id="rId13"/>
    <sheet name="Plan Cancellation data" sheetId="22" state="hidden" r:id="rId14"/>
    <sheet name="CCC" sheetId="24" state="hidden" r:id="rId15"/>
    <sheet name="Inventory Slides" sheetId="11" state="hidden" r:id="rId16"/>
    <sheet name="RM_PM DIOH" sheetId="25" state="hidden" r:id="rId17"/>
  </sheets>
  <calcPr calcId="145621"/>
  <pivotCaches>
    <pivotCache cacheId="3" r:id="rId18"/>
  </pivotCaches>
</workbook>
</file>

<file path=xl/calcChain.xml><?xml version="1.0" encoding="utf-8"?>
<calcChain xmlns="http://schemas.openxmlformats.org/spreadsheetml/2006/main">
  <c r="V5" i="26" l="1"/>
  <c r="P14" i="27" l="1"/>
  <c r="V6" i="26" l="1"/>
  <c r="V4" i="26"/>
  <c r="V3" i="26"/>
  <c r="V2" i="26"/>
  <c r="P12" i="27"/>
  <c r="I14" i="17" l="1"/>
  <c r="H14" i="17"/>
  <c r="G14" i="17"/>
  <c r="D30" i="17"/>
  <c r="E30" i="17" s="1"/>
  <c r="J14" i="17" s="1"/>
  <c r="H27" i="28"/>
  <c r="T27" i="14"/>
  <c r="S27" i="14"/>
  <c r="R27" i="14"/>
  <c r="Q27" i="14"/>
  <c r="P27" i="14"/>
  <c r="O27" i="14"/>
  <c r="N27" i="14"/>
  <c r="M27" i="14"/>
  <c r="L27" i="14"/>
  <c r="H27" i="14"/>
  <c r="U27" i="14" s="1"/>
  <c r="X28" i="15"/>
  <c r="W28" i="15"/>
  <c r="V28" i="15"/>
  <c r="U28" i="15"/>
  <c r="R28" i="15"/>
  <c r="Q28" i="15"/>
  <c r="P28" i="15"/>
  <c r="M28" i="15"/>
  <c r="J28" i="15"/>
  <c r="G28" i="15"/>
  <c r="D28" i="15"/>
  <c r="R28" i="19"/>
  <c r="Q28" i="19"/>
  <c r="P28" i="19"/>
  <c r="M28" i="19"/>
  <c r="J28" i="19"/>
  <c r="G28" i="19"/>
  <c r="D28" i="19"/>
  <c r="K28" i="6"/>
  <c r="B28" i="6"/>
  <c r="L20" i="27"/>
  <c r="M20" i="27"/>
  <c r="N20" i="27"/>
  <c r="O20" i="27"/>
  <c r="O17" i="27"/>
  <c r="O16" i="27"/>
  <c r="O15" i="27"/>
  <c r="O14" i="27"/>
  <c r="O13" i="27"/>
  <c r="O12" i="27"/>
  <c r="S28" i="15" l="1"/>
  <c r="S28" i="19"/>
  <c r="X27" i="15" l="1"/>
  <c r="W27" i="15"/>
  <c r="K21" i="28"/>
  <c r="K18" i="28"/>
  <c r="H15" i="25" l="1"/>
  <c r="G15" i="25"/>
  <c r="F15" i="25"/>
  <c r="D15" i="25"/>
  <c r="C15" i="25"/>
  <c r="B15" i="25"/>
  <c r="A11" i="11"/>
  <c r="A10" i="11"/>
  <c r="A9" i="11"/>
  <c r="A8" i="11"/>
  <c r="A7" i="11"/>
  <c r="A6" i="11"/>
  <c r="A5" i="11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T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T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U12" i="24"/>
  <c r="T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T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V9" i="24"/>
  <c r="U9" i="24"/>
  <c r="V8" i="24"/>
  <c r="U8" i="24"/>
  <c r="Z7" i="24"/>
  <c r="Y7" i="24"/>
  <c r="X7" i="24"/>
  <c r="W7" i="24"/>
  <c r="U7" i="24"/>
  <c r="X6" i="24"/>
  <c r="W6" i="24"/>
  <c r="V6" i="24"/>
  <c r="U6" i="24"/>
  <c r="V5" i="24"/>
  <c r="U5" i="24"/>
  <c r="L2" i="24"/>
  <c r="Q611" i="22"/>
  <c r="P611" i="22"/>
  <c r="O611" i="22"/>
  <c r="N611" i="22"/>
  <c r="Q610" i="22"/>
  <c r="P610" i="22"/>
  <c r="O610" i="22"/>
  <c r="N610" i="22"/>
  <c r="Q609" i="22"/>
  <c r="P609" i="22"/>
  <c r="O609" i="22"/>
  <c r="N609" i="22"/>
  <c r="Q608" i="22"/>
  <c r="P608" i="22"/>
  <c r="O608" i="22"/>
  <c r="N608" i="22"/>
  <c r="Q607" i="22"/>
  <c r="P607" i="22"/>
  <c r="O607" i="22"/>
  <c r="N607" i="22"/>
  <c r="Q606" i="22"/>
  <c r="P606" i="22"/>
  <c r="O606" i="22"/>
  <c r="N606" i="22"/>
  <c r="Q605" i="22"/>
  <c r="P605" i="22"/>
  <c r="O605" i="22"/>
  <c r="N605" i="22"/>
  <c r="Q604" i="22"/>
  <c r="P604" i="22"/>
  <c r="O604" i="22"/>
  <c r="N604" i="22"/>
  <c r="Q603" i="22"/>
  <c r="P603" i="22"/>
  <c r="O603" i="22"/>
  <c r="N603" i="22"/>
  <c r="Q602" i="22"/>
  <c r="P602" i="22"/>
  <c r="O602" i="22"/>
  <c r="N602" i="22"/>
  <c r="Q601" i="22"/>
  <c r="P601" i="22"/>
  <c r="O601" i="22"/>
  <c r="N601" i="22"/>
  <c r="Q600" i="22"/>
  <c r="P600" i="22"/>
  <c r="O600" i="22"/>
  <c r="N600" i="22"/>
  <c r="Q599" i="22"/>
  <c r="P599" i="22"/>
  <c r="O599" i="22"/>
  <c r="N599" i="22"/>
  <c r="Q598" i="22"/>
  <c r="P598" i="22"/>
  <c r="O598" i="22"/>
  <c r="N598" i="22"/>
  <c r="Q597" i="22"/>
  <c r="P597" i="22"/>
  <c r="O597" i="22"/>
  <c r="N597" i="22"/>
  <c r="Q596" i="22"/>
  <c r="P596" i="22"/>
  <c r="O596" i="22"/>
  <c r="N596" i="22"/>
  <c r="Q595" i="22"/>
  <c r="P595" i="22"/>
  <c r="O595" i="22"/>
  <c r="N595" i="22"/>
  <c r="Q594" i="22"/>
  <c r="P594" i="22"/>
  <c r="O594" i="22"/>
  <c r="N594" i="22"/>
  <c r="Q593" i="22"/>
  <c r="P593" i="22"/>
  <c r="O593" i="22"/>
  <c r="N593" i="22"/>
  <c r="Q592" i="22"/>
  <c r="P592" i="22"/>
  <c r="O592" i="22"/>
  <c r="N592" i="22"/>
  <c r="Q591" i="22"/>
  <c r="P591" i="22"/>
  <c r="O591" i="22"/>
  <c r="N591" i="22"/>
  <c r="Q590" i="22"/>
  <c r="P590" i="22"/>
  <c r="O590" i="22"/>
  <c r="N590" i="22"/>
  <c r="Q589" i="22"/>
  <c r="P589" i="22"/>
  <c r="O589" i="22"/>
  <c r="N589" i="22"/>
  <c r="Q588" i="22"/>
  <c r="P588" i="22"/>
  <c r="O588" i="22"/>
  <c r="N588" i="22"/>
  <c r="Q587" i="22"/>
  <c r="P587" i="22"/>
  <c r="O587" i="22"/>
  <c r="N587" i="22"/>
  <c r="Q586" i="22"/>
  <c r="P586" i="22"/>
  <c r="O586" i="22"/>
  <c r="N586" i="22"/>
  <c r="Q585" i="22"/>
  <c r="P585" i="22"/>
  <c r="O585" i="22"/>
  <c r="N585" i="22"/>
  <c r="Q584" i="22"/>
  <c r="P584" i="22"/>
  <c r="O584" i="22"/>
  <c r="N584" i="22"/>
  <c r="Q583" i="22"/>
  <c r="P583" i="22"/>
  <c r="O583" i="22"/>
  <c r="N583" i="22"/>
  <c r="Q582" i="22"/>
  <c r="P582" i="22"/>
  <c r="O582" i="22"/>
  <c r="N582" i="22"/>
  <c r="Q581" i="22"/>
  <c r="P581" i="22"/>
  <c r="O581" i="22"/>
  <c r="N581" i="22"/>
  <c r="Q580" i="22"/>
  <c r="P580" i="22"/>
  <c r="O580" i="22"/>
  <c r="N580" i="22"/>
  <c r="Q579" i="22"/>
  <c r="P579" i="22"/>
  <c r="O579" i="22"/>
  <c r="N579" i="22"/>
  <c r="Q578" i="22"/>
  <c r="P578" i="22"/>
  <c r="O578" i="22"/>
  <c r="N578" i="22"/>
  <c r="Q577" i="22"/>
  <c r="P577" i="22"/>
  <c r="O577" i="22"/>
  <c r="N577" i="22"/>
  <c r="Q576" i="22"/>
  <c r="P576" i="22"/>
  <c r="O576" i="22"/>
  <c r="N576" i="22"/>
  <c r="Q575" i="22"/>
  <c r="P575" i="22"/>
  <c r="O575" i="22"/>
  <c r="N575" i="22"/>
  <c r="Q574" i="22"/>
  <c r="P574" i="22"/>
  <c r="O574" i="22"/>
  <c r="N574" i="22"/>
  <c r="Q573" i="22"/>
  <c r="P573" i="22"/>
  <c r="O573" i="22"/>
  <c r="N573" i="22"/>
  <c r="Q572" i="22"/>
  <c r="P572" i="22"/>
  <c r="O572" i="22"/>
  <c r="N572" i="22"/>
  <c r="Q571" i="22"/>
  <c r="P571" i="22"/>
  <c r="O571" i="22"/>
  <c r="N571" i="22"/>
  <c r="Q570" i="22"/>
  <c r="P570" i="22"/>
  <c r="O570" i="22"/>
  <c r="N570" i="22"/>
  <c r="Q569" i="22"/>
  <c r="P569" i="22"/>
  <c r="O569" i="22"/>
  <c r="N569" i="22"/>
  <c r="Q568" i="22"/>
  <c r="P568" i="22"/>
  <c r="O568" i="22"/>
  <c r="N568" i="22"/>
  <c r="Q567" i="22"/>
  <c r="P567" i="22"/>
  <c r="O567" i="22"/>
  <c r="N567" i="22"/>
  <c r="Q566" i="22"/>
  <c r="P566" i="22"/>
  <c r="O566" i="22"/>
  <c r="N566" i="22"/>
  <c r="Q565" i="22"/>
  <c r="P565" i="22"/>
  <c r="O565" i="22"/>
  <c r="N565" i="22"/>
  <c r="Q564" i="22"/>
  <c r="P564" i="22"/>
  <c r="O564" i="22"/>
  <c r="N564" i="22"/>
  <c r="Q563" i="22"/>
  <c r="P563" i="22"/>
  <c r="O563" i="22"/>
  <c r="N563" i="22"/>
  <c r="Q562" i="22"/>
  <c r="P562" i="22"/>
  <c r="O562" i="22"/>
  <c r="N562" i="22"/>
  <c r="Q561" i="22"/>
  <c r="P561" i="22"/>
  <c r="O561" i="22"/>
  <c r="N561" i="22"/>
  <c r="E561" i="22"/>
  <c r="Q560" i="22"/>
  <c r="P560" i="22"/>
  <c r="O560" i="22"/>
  <c r="N560" i="22"/>
  <c r="E560" i="22"/>
  <c r="Q559" i="22"/>
  <c r="P559" i="22"/>
  <c r="O559" i="22"/>
  <c r="N559" i="22"/>
  <c r="E559" i="22"/>
  <c r="Q558" i="22"/>
  <c r="P558" i="22"/>
  <c r="O558" i="22"/>
  <c r="N558" i="22"/>
  <c r="E558" i="22"/>
  <c r="Q557" i="22"/>
  <c r="P557" i="22"/>
  <c r="O557" i="22"/>
  <c r="N557" i="22"/>
  <c r="E557" i="22"/>
  <c r="Q556" i="22"/>
  <c r="P556" i="22"/>
  <c r="O556" i="22"/>
  <c r="N556" i="22"/>
  <c r="E556" i="22"/>
  <c r="Q555" i="22"/>
  <c r="P555" i="22"/>
  <c r="O555" i="22"/>
  <c r="N555" i="22"/>
  <c r="E555" i="22"/>
  <c r="Q554" i="22"/>
  <c r="P554" i="22"/>
  <c r="O554" i="22"/>
  <c r="N554" i="22"/>
  <c r="Q553" i="22"/>
  <c r="P553" i="22"/>
  <c r="O553" i="22"/>
  <c r="N553" i="22"/>
  <c r="Q552" i="22"/>
  <c r="P552" i="22"/>
  <c r="O552" i="22"/>
  <c r="N552" i="22"/>
  <c r="Q551" i="22"/>
  <c r="P551" i="22"/>
  <c r="O551" i="22"/>
  <c r="N551" i="22"/>
  <c r="Q550" i="22"/>
  <c r="P550" i="22"/>
  <c r="O550" i="22"/>
  <c r="N550" i="22"/>
  <c r="Q549" i="22"/>
  <c r="P549" i="22"/>
  <c r="O549" i="22"/>
  <c r="N549" i="22"/>
  <c r="Q548" i="22"/>
  <c r="P548" i="22"/>
  <c r="O548" i="22"/>
  <c r="N548" i="22"/>
  <c r="Q547" i="22"/>
  <c r="P547" i="22"/>
  <c r="O547" i="22"/>
  <c r="N547" i="22"/>
  <c r="Q546" i="22"/>
  <c r="P546" i="22"/>
  <c r="O546" i="22"/>
  <c r="N546" i="22"/>
  <c r="Q545" i="22"/>
  <c r="P545" i="22"/>
  <c r="O545" i="22"/>
  <c r="N545" i="22"/>
  <c r="Q544" i="22"/>
  <c r="P544" i="22"/>
  <c r="O544" i="22"/>
  <c r="N544" i="22"/>
  <c r="Q543" i="22"/>
  <c r="P543" i="22"/>
  <c r="O543" i="22"/>
  <c r="N543" i="22"/>
  <c r="Q542" i="22"/>
  <c r="P542" i="22"/>
  <c r="O542" i="22"/>
  <c r="N542" i="22"/>
  <c r="Q541" i="22"/>
  <c r="P541" i="22"/>
  <c r="O541" i="22"/>
  <c r="N541" i="22"/>
  <c r="Q540" i="22"/>
  <c r="P540" i="22"/>
  <c r="O540" i="22"/>
  <c r="N540" i="22"/>
  <c r="Q539" i="22"/>
  <c r="P539" i="22"/>
  <c r="O539" i="22"/>
  <c r="N539" i="22"/>
  <c r="Q538" i="22"/>
  <c r="P538" i="22"/>
  <c r="O538" i="22"/>
  <c r="N538" i="22"/>
  <c r="Q537" i="22"/>
  <c r="P537" i="22"/>
  <c r="O537" i="22"/>
  <c r="N537" i="22"/>
  <c r="Q536" i="22"/>
  <c r="P536" i="22"/>
  <c r="O536" i="22"/>
  <c r="N536" i="22"/>
  <c r="Q535" i="22"/>
  <c r="P535" i="22"/>
  <c r="O535" i="22"/>
  <c r="N535" i="22"/>
  <c r="Q534" i="22"/>
  <c r="P534" i="22"/>
  <c r="O534" i="22"/>
  <c r="N534" i="22"/>
  <c r="Q533" i="22"/>
  <c r="P533" i="22"/>
  <c r="O533" i="22"/>
  <c r="N533" i="22"/>
  <c r="Q532" i="22"/>
  <c r="P532" i="22"/>
  <c r="O532" i="22"/>
  <c r="N532" i="22"/>
  <c r="Q531" i="22"/>
  <c r="P531" i="22"/>
  <c r="O531" i="22"/>
  <c r="N531" i="22"/>
  <c r="Q530" i="22"/>
  <c r="P530" i="22"/>
  <c r="O530" i="22"/>
  <c r="N530" i="22"/>
  <c r="Q529" i="22"/>
  <c r="P529" i="22"/>
  <c r="O529" i="22"/>
  <c r="N529" i="22"/>
  <c r="Q528" i="22"/>
  <c r="P528" i="22"/>
  <c r="O528" i="22"/>
  <c r="N528" i="22"/>
  <c r="Q527" i="22"/>
  <c r="P527" i="22"/>
  <c r="O527" i="22"/>
  <c r="N527" i="22"/>
  <c r="Q526" i="22"/>
  <c r="P526" i="22"/>
  <c r="O526" i="22"/>
  <c r="N526" i="22"/>
  <c r="Q525" i="22"/>
  <c r="P525" i="22"/>
  <c r="O525" i="22"/>
  <c r="N525" i="22"/>
  <c r="Q524" i="22"/>
  <c r="P524" i="22"/>
  <c r="O524" i="22"/>
  <c r="N524" i="22"/>
  <c r="Q523" i="22"/>
  <c r="P523" i="22"/>
  <c r="O523" i="22"/>
  <c r="N523" i="22"/>
  <c r="Q522" i="22"/>
  <c r="P522" i="22"/>
  <c r="O522" i="22"/>
  <c r="N522" i="22"/>
  <c r="Q521" i="22"/>
  <c r="P521" i="22"/>
  <c r="O521" i="22"/>
  <c r="N521" i="22"/>
  <c r="Q520" i="22"/>
  <c r="P520" i="22"/>
  <c r="O520" i="22"/>
  <c r="N520" i="22"/>
  <c r="Q519" i="22"/>
  <c r="P519" i="22"/>
  <c r="O519" i="22"/>
  <c r="N519" i="22"/>
  <c r="Q518" i="22"/>
  <c r="P518" i="22"/>
  <c r="O518" i="22"/>
  <c r="N518" i="22"/>
  <c r="Q517" i="22"/>
  <c r="P517" i="22"/>
  <c r="O517" i="22"/>
  <c r="N517" i="22"/>
  <c r="Q516" i="22"/>
  <c r="P516" i="22"/>
  <c r="O516" i="22"/>
  <c r="N516" i="22"/>
  <c r="Q515" i="22"/>
  <c r="P515" i="22"/>
  <c r="O515" i="22"/>
  <c r="N515" i="22"/>
  <c r="Q514" i="22"/>
  <c r="P514" i="22"/>
  <c r="O514" i="22"/>
  <c r="N514" i="22"/>
  <c r="Q513" i="22"/>
  <c r="P513" i="22"/>
  <c r="O513" i="22"/>
  <c r="N513" i="22"/>
  <c r="Q512" i="22"/>
  <c r="P512" i="22"/>
  <c r="O512" i="22"/>
  <c r="N512" i="22"/>
  <c r="Q511" i="22"/>
  <c r="P511" i="22"/>
  <c r="O511" i="22"/>
  <c r="N511" i="22"/>
  <c r="Q510" i="22"/>
  <c r="P510" i="22"/>
  <c r="O510" i="22"/>
  <c r="N510" i="22"/>
  <c r="Q509" i="22"/>
  <c r="P509" i="22"/>
  <c r="O509" i="22"/>
  <c r="N509" i="22"/>
  <c r="Q508" i="22"/>
  <c r="P508" i="22"/>
  <c r="O508" i="22"/>
  <c r="N508" i="22"/>
  <c r="Q507" i="22"/>
  <c r="P507" i="22"/>
  <c r="O507" i="22"/>
  <c r="N507" i="22"/>
  <c r="Q506" i="22"/>
  <c r="P506" i="22"/>
  <c r="O506" i="22"/>
  <c r="N506" i="22"/>
  <c r="Q505" i="22"/>
  <c r="P505" i="22"/>
  <c r="O505" i="22"/>
  <c r="N505" i="22"/>
  <c r="Q504" i="22"/>
  <c r="P504" i="22"/>
  <c r="O504" i="22"/>
  <c r="N504" i="22"/>
  <c r="Q503" i="22"/>
  <c r="P503" i="22"/>
  <c r="O503" i="22"/>
  <c r="N503" i="22"/>
  <c r="Q502" i="22"/>
  <c r="P502" i="22"/>
  <c r="O502" i="22"/>
  <c r="N502" i="22"/>
  <c r="Q501" i="22"/>
  <c r="P501" i="22"/>
  <c r="O501" i="22"/>
  <c r="N501" i="22"/>
  <c r="Q500" i="22"/>
  <c r="P500" i="22"/>
  <c r="O500" i="22"/>
  <c r="N500" i="22"/>
  <c r="Q499" i="22"/>
  <c r="P499" i="22"/>
  <c r="O499" i="22"/>
  <c r="N499" i="22"/>
  <c r="Q498" i="22"/>
  <c r="P498" i="22"/>
  <c r="O498" i="22"/>
  <c r="N498" i="22"/>
  <c r="Q497" i="22"/>
  <c r="P497" i="22"/>
  <c r="O497" i="22"/>
  <c r="N497" i="22"/>
  <c r="Q496" i="22"/>
  <c r="P496" i="22"/>
  <c r="O496" i="22"/>
  <c r="N496" i="22"/>
  <c r="Q495" i="22"/>
  <c r="P495" i="22"/>
  <c r="O495" i="22"/>
  <c r="N495" i="22"/>
  <c r="Q494" i="22"/>
  <c r="P494" i="22"/>
  <c r="O494" i="22"/>
  <c r="N494" i="22"/>
  <c r="Q493" i="22"/>
  <c r="P493" i="22"/>
  <c r="O493" i="22"/>
  <c r="N493" i="22"/>
  <c r="Q492" i="22"/>
  <c r="P492" i="22"/>
  <c r="O492" i="22"/>
  <c r="N492" i="22"/>
  <c r="Q491" i="22"/>
  <c r="P491" i="22"/>
  <c r="O491" i="22"/>
  <c r="N491" i="22"/>
  <c r="Q490" i="22"/>
  <c r="P490" i="22"/>
  <c r="O490" i="22"/>
  <c r="N490" i="22"/>
  <c r="Q489" i="22"/>
  <c r="P489" i="22"/>
  <c r="O489" i="22"/>
  <c r="N489" i="22"/>
  <c r="Q488" i="22"/>
  <c r="P488" i="22"/>
  <c r="O488" i="22"/>
  <c r="N488" i="22"/>
  <c r="Q487" i="22"/>
  <c r="P487" i="22"/>
  <c r="O487" i="22"/>
  <c r="N487" i="22"/>
  <c r="Q486" i="22"/>
  <c r="P486" i="22"/>
  <c r="O486" i="22"/>
  <c r="N486" i="22"/>
  <c r="Q485" i="22"/>
  <c r="P485" i="22"/>
  <c r="O485" i="22"/>
  <c r="N485" i="22"/>
  <c r="Q484" i="22"/>
  <c r="P484" i="22"/>
  <c r="O484" i="22"/>
  <c r="N484" i="22"/>
  <c r="Q483" i="22"/>
  <c r="P483" i="22"/>
  <c r="O483" i="22"/>
  <c r="N483" i="22"/>
  <c r="Q482" i="22"/>
  <c r="P482" i="22"/>
  <c r="O482" i="22"/>
  <c r="N482" i="22"/>
  <c r="Q481" i="22"/>
  <c r="P481" i="22"/>
  <c r="O481" i="22"/>
  <c r="N481" i="22"/>
  <c r="Q480" i="22"/>
  <c r="P480" i="22"/>
  <c r="O480" i="22"/>
  <c r="N480" i="22"/>
  <c r="Q479" i="22"/>
  <c r="P479" i="22"/>
  <c r="O479" i="22"/>
  <c r="N479" i="22"/>
  <c r="Q478" i="22"/>
  <c r="P478" i="22"/>
  <c r="O478" i="22"/>
  <c r="N478" i="22"/>
  <c r="Q477" i="22"/>
  <c r="P477" i="22"/>
  <c r="O477" i="22"/>
  <c r="N477" i="22"/>
  <c r="Q476" i="22"/>
  <c r="P476" i="22"/>
  <c r="O476" i="22"/>
  <c r="N476" i="22"/>
  <c r="Q475" i="22"/>
  <c r="P475" i="22"/>
  <c r="O475" i="22"/>
  <c r="N475" i="22"/>
  <c r="Q474" i="22"/>
  <c r="P474" i="22"/>
  <c r="O474" i="22"/>
  <c r="N474" i="22"/>
  <c r="Q473" i="22"/>
  <c r="P473" i="22"/>
  <c r="O473" i="22"/>
  <c r="N473" i="22"/>
  <c r="Q472" i="22"/>
  <c r="P472" i="22"/>
  <c r="O472" i="22"/>
  <c r="N472" i="22"/>
  <c r="Q471" i="22"/>
  <c r="P471" i="22"/>
  <c r="O471" i="22"/>
  <c r="N471" i="22"/>
  <c r="Q470" i="22"/>
  <c r="P470" i="22"/>
  <c r="O470" i="22"/>
  <c r="N470" i="22"/>
  <c r="Q469" i="22"/>
  <c r="P469" i="22"/>
  <c r="O469" i="22"/>
  <c r="N469" i="22"/>
  <c r="Q468" i="22"/>
  <c r="P468" i="22"/>
  <c r="O468" i="22"/>
  <c r="N468" i="22"/>
  <c r="Q467" i="22"/>
  <c r="P467" i="22"/>
  <c r="O467" i="22"/>
  <c r="N467" i="22"/>
  <c r="Q466" i="22"/>
  <c r="P466" i="22"/>
  <c r="O466" i="22"/>
  <c r="N466" i="22"/>
  <c r="Q465" i="22"/>
  <c r="P465" i="22"/>
  <c r="O465" i="22"/>
  <c r="N465" i="22"/>
  <c r="Q464" i="22"/>
  <c r="P464" i="22"/>
  <c r="O464" i="22"/>
  <c r="N464" i="22"/>
  <c r="Q463" i="22"/>
  <c r="P463" i="22"/>
  <c r="O463" i="22"/>
  <c r="N463" i="22"/>
  <c r="Q462" i="22"/>
  <c r="P462" i="22"/>
  <c r="O462" i="22"/>
  <c r="N462" i="22"/>
  <c r="Q461" i="22"/>
  <c r="P461" i="22"/>
  <c r="O461" i="22"/>
  <c r="N461" i="22"/>
  <c r="Q460" i="22"/>
  <c r="P460" i="22"/>
  <c r="O460" i="22"/>
  <c r="N460" i="22"/>
  <c r="Q459" i="22"/>
  <c r="P459" i="22"/>
  <c r="O459" i="22"/>
  <c r="N459" i="22"/>
  <c r="Q458" i="22"/>
  <c r="P458" i="22"/>
  <c r="O458" i="22"/>
  <c r="N458" i="22"/>
  <c r="Q457" i="22"/>
  <c r="P457" i="22"/>
  <c r="O457" i="22"/>
  <c r="N457" i="22"/>
  <c r="Q456" i="22"/>
  <c r="P456" i="22"/>
  <c r="O456" i="22"/>
  <c r="N456" i="22"/>
  <c r="Q455" i="22"/>
  <c r="P455" i="22"/>
  <c r="O455" i="22"/>
  <c r="N455" i="22"/>
  <c r="Q454" i="22"/>
  <c r="P454" i="22"/>
  <c r="O454" i="22"/>
  <c r="N454" i="22"/>
  <c r="Q453" i="22"/>
  <c r="P453" i="22"/>
  <c r="O453" i="22"/>
  <c r="N453" i="22"/>
  <c r="Q452" i="22"/>
  <c r="P452" i="22"/>
  <c r="O452" i="22"/>
  <c r="N452" i="22"/>
  <c r="Q451" i="22"/>
  <c r="P451" i="22"/>
  <c r="O451" i="22"/>
  <c r="N451" i="22"/>
  <c r="Q450" i="22"/>
  <c r="P450" i="22"/>
  <c r="O450" i="22"/>
  <c r="N450" i="22"/>
  <c r="Q449" i="22"/>
  <c r="P449" i="22"/>
  <c r="O449" i="22"/>
  <c r="N449" i="22"/>
  <c r="Q448" i="22"/>
  <c r="P448" i="22"/>
  <c r="O448" i="22"/>
  <c r="N448" i="22"/>
  <c r="Q447" i="22"/>
  <c r="P447" i="22"/>
  <c r="O447" i="22"/>
  <c r="N447" i="22"/>
  <c r="Q446" i="22"/>
  <c r="P446" i="22"/>
  <c r="O446" i="22"/>
  <c r="N446" i="22"/>
  <c r="Q445" i="22"/>
  <c r="P445" i="22"/>
  <c r="O445" i="22"/>
  <c r="N445" i="22"/>
  <c r="Q444" i="22"/>
  <c r="P444" i="22"/>
  <c r="O444" i="22"/>
  <c r="N444" i="22"/>
  <c r="Q443" i="22"/>
  <c r="P443" i="22"/>
  <c r="O443" i="22"/>
  <c r="N443" i="22"/>
  <c r="Q442" i="22"/>
  <c r="P442" i="22"/>
  <c r="O442" i="22"/>
  <c r="N442" i="22"/>
  <c r="Q441" i="22"/>
  <c r="P441" i="22"/>
  <c r="O441" i="22"/>
  <c r="N441" i="22"/>
  <c r="Q440" i="22"/>
  <c r="P440" i="22"/>
  <c r="O440" i="22"/>
  <c r="N440" i="22"/>
  <c r="Q439" i="22"/>
  <c r="P439" i="22"/>
  <c r="O439" i="22"/>
  <c r="N439" i="22"/>
  <c r="Q438" i="22"/>
  <c r="P438" i="22"/>
  <c r="O438" i="22"/>
  <c r="N438" i="22"/>
  <c r="Q437" i="22"/>
  <c r="P437" i="22"/>
  <c r="O437" i="22"/>
  <c r="N437" i="22"/>
  <c r="Q436" i="22"/>
  <c r="P436" i="22"/>
  <c r="O436" i="22"/>
  <c r="N436" i="22"/>
  <c r="Q435" i="22"/>
  <c r="P435" i="22"/>
  <c r="O435" i="22"/>
  <c r="N435" i="22"/>
  <c r="Q434" i="22"/>
  <c r="P434" i="22"/>
  <c r="O434" i="22"/>
  <c r="N434" i="22"/>
  <c r="Q433" i="22"/>
  <c r="P433" i="22"/>
  <c r="O433" i="22"/>
  <c r="N433" i="22"/>
  <c r="Q432" i="22"/>
  <c r="P432" i="22"/>
  <c r="O432" i="22"/>
  <c r="N432" i="22"/>
  <c r="Q431" i="22"/>
  <c r="P431" i="22"/>
  <c r="O431" i="22"/>
  <c r="N431" i="22"/>
  <c r="Q430" i="22"/>
  <c r="P430" i="22"/>
  <c r="O430" i="22"/>
  <c r="N430" i="22"/>
  <c r="Q429" i="22"/>
  <c r="P429" i="22"/>
  <c r="O429" i="22"/>
  <c r="N429" i="22"/>
  <c r="Q428" i="22"/>
  <c r="P428" i="22"/>
  <c r="O428" i="22"/>
  <c r="N428" i="22"/>
  <c r="Q427" i="22"/>
  <c r="P427" i="22"/>
  <c r="O427" i="22"/>
  <c r="N427" i="22"/>
  <c r="Q426" i="22"/>
  <c r="P426" i="22"/>
  <c r="O426" i="22"/>
  <c r="N426" i="22"/>
  <c r="Q425" i="22"/>
  <c r="P425" i="22"/>
  <c r="O425" i="22"/>
  <c r="N425" i="22"/>
  <c r="Q424" i="22"/>
  <c r="P424" i="22"/>
  <c r="O424" i="22"/>
  <c r="N424" i="22"/>
  <c r="Q423" i="22"/>
  <c r="P423" i="22"/>
  <c r="O423" i="22"/>
  <c r="N423" i="22"/>
  <c r="Q422" i="22"/>
  <c r="P422" i="22"/>
  <c r="O422" i="22"/>
  <c r="N422" i="22"/>
  <c r="Q421" i="22"/>
  <c r="P421" i="22"/>
  <c r="O421" i="22"/>
  <c r="N421" i="22"/>
  <c r="Q420" i="22"/>
  <c r="P420" i="22"/>
  <c r="O420" i="22"/>
  <c r="N420" i="22"/>
  <c r="Q419" i="22"/>
  <c r="P419" i="22"/>
  <c r="O419" i="22"/>
  <c r="N419" i="22"/>
  <c r="Q418" i="22"/>
  <c r="P418" i="22"/>
  <c r="O418" i="22"/>
  <c r="N418" i="22"/>
  <c r="Q417" i="22"/>
  <c r="P417" i="22"/>
  <c r="O417" i="22"/>
  <c r="N417" i="22"/>
  <c r="Q416" i="22"/>
  <c r="P416" i="22"/>
  <c r="O416" i="22"/>
  <c r="N416" i="22"/>
  <c r="Q415" i="22"/>
  <c r="P415" i="22"/>
  <c r="O415" i="22"/>
  <c r="N415" i="22"/>
  <c r="Q414" i="22"/>
  <c r="P414" i="22"/>
  <c r="O414" i="22"/>
  <c r="N414" i="22"/>
  <c r="Q413" i="22"/>
  <c r="P413" i="22"/>
  <c r="O413" i="22"/>
  <c r="N413" i="22"/>
  <c r="Q412" i="22"/>
  <c r="P412" i="22"/>
  <c r="O412" i="22"/>
  <c r="N412" i="22"/>
  <c r="Q411" i="22"/>
  <c r="P411" i="22"/>
  <c r="O411" i="22"/>
  <c r="N411" i="22"/>
  <c r="Q410" i="22"/>
  <c r="P410" i="22"/>
  <c r="O410" i="22"/>
  <c r="N410" i="22"/>
  <c r="Q409" i="22"/>
  <c r="P409" i="22"/>
  <c r="O409" i="22"/>
  <c r="N409" i="22"/>
  <c r="Q408" i="22"/>
  <c r="P408" i="22"/>
  <c r="O408" i="22"/>
  <c r="N408" i="22"/>
  <c r="Q407" i="22"/>
  <c r="P407" i="22"/>
  <c r="O407" i="22"/>
  <c r="N407" i="22"/>
  <c r="Q406" i="22"/>
  <c r="P406" i="22"/>
  <c r="O406" i="22"/>
  <c r="N406" i="22"/>
  <c r="Q405" i="22"/>
  <c r="P405" i="22"/>
  <c r="O405" i="22"/>
  <c r="N405" i="22"/>
  <c r="Q404" i="22"/>
  <c r="P404" i="22"/>
  <c r="O404" i="22"/>
  <c r="N404" i="22"/>
  <c r="Q403" i="22"/>
  <c r="P403" i="22"/>
  <c r="O403" i="22"/>
  <c r="N403" i="22"/>
  <c r="Q402" i="22"/>
  <c r="P402" i="22"/>
  <c r="O402" i="22"/>
  <c r="N402" i="22"/>
  <c r="Q401" i="22"/>
  <c r="P401" i="22"/>
  <c r="O401" i="22"/>
  <c r="N401" i="22"/>
  <c r="Q400" i="22"/>
  <c r="P400" i="22"/>
  <c r="O400" i="22"/>
  <c r="N400" i="22"/>
  <c r="Q399" i="22"/>
  <c r="P399" i="22"/>
  <c r="O399" i="22"/>
  <c r="N399" i="22"/>
  <c r="Q398" i="22"/>
  <c r="P398" i="22"/>
  <c r="O398" i="22"/>
  <c r="N398" i="22"/>
  <c r="Q397" i="22"/>
  <c r="P397" i="22"/>
  <c r="O397" i="22"/>
  <c r="N397" i="22"/>
  <c r="Q396" i="22"/>
  <c r="P396" i="22"/>
  <c r="O396" i="22"/>
  <c r="N396" i="22"/>
  <c r="Q395" i="22"/>
  <c r="P395" i="22"/>
  <c r="O395" i="22"/>
  <c r="N395" i="22"/>
  <c r="Q394" i="22"/>
  <c r="P394" i="22"/>
  <c r="O394" i="22"/>
  <c r="N394" i="22"/>
  <c r="Q393" i="22"/>
  <c r="P393" i="22"/>
  <c r="O393" i="22"/>
  <c r="N393" i="22"/>
  <c r="Q392" i="22"/>
  <c r="P392" i="22"/>
  <c r="O392" i="22"/>
  <c r="N392" i="22"/>
  <c r="Q391" i="22"/>
  <c r="P391" i="22"/>
  <c r="O391" i="22"/>
  <c r="N391" i="22"/>
  <c r="Q390" i="22"/>
  <c r="P390" i="22"/>
  <c r="O390" i="22"/>
  <c r="N390" i="22"/>
  <c r="Q389" i="22"/>
  <c r="P389" i="22"/>
  <c r="O389" i="22"/>
  <c r="N389" i="22"/>
  <c r="Q388" i="22"/>
  <c r="P388" i="22"/>
  <c r="O388" i="22"/>
  <c r="N388" i="22"/>
  <c r="Q387" i="22"/>
  <c r="P387" i="22"/>
  <c r="O387" i="22"/>
  <c r="N387" i="22"/>
  <c r="Q386" i="22"/>
  <c r="P386" i="22"/>
  <c r="O386" i="22"/>
  <c r="N386" i="22"/>
  <c r="Q385" i="22"/>
  <c r="P385" i="22"/>
  <c r="O385" i="22"/>
  <c r="N385" i="22"/>
  <c r="Q384" i="22"/>
  <c r="P384" i="22"/>
  <c r="O384" i="22"/>
  <c r="N384" i="22"/>
  <c r="Q383" i="22"/>
  <c r="P383" i="22"/>
  <c r="O383" i="22"/>
  <c r="N383" i="22"/>
  <c r="Q382" i="22"/>
  <c r="P382" i="22"/>
  <c r="O382" i="22"/>
  <c r="N382" i="22"/>
  <c r="Q381" i="22"/>
  <c r="P381" i="22"/>
  <c r="O381" i="22"/>
  <c r="N381" i="22"/>
  <c r="Q380" i="22"/>
  <c r="P380" i="22"/>
  <c r="O380" i="22"/>
  <c r="N380" i="22"/>
  <c r="E380" i="22"/>
  <c r="Q379" i="22"/>
  <c r="P379" i="22"/>
  <c r="O379" i="22"/>
  <c r="N379" i="22"/>
  <c r="Q378" i="22"/>
  <c r="P378" i="22"/>
  <c r="O378" i="22"/>
  <c r="N378" i="22"/>
  <c r="E378" i="22"/>
  <c r="Q377" i="22"/>
  <c r="P377" i="22"/>
  <c r="O377" i="22"/>
  <c r="N377" i="22"/>
  <c r="E377" i="22"/>
  <c r="Q376" i="22"/>
  <c r="P376" i="22"/>
  <c r="O376" i="22"/>
  <c r="N376" i="22"/>
  <c r="Q375" i="22"/>
  <c r="P375" i="22"/>
  <c r="O375" i="22"/>
  <c r="N375" i="22"/>
  <c r="Q374" i="22"/>
  <c r="P374" i="22"/>
  <c r="O374" i="22"/>
  <c r="N374" i="22"/>
  <c r="Q373" i="22"/>
  <c r="P373" i="22"/>
  <c r="O373" i="22"/>
  <c r="N373" i="22"/>
  <c r="Q372" i="22"/>
  <c r="P372" i="22"/>
  <c r="O372" i="22"/>
  <c r="N372" i="22"/>
  <c r="Q371" i="22"/>
  <c r="P371" i="22"/>
  <c r="O371" i="22"/>
  <c r="N371" i="22"/>
  <c r="Q370" i="22"/>
  <c r="P370" i="22"/>
  <c r="O370" i="22"/>
  <c r="N370" i="22"/>
  <c r="Q369" i="22"/>
  <c r="P369" i="22"/>
  <c r="O369" i="22"/>
  <c r="N369" i="22"/>
  <c r="Q368" i="22"/>
  <c r="P368" i="22"/>
  <c r="O368" i="22"/>
  <c r="N368" i="22"/>
  <c r="Q367" i="22"/>
  <c r="P367" i="22"/>
  <c r="O367" i="22"/>
  <c r="N367" i="22"/>
  <c r="Q366" i="22"/>
  <c r="P366" i="22"/>
  <c r="O366" i="22"/>
  <c r="N366" i="22"/>
  <c r="Q365" i="22"/>
  <c r="P365" i="22"/>
  <c r="O365" i="22"/>
  <c r="N365" i="22"/>
  <c r="Q364" i="22"/>
  <c r="P364" i="22"/>
  <c r="O364" i="22"/>
  <c r="N364" i="22"/>
  <c r="Q363" i="22"/>
  <c r="P363" i="22"/>
  <c r="O363" i="22"/>
  <c r="N363" i="22"/>
  <c r="Q362" i="22"/>
  <c r="P362" i="22"/>
  <c r="O362" i="22"/>
  <c r="N362" i="22"/>
  <c r="Q361" i="22"/>
  <c r="P361" i="22"/>
  <c r="O361" i="22"/>
  <c r="N361" i="22"/>
  <c r="Q360" i="22"/>
  <c r="P360" i="22"/>
  <c r="O360" i="22"/>
  <c r="N360" i="22"/>
  <c r="Q359" i="22"/>
  <c r="P359" i="22"/>
  <c r="O359" i="22"/>
  <c r="N359" i="22"/>
  <c r="Q358" i="22"/>
  <c r="P358" i="22"/>
  <c r="O358" i="22"/>
  <c r="N358" i="22"/>
  <c r="Q357" i="22"/>
  <c r="P357" i="22"/>
  <c r="O357" i="22"/>
  <c r="N357" i="22"/>
  <c r="Q356" i="22"/>
  <c r="P356" i="22"/>
  <c r="O356" i="22"/>
  <c r="N356" i="22"/>
  <c r="Q355" i="22"/>
  <c r="P355" i="22"/>
  <c r="O355" i="22"/>
  <c r="N355" i="22"/>
  <c r="Q354" i="22"/>
  <c r="P354" i="22"/>
  <c r="O354" i="22"/>
  <c r="N354" i="22"/>
  <c r="Q353" i="22"/>
  <c r="P353" i="22"/>
  <c r="O353" i="22"/>
  <c r="N353" i="22"/>
  <c r="Q352" i="22"/>
  <c r="P352" i="22"/>
  <c r="O352" i="22"/>
  <c r="N352" i="22"/>
  <c r="Q351" i="22"/>
  <c r="P351" i="22"/>
  <c r="O351" i="22"/>
  <c r="N351" i="22"/>
  <c r="Q350" i="22"/>
  <c r="P350" i="22"/>
  <c r="O350" i="22"/>
  <c r="N350" i="22"/>
  <c r="Q349" i="22"/>
  <c r="P349" i="22"/>
  <c r="O349" i="22"/>
  <c r="N349" i="22"/>
  <c r="Q348" i="22"/>
  <c r="P348" i="22"/>
  <c r="O348" i="22"/>
  <c r="N348" i="22"/>
  <c r="Q347" i="22"/>
  <c r="P347" i="22"/>
  <c r="O347" i="22"/>
  <c r="N347" i="22"/>
  <c r="Q346" i="22"/>
  <c r="P346" i="22"/>
  <c r="O346" i="22"/>
  <c r="N346" i="22"/>
  <c r="Q345" i="22"/>
  <c r="P345" i="22"/>
  <c r="O345" i="22"/>
  <c r="N345" i="22"/>
  <c r="Q344" i="22"/>
  <c r="P344" i="22"/>
  <c r="O344" i="22"/>
  <c r="N344" i="22"/>
  <c r="Q343" i="22"/>
  <c r="P343" i="22"/>
  <c r="O343" i="22"/>
  <c r="N343" i="22"/>
  <c r="Q342" i="22"/>
  <c r="P342" i="22"/>
  <c r="O342" i="22"/>
  <c r="N342" i="22"/>
  <c r="Q341" i="22"/>
  <c r="P341" i="22"/>
  <c r="O341" i="22"/>
  <c r="N341" i="22"/>
  <c r="Q340" i="22"/>
  <c r="P340" i="22"/>
  <c r="O340" i="22"/>
  <c r="N340" i="22"/>
  <c r="Q339" i="22"/>
  <c r="P339" i="22"/>
  <c r="O339" i="22"/>
  <c r="N339" i="22"/>
  <c r="Q338" i="22"/>
  <c r="P338" i="22"/>
  <c r="O338" i="22"/>
  <c r="N338" i="22"/>
  <c r="Q337" i="22"/>
  <c r="P337" i="22"/>
  <c r="O337" i="22"/>
  <c r="N337" i="22"/>
  <c r="Q336" i="22"/>
  <c r="P336" i="22"/>
  <c r="O336" i="22"/>
  <c r="N336" i="22"/>
  <c r="Q335" i="22"/>
  <c r="P335" i="22"/>
  <c r="O335" i="22"/>
  <c r="N335" i="22"/>
  <c r="Q334" i="22"/>
  <c r="P334" i="22"/>
  <c r="O334" i="22"/>
  <c r="N334" i="22"/>
  <c r="Q333" i="22"/>
  <c r="P333" i="22"/>
  <c r="O333" i="22"/>
  <c r="N333" i="22"/>
  <c r="Q332" i="22"/>
  <c r="P332" i="22"/>
  <c r="O332" i="22"/>
  <c r="N332" i="22"/>
  <c r="Q331" i="22"/>
  <c r="P331" i="22"/>
  <c r="O331" i="22"/>
  <c r="N331" i="22"/>
  <c r="Q330" i="22"/>
  <c r="P330" i="22"/>
  <c r="O330" i="22"/>
  <c r="N330" i="22"/>
  <c r="Q329" i="22"/>
  <c r="P329" i="22"/>
  <c r="O329" i="22"/>
  <c r="N329" i="22"/>
  <c r="Q328" i="22"/>
  <c r="P328" i="22"/>
  <c r="O328" i="22"/>
  <c r="N328" i="22"/>
  <c r="Q327" i="22"/>
  <c r="P327" i="22"/>
  <c r="O327" i="22"/>
  <c r="N327" i="22"/>
  <c r="Q326" i="22"/>
  <c r="P326" i="22"/>
  <c r="O326" i="22"/>
  <c r="N326" i="22"/>
  <c r="Q325" i="22"/>
  <c r="P325" i="22"/>
  <c r="O325" i="22"/>
  <c r="N325" i="22"/>
  <c r="Q324" i="22"/>
  <c r="P324" i="22"/>
  <c r="O324" i="22"/>
  <c r="N324" i="22"/>
  <c r="Q323" i="22"/>
  <c r="P323" i="22"/>
  <c r="O323" i="22"/>
  <c r="N323" i="22"/>
  <c r="Q322" i="22"/>
  <c r="P322" i="22"/>
  <c r="O322" i="22"/>
  <c r="N322" i="22"/>
  <c r="Q321" i="22"/>
  <c r="P321" i="22"/>
  <c r="O321" i="22"/>
  <c r="N321" i="22"/>
  <c r="Q320" i="22"/>
  <c r="P320" i="22"/>
  <c r="O320" i="22"/>
  <c r="N320" i="22"/>
  <c r="Q319" i="22"/>
  <c r="P319" i="22"/>
  <c r="O319" i="22"/>
  <c r="N319" i="22"/>
  <c r="Q318" i="22"/>
  <c r="P318" i="22"/>
  <c r="O318" i="22"/>
  <c r="N318" i="22"/>
  <c r="Q317" i="22"/>
  <c r="P317" i="22"/>
  <c r="O317" i="22"/>
  <c r="N317" i="22"/>
  <c r="Q316" i="22"/>
  <c r="P316" i="22"/>
  <c r="O316" i="22"/>
  <c r="N316" i="22"/>
  <c r="Q315" i="22"/>
  <c r="P315" i="22"/>
  <c r="O315" i="22"/>
  <c r="N315" i="22"/>
  <c r="Q314" i="22"/>
  <c r="P314" i="22"/>
  <c r="O314" i="22"/>
  <c r="N314" i="22"/>
  <c r="Q313" i="22"/>
  <c r="P313" i="22"/>
  <c r="O313" i="22"/>
  <c r="N313" i="22"/>
  <c r="Q312" i="22"/>
  <c r="P312" i="22"/>
  <c r="O312" i="22"/>
  <c r="N312" i="22"/>
  <c r="Q311" i="22"/>
  <c r="P311" i="22"/>
  <c r="O311" i="22"/>
  <c r="N311" i="22"/>
  <c r="Q310" i="22"/>
  <c r="P310" i="22"/>
  <c r="O310" i="22"/>
  <c r="N310" i="22"/>
  <c r="Q309" i="22"/>
  <c r="P309" i="22"/>
  <c r="O309" i="22"/>
  <c r="N309" i="22"/>
  <c r="Q308" i="22"/>
  <c r="P308" i="22"/>
  <c r="O308" i="22"/>
  <c r="N308" i="22"/>
  <c r="Q307" i="22"/>
  <c r="P307" i="22"/>
  <c r="O307" i="22"/>
  <c r="N307" i="22"/>
  <c r="Q306" i="22"/>
  <c r="P306" i="22"/>
  <c r="O306" i="22"/>
  <c r="N306" i="22"/>
  <c r="Q305" i="22"/>
  <c r="P305" i="22"/>
  <c r="O305" i="22"/>
  <c r="N305" i="22"/>
  <c r="Q304" i="22"/>
  <c r="P304" i="22"/>
  <c r="O304" i="22"/>
  <c r="N304" i="22"/>
  <c r="Q303" i="22"/>
  <c r="P303" i="22"/>
  <c r="O303" i="22"/>
  <c r="N303" i="22"/>
  <c r="Q302" i="22"/>
  <c r="P302" i="22"/>
  <c r="O302" i="22"/>
  <c r="N302" i="22"/>
  <c r="Q301" i="22"/>
  <c r="P301" i="22"/>
  <c r="O301" i="22"/>
  <c r="N301" i="22"/>
  <c r="Q300" i="22"/>
  <c r="P300" i="22"/>
  <c r="O300" i="22"/>
  <c r="N300" i="22"/>
  <c r="Q299" i="22"/>
  <c r="P299" i="22"/>
  <c r="O299" i="22"/>
  <c r="N299" i="22"/>
  <c r="Q298" i="22"/>
  <c r="P298" i="22"/>
  <c r="O298" i="22"/>
  <c r="N298" i="22"/>
  <c r="Q297" i="22"/>
  <c r="P297" i="22"/>
  <c r="O297" i="22"/>
  <c r="N297" i="22"/>
  <c r="Q296" i="22"/>
  <c r="P296" i="22"/>
  <c r="O296" i="22"/>
  <c r="N296" i="22"/>
  <c r="Q295" i="22"/>
  <c r="P295" i="22"/>
  <c r="O295" i="22"/>
  <c r="N295" i="22"/>
  <c r="Q294" i="22"/>
  <c r="P294" i="22"/>
  <c r="O294" i="22"/>
  <c r="N294" i="22"/>
  <c r="Q293" i="22"/>
  <c r="P293" i="22"/>
  <c r="O293" i="22"/>
  <c r="N293" i="22"/>
  <c r="Q292" i="22"/>
  <c r="P292" i="22"/>
  <c r="O292" i="22"/>
  <c r="N292" i="22"/>
  <c r="Q291" i="22"/>
  <c r="P291" i="22"/>
  <c r="O291" i="22"/>
  <c r="N291" i="22"/>
  <c r="Q290" i="22"/>
  <c r="P290" i="22"/>
  <c r="O290" i="22"/>
  <c r="N290" i="22"/>
  <c r="Q289" i="22"/>
  <c r="P289" i="22"/>
  <c r="O289" i="22"/>
  <c r="N289" i="22"/>
  <c r="Q288" i="22"/>
  <c r="P288" i="22"/>
  <c r="O288" i="22"/>
  <c r="N288" i="22"/>
  <c r="Q287" i="22"/>
  <c r="P287" i="22"/>
  <c r="O287" i="22"/>
  <c r="N287" i="22"/>
  <c r="Q286" i="22"/>
  <c r="P286" i="22"/>
  <c r="O286" i="22"/>
  <c r="N286" i="22"/>
  <c r="Q285" i="22"/>
  <c r="P285" i="22"/>
  <c r="O285" i="22"/>
  <c r="N285" i="22"/>
  <c r="Q284" i="22"/>
  <c r="P284" i="22"/>
  <c r="O284" i="22"/>
  <c r="N284" i="22"/>
  <c r="Q283" i="22"/>
  <c r="P283" i="22"/>
  <c r="O283" i="22"/>
  <c r="N283" i="22"/>
  <c r="Q282" i="22"/>
  <c r="P282" i="22"/>
  <c r="O282" i="22"/>
  <c r="N282" i="22"/>
  <c r="Q281" i="22"/>
  <c r="P281" i="22"/>
  <c r="O281" i="22"/>
  <c r="N281" i="22"/>
  <c r="Q280" i="22"/>
  <c r="P280" i="22"/>
  <c r="O280" i="22"/>
  <c r="N280" i="22"/>
  <c r="Q279" i="22"/>
  <c r="P279" i="22"/>
  <c r="O279" i="22"/>
  <c r="N279" i="22"/>
  <c r="Q278" i="22"/>
  <c r="P278" i="22"/>
  <c r="O278" i="22"/>
  <c r="N278" i="22"/>
  <c r="Q277" i="22"/>
  <c r="P277" i="22"/>
  <c r="O277" i="22"/>
  <c r="N277" i="22"/>
  <c r="Q276" i="22"/>
  <c r="P276" i="22"/>
  <c r="O276" i="22"/>
  <c r="N276" i="22"/>
  <c r="Q275" i="22"/>
  <c r="P275" i="22"/>
  <c r="O275" i="22"/>
  <c r="N275" i="22"/>
  <c r="Q274" i="22"/>
  <c r="P274" i="22"/>
  <c r="O274" i="22"/>
  <c r="N274" i="22"/>
  <c r="Q273" i="22"/>
  <c r="P273" i="22"/>
  <c r="O273" i="22"/>
  <c r="N273" i="22"/>
  <c r="Q272" i="22"/>
  <c r="P272" i="22"/>
  <c r="O272" i="22"/>
  <c r="N272" i="22"/>
  <c r="Q271" i="22"/>
  <c r="P271" i="22"/>
  <c r="O271" i="22"/>
  <c r="N271" i="22"/>
  <c r="Q270" i="22"/>
  <c r="P270" i="22"/>
  <c r="O270" i="22"/>
  <c r="N270" i="22"/>
  <c r="Q269" i="22"/>
  <c r="P269" i="22"/>
  <c r="O269" i="22"/>
  <c r="N269" i="22"/>
  <c r="Q268" i="22"/>
  <c r="P268" i="22"/>
  <c r="O268" i="22"/>
  <c r="N268" i="22"/>
  <c r="Q267" i="22"/>
  <c r="P267" i="22"/>
  <c r="O267" i="22"/>
  <c r="N267" i="22"/>
  <c r="Q266" i="22"/>
  <c r="P266" i="22"/>
  <c r="O266" i="22"/>
  <c r="N266" i="22"/>
  <c r="Q265" i="22"/>
  <c r="P265" i="22"/>
  <c r="O265" i="22"/>
  <c r="N265" i="22"/>
  <c r="Q264" i="22"/>
  <c r="P264" i="22"/>
  <c r="O264" i="22"/>
  <c r="N264" i="22"/>
  <c r="Q263" i="22"/>
  <c r="P263" i="22"/>
  <c r="O263" i="22"/>
  <c r="N263" i="22"/>
  <c r="Q262" i="22"/>
  <c r="P262" i="22"/>
  <c r="O262" i="22"/>
  <c r="N262" i="22"/>
  <c r="Q261" i="22"/>
  <c r="P261" i="22"/>
  <c r="O261" i="22"/>
  <c r="N261" i="22"/>
  <c r="Q260" i="22"/>
  <c r="P260" i="22"/>
  <c r="O260" i="22"/>
  <c r="N260" i="22"/>
  <c r="Q259" i="22"/>
  <c r="P259" i="22"/>
  <c r="O259" i="22"/>
  <c r="N259" i="22"/>
  <c r="Q258" i="22"/>
  <c r="P258" i="22"/>
  <c r="O258" i="22"/>
  <c r="N258" i="22"/>
  <c r="Q257" i="22"/>
  <c r="P257" i="22"/>
  <c r="O257" i="22"/>
  <c r="N257" i="22"/>
  <c r="Q256" i="22"/>
  <c r="P256" i="22"/>
  <c r="O256" i="22"/>
  <c r="N256" i="22"/>
  <c r="Q255" i="22"/>
  <c r="P255" i="22"/>
  <c r="O255" i="22"/>
  <c r="N255" i="22"/>
  <c r="Q254" i="22"/>
  <c r="P254" i="22"/>
  <c r="O254" i="22"/>
  <c r="N254" i="22"/>
  <c r="Q253" i="22"/>
  <c r="P253" i="22"/>
  <c r="O253" i="22"/>
  <c r="N253" i="22"/>
  <c r="Q252" i="22"/>
  <c r="P252" i="22"/>
  <c r="O252" i="22"/>
  <c r="N252" i="22"/>
  <c r="Q251" i="22"/>
  <c r="P251" i="22"/>
  <c r="O251" i="22"/>
  <c r="N251" i="22"/>
  <c r="Q250" i="22"/>
  <c r="P250" i="22"/>
  <c r="O250" i="22"/>
  <c r="N250" i="22"/>
  <c r="Q249" i="22"/>
  <c r="P249" i="22"/>
  <c r="O249" i="22"/>
  <c r="N249" i="22"/>
  <c r="Q248" i="22"/>
  <c r="P248" i="22"/>
  <c r="O248" i="22"/>
  <c r="N248" i="22"/>
  <c r="Q247" i="22"/>
  <c r="P247" i="22"/>
  <c r="O247" i="22"/>
  <c r="N247" i="22"/>
  <c r="Q246" i="22"/>
  <c r="P246" i="22"/>
  <c r="O246" i="22"/>
  <c r="N246" i="22"/>
  <c r="Q245" i="22"/>
  <c r="P245" i="22"/>
  <c r="O245" i="22"/>
  <c r="N245" i="22"/>
  <c r="Q244" i="22"/>
  <c r="P244" i="22"/>
  <c r="O244" i="22"/>
  <c r="N244" i="22"/>
  <c r="Q243" i="22"/>
  <c r="P243" i="22"/>
  <c r="O243" i="22"/>
  <c r="N243" i="22"/>
  <c r="Q242" i="22"/>
  <c r="P242" i="22"/>
  <c r="O242" i="22"/>
  <c r="N242" i="22"/>
  <c r="Q241" i="22"/>
  <c r="P241" i="22"/>
  <c r="O241" i="22"/>
  <c r="N241" i="22"/>
  <c r="Q240" i="22"/>
  <c r="P240" i="22"/>
  <c r="O240" i="22"/>
  <c r="N240" i="22"/>
  <c r="Q239" i="22"/>
  <c r="P239" i="22"/>
  <c r="O239" i="22"/>
  <c r="N239" i="22"/>
  <c r="Q238" i="22"/>
  <c r="P238" i="22"/>
  <c r="O238" i="22"/>
  <c r="N238" i="22"/>
  <c r="Q237" i="22"/>
  <c r="P237" i="22"/>
  <c r="O237" i="22"/>
  <c r="N237" i="22"/>
  <c r="Q236" i="22"/>
  <c r="P236" i="22"/>
  <c r="O236" i="22"/>
  <c r="N236" i="22"/>
  <c r="Q235" i="22"/>
  <c r="P235" i="22"/>
  <c r="O235" i="22"/>
  <c r="N235" i="22"/>
  <c r="Q234" i="22"/>
  <c r="P234" i="22"/>
  <c r="O234" i="22"/>
  <c r="N234" i="22"/>
  <c r="Q233" i="22"/>
  <c r="P233" i="22"/>
  <c r="O233" i="22"/>
  <c r="N233" i="22"/>
  <c r="Q232" i="22"/>
  <c r="P232" i="22"/>
  <c r="O232" i="22"/>
  <c r="N232" i="22"/>
  <c r="Q231" i="22"/>
  <c r="P231" i="22"/>
  <c r="O231" i="22"/>
  <c r="N231" i="22"/>
  <c r="Q230" i="22"/>
  <c r="P230" i="22"/>
  <c r="O230" i="22"/>
  <c r="N230" i="22"/>
  <c r="Q229" i="22"/>
  <c r="P229" i="22"/>
  <c r="O229" i="22"/>
  <c r="N229" i="22"/>
  <c r="Q228" i="22"/>
  <c r="P228" i="22"/>
  <c r="O228" i="22"/>
  <c r="N228" i="22"/>
  <c r="Q227" i="22"/>
  <c r="P227" i="22"/>
  <c r="O227" i="22"/>
  <c r="N227" i="22"/>
  <c r="Q226" i="22"/>
  <c r="P226" i="22"/>
  <c r="O226" i="22"/>
  <c r="N226" i="22"/>
  <c r="Q225" i="22"/>
  <c r="P225" i="22"/>
  <c r="O225" i="22"/>
  <c r="N225" i="22"/>
  <c r="Q224" i="22"/>
  <c r="P224" i="22"/>
  <c r="O224" i="22"/>
  <c r="N224" i="22"/>
  <c r="Q223" i="22"/>
  <c r="P223" i="22"/>
  <c r="O223" i="22"/>
  <c r="N223" i="22"/>
  <c r="Q222" i="22"/>
  <c r="P222" i="22"/>
  <c r="O222" i="22"/>
  <c r="N222" i="22"/>
  <c r="Q221" i="22"/>
  <c r="P221" i="22"/>
  <c r="O221" i="22"/>
  <c r="N221" i="22"/>
  <c r="Q220" i="22"/>
  <c r="P220" i="22"/>
  <c r="O220" i="22"/>
  <c r="N220" i="22"/>
  <c r="Q219" i="22"/>
  <c r="P219" i="22"/>
  <c r="O219" i="22"/>
  <c r="N219" i="22"/>
  <c r="Q218" i="22"/>
  <c r="P218" i="22"/>
  <c r="O218" i="22"/>
  <c r="N218" i="22"/>
  <c r="Q217" i="22"/>
  <c r="P217" i="22"/>
  <c r="O217" i="22"/>
  <c r="N217" i="22"/>
  <c r="Q216" i="22"/>
  <c r="P216" i="22"/>
  <c r="O216" i="22"/>
  <c r="N216" i="22"/>
  <c r="Q215" i="22"/>
  <c r="P215" i="22"/>
  <c r="O215" i="22"/>
  <c r="N215" i="22"/>
  <c r="Q214" i="22"/>
  <c r="P214" i="22"/>
  <c r="O214" i="22"/>
  <c r="N214" i="22"/>
  <c r="Q213" i="22"/>
  <c r="P213" i="22"/>
  <c r="O213" i="22"/>
  <c r="N213" i="22"/>
  <c r="Q212" i="22"/>
  <c r="P212" i="22"/>
  <c r="O212" i="22"/>
  <c r="N212" i="22"/>
  <c r="Q211" i="22"/>
  <c r="P211" i="22"/>
  <c r="O211" i="22"/>
  <c r="N211" i="22"/>
  <c r="Q210" i="22"/>
  <c r="P210" i="22"/>
  <c r="O210" i="22"/>
  <c r="N210" i="22"/>
  <c r="Q209" i="22"/>
  <c r="P209" i="22"/>
  <c r="O209" i="22"/>
  <c r="N209" i="22"/>
  <c r="Q208" i="22"/>
  <c r="P208" i="22"/>
  <c r="O208" i="22"/>
  <c r="N208" i="22"/>
  <c r="Q207" i="22"/>
  <c r="P207" i="22"/>
  <c r="O207" i="22"/>
  <c r="N207" i="22"/>
  <c r="Q206" i="22"/>
  <c r="P206" i="22"/>
  <c r="O206" i="22"/>
  <c r="N206" i="22"/>
  <c r="Q205" i="22"/>
  <c r="P205" i="22"/>
  <c r="O205" i="22"/>
  <c r="N205" i="22"/>
  <c r="Q204" i="22"/>
  <c r="P204" i="22"/>
  <c r="O204" i="22"/>
  <c r="N204" i="22"/>
  <c r="Q203" i="22"/>
  <c r="P203" i="22"/>
  <c r="O203" i="22"/>
  <c r="N203" i="22"/>
  <c r="Q202" i="22"/>
  <c r="P202" i="22"/>
  <c r="O202" i="22"/>
  <c r="N202" i="22"/>
  <c r="Q201" i="22"/>
  <c r="P201" i="22"/>
  <c r="O201" i="22"/>
  <c r="N201" i="22"/>
  <c r="Q200" i="22"/>
  <c r="P200" i="22"/>
  <c r="O200" i="22"/>
  <c r="N200" i="22"/>
  <c r="Q199" i="22"/>
  <c r="P199" i="22"/>
  <c r="O199" i="22"/>
  <c r="N199" i="22"/>
  <c r="Q198" i="22"/>
  <c r="P198" i="22"/>
  <c r="O198" i="22"/>
  <c r="N198" i="22"/>
  <c r="Q197" i="22"/>
  <c r="P197" i="22"/>
  <c r="O197" i="22"/>
  <c r="N197" i="22"/>
  <c r="Q196" i="22"/>
  <c r="P196" i="22"/>
  <c r="O196" i="22"/>
  <c r="N196" i="22"/>
  <c r="Q195" i="22"/>
  <c r="P195" i="22"/>
  <c r="O195" i="22"/>
  <c r="N195" i="22"/>
  <c r="Q194" i="22"/>
  <c r="P194" i="22"/>
  <c r="O194" i="22"/>
  <c r="N194" i="22"/>
  <c r="Q193" i="22"/>
  <c r="P193" i="22"/>
  <c r="O193" i="22"/>
  <c r="N193" i="22"/>
  <c r="Q192" i="22"/>
  <c r="P192" i="22"/>
  <c r="O192" i="22"/>
  <c r="N192" i="22"/>
  <c r="Q191" i="22"/>
  <c r="P191" i="22"/>
  <c r="O191" i="22"/>
  <c r="N191" i="22"/>
  <c r="Q190" i="22"/>
  <c r="P190" i="22"/>
  <c r="O190" i="22"/>
  <c r="N190" i="22"/>
  <c r="Q189" i="22"/>
  <c r="P189" i="22"/>
  <c r="O189" i="22"/>
  <c r="N189" i="22"/>
  <c r="Q188" i="22"/>
  <c r="P188" i="22"/>
  <c r="O188" i="22"/>
  <c r="N188" i="22"/>
  <c r="Q187" i="22"/>
  <c r="P187" i="22"/>
  <c r="O187" i="22"/>
  <c r="N187" i="22"/>
  <c r="Q186" i="22"/>
  <c r="P186" i="22"/>
  <c r="O186" i="22"/>
  <c r="N186" i="22"/>
  <c r="Q185" i="22"/>
  <c r="P185" i="22"/>
  <c r="O185" i="22"/>
  <c r="N185" i="22"/>
  <c r="Q184" i="22"/>
  <c r="P184" i="22"/>
  <c r="O184" i="22"/>
  <c r="N184" i="22"/>
  <c r="Q183" i="22"/>
  <c r="P183" i="22"/>
  <c r="O183" i="22"/>
  <c r="N183" i="22"/>
  <c r="Q182" i="22"/>
  <c r="P182" i="22"/>
  <c r="O182" i="22"/>
  <c r="N182" i="22"/>
  <c r="Q181" i="22"/>
  <c r="P181" i="22"/>
  <c r="O181" i="22"/>
  <c r="N181" i="22"/>
  <c r="Q180" i="22"/>
  <c r="P180" i="22"/>
  <c r="O180" i="22"/>
  <c r="N180" i="22"/>
  <c r="Q179" i="22"/>
  <c r="P179" i="22"/>
  <c r="O179" i="22"/>
  <c r="N179" i="22"/>
  <c r="Q178" i="22"/>
  <c r="P178" i="22"/>
  <c r="O178" i="22"/>
  <c r="N178" i="22"/>
  <c r="Q177" i="22"/>
  <c r="P177" i="22"/>
  <c r="O177" i="22"/>
  <c r="N177" i="22"/>
  <c r="Q176" i="22"/>
  <c r="P176" i="22"/>
  <c r="O176" i="22"/>
  <c r="N176" i="22"/>
  <c r="Q175" i="22"/>
  <c r="P175" i="22"/>
  <c r="O175" i="22"/>
  <c r="N175" i="22"/>
  <c r="Q174" i="22"/>
  <c r="P174" i="22"/>
  <c r="O174" i="22"/>
  <c r="N174" i="22"/>
  <c r="Q173" i="22"/>
  <c r="P173" i="22"/>
  <c r="O173" i="22"/>
  <c r="N173" i="22"/>
  <c r="Q172" i="22"/>
  <c r="P172" i="22"/>
  <c r="O172" i="22"/>
  <c r="N172" i="22"/>
  <c r="Q171" i="22"/>
  <c r="P171" i="22"/>
  <c r="O171" i="22"/>
  <c r="N171" i="22"/>
  <c r="Q170" i="22"/>
  <c r="P170" i="22"/>
  <c r="O170" i="22"/>
  <c r="N170" i="22"/>
  <c r="Q169" i="22"/>
  <c r="P169" i="22"/>
  <c r="O169" i="22"/>
  <c r="N169" i="22"/>
  <c r="Q168" i="22"/>
  <c r="P168" i="22"/>
  <c r="O168" i="22"/>
  <c r="N168" i="22"/>
  <c r="Q167" i="22"/>
  <c r="P167" i="22"/>
  <c r="O167" i="22"/>
  <c r="N167" i="22"/>
  <c r="Q166" i="22"/>
  <c r="P166" i="22"/>
  <c r="O166" i="22"/>
  <c r="N166" i="22"/>
  <c r="Q165" i="22"/>
  <c r="P165" i="22"/>
  <c r="O165" i="22"/>
  <c r="N165" i="22"/>
  <c r="Q164" i="22"/>
  <c r="P164" i="22"/>
  <c r="O164" i="22"/>
  <c r="N164" i="22"/>
  <c r="Q163" i="22"/>
  <c r="P163" i="22"/>
  <c r="O163" i="22"/>
  <c r="N163" i="22"/>
  <c r="Q162" i="22"/>
  <c r="P162" i="22"/>
  <c r="O162" i="22"/>
  <c r="N162" i="22"/>
  <c r="Q161" i="22"/>
  <c r="P161" i="22"/>
  <c r="O161" i="22"/>
  <c r="N161" i="22"/>
  <c r="Q160" i="22"/>
  <c r="P160" i="22"/>
  <c r="O160" i="22"/>
  <c r="N160" i="22"/>
  <c r="Q159" i="22"/>
  <c r="P159" i="22"/>
  <c r="O159" i="22"/>
  <c r="N159" i="22"/>
  <c r="Q158" i="22"/>
  <c r="P158" i="22"/>
  <c r="O158" i="22"/>
  <c r="N158" i="22"/>
  <c r="Q157" i="22"/>
  <c r="P157" i="22"/>
  <c r="O157" i="22"/>
  <c r="N157" i="22"/>
  <c r="Q156" i="22"/>
  <c r="P156" i="22"/>
  <c r="O156" i="22"/>
  <c r="N156" i="22"/>
  <c r="Q155" i="22"/>
  <c r="P155" i="22"/>
  <c r="O155" i="22"/>
  <c r="N155" i="22"/>
  <c r="Q154" i="22"/>
  <c r="P154" i="22"/>
  <c r="O154" i="22"/>
  <c r="N154" i="22"/>
  <c r="Q153" i="22"/>
  <c r="P153" i="22"/>
  <c r="O153" i="22"/>
  <c r="N153" i="22"/>
  <c r="Q152" i="22"/>
  <c r="P152" i="22"/>
  <c r="O152" i="22"/>
  <c r="N152" i="22"/>
  <c r="Q151" i="22"/>
  <c r="P151" i="22"/>
  <c r="O151" i="22"/>
  <c r="N151" i="22"/>
  <c r="Q150" i="22"/>
  <c r="P150" i="22"/>
  <c r="O150" i="22"/>
  <c r="N150" i="22"/>
  <c r="Q149" i="22"/>
  <c r="P149" i="22"/>
  <c r="O149" i="22"/>
  <c r="N149" i="22"/>
  <c r="Q148" i="22"/>
  <c r="P148" i="22"/>
  <c r="O148" i="22"/>
  <c r="N148" i="22"/>
  <c r="Q147" i="22"/>
  <c r="P147" i="22"/>
  <c r="O147" i="22"/>
  <c r="N147" i="22"/>
  <c r="Q146" i="22"/>
  <c r="P146" i="22"/>
  <c r="O146" i="22"/>
  <c r="N146" i="22"/>
  <c r="Q145" i="22"/>
  <c r="P145" i="22"/>
  <c r="O145" i="22"/>
  <c r="N145" i="22"/>
  <c r="K145" i="22"/>
  <c r="J145" i="22"/>
  <c r="Q144" i="22"/>
  <c r="P144" i="22"/>
  <c r="O144" i="22"/>
  <c r="N144" i="22"/>
  <c r="Q143" i="22"/>
  <c r="P143" i="22"/>
  <c r="O143" i="22"/>
  <c r="N143" i="22"/>
  <c r="Q142" i="22"/>
  <c r="P142" i="22"/>
  <c r="O142" i="22"/>
  <c r="N142" i="22"/>
  <c r="Q141" i="22"/>
  <c r="P141" i="22"/>
  <c r="O141" i="22"/>
  <c r="N141" i="22"/>
  <c r="Q140" i="22"/>
  <c r="P140" i="22"/>
  <c r="O140" i="22"/>
  <c r="N140" i="22"/>
  <c r="Q139" i="22"/>
  <c r="P139" i="22"/>
  <c r="O139" i="22"/>
  <c r="N139" i="22"/>
  <c r="Q138" i="22"/>
  <c r="P138" i="22"/>
  <c r="O138" i="22"/>
  <c r="N138" i="22"/>
  <c r="Q137" i="22"/>
  <c r="P137" i="22"/>
  <c r="O137" i="22"/>
  <c r="N137" i="22"/>
  <c r="Q136" i="22"/>
  <c r="P136" i="22"/>
  <c r="O136" i="22"/>
  <c r="N136" i="22"/>
  <c r="Q135" i="22"/>
  <c r="P135" i="22"/>
  <c r="O135" i="22"/>
  <c r="N135" i="22"/>
  <c r="Q134" i="22"/>
  <c r="P134" i="22"/>
  <c r="O134" i="22"/>
  <c r="N134" i="22"/>
  <c r="Q133" i="22"/>
  <c r="P133" i="22"/>
  <c r="O133" i="22"/>
  <c r="N133" i="22"/>
  <c r="Q132" i="22"/>
  <c r="P132" i="22"/>
  <c r="O132" i="22"/>
  <c r="N132" i="22"/>
  <c r="Q131" i="22"/>
  <c r="P131" i="22"/>
  <c r="O131" i="22"/>
  <c r="N131" i="22"/>
  <c r="Q130" i="22"/>
  <c r="P130" i="22"/>
  <c r="O130" i="22"/>
  <c r="N130" i="22"/>
  <c r="Q129" i="22"/>
  <c r="P129" i="22"/>
  <c r="O129" i="22"/>
  <c r="N129" i="22"/>
  <c r="Q128" i="22"/>
  <c r="P128" i="22"/>
  <c r="O128" i="22"/>
  <c r="N128" i="22"/>
  <c r="Q127" i="22"/>
  <c r="P127" i="22"/>
  <c r="O127" i="22"/>
  <c r="N127" i="22"/>
  <c r="Q126" i="22"/>
  <c r="P126" i="22"/>
  <c r="O126" i="22"/>
  <c r="N126" i="22"/>
  <c r="Q125" i="22"/>
  <c r="P125" i="22"/>
  <c r="O125" i="22"/>
  <c r="N125" i="22"/>
  <c r="Q124" i="22"/>
  <c r="P124" i="22"/>
  <c r="O124" i="22"/>
  <c r="N124" i="22"/>
  <c r="Q123" i="22"/>
  <c r="P123" i="22"/>
  <c r="O123" i="22"/>
  <c r="N123" i="22"/>
  <c r="Q122" i="22"/>
  <c r="P122" i="22"/>
  <c r="O122" i="22"/>
  <c r="N122" i="22"/>
  <c r="Q121" i="22"/>
  <c r="P121" i="22"/>
  <c r="O121" i="22"/>
  <c r="N121" i="22"/>
  <c r="Q120" i="22"/>
  <c r="P120" i="22"/>
  <c r="O120" i="22"/>
  <c r="N120" i="22"/>
  <c r="Q119" i="22"/>
  <c r="P119" i="22"/>
  <c r="O119" i="22"/>
  <c r="N119" i="22"/>
  <c r="Q118" i="22"/>
  <c r="P118" i="22"/>
  <c r="O118" i="22"/>
  <c r="N118" i="22"/>
  <c r="Q117" i="22"/>
  <c r="P117" i="22"/>
  <c r="O117" i="22"/>
  <c r="N117" i="22"/>
  <c r="Q116" i="22"/>
  <c r="P116" i="22"/>
  <c r="O116" i="22"/>
  <c r="N116" i="22"/>
  <c r="Q115" i="22"/>
  <c r="P115" i="22"/>
  <c r="O115" i="22"/>
  <c r="N115" i="22"/>
  <c r="Q114" i="22"/>
  <c r="P114" i="22"/>
  <c r="O114" i="22"/>
  <c r="N114" i="22"/>
  <c r="Q113" i="22"/>
  <c r="P113" i="22"/>
  <c r="O113" i="22"/>
  <c r="N113" i="22"/>
  <c r="Q112" i="22"/>
  <c r="P112" i="22"/>
  <c r="O112" i="22"/>
  <c r="N112" i="22"/>
  <c r="Q111" i="22"/>
  <c r="P111" i="22"/>
  <c r="O111" i="22"/>
  <c r="N111" i="22"/>
  <c r="Q110" i="22"/>
  <c r="P110" i="22"/>
  <c r="O110" i="22"/>
  <c r="N110" i="22"/>
  <c r="Q109" i="22"/>
  <c r="P109" i="22"/>
  <c r="O109" i="22"/>
  <c r="N109" i="22"/>
  <c r="Q108" i="22"/>
  <c r="P108" i="22"/>
  <c r="O108" i="22"/>
  <c r="N108" i="22"/>
  <c r="Q107" i="22"/>
  <c r="P107" i="22"/>
  <c r="O107" i="22"/>
  <c r="N107" i="22"/>
  <c r="Q106" i="22"/>
  <c r="P106" i="22"/>
  <c r="O106" i="22"/>
  <c r="N106" i="22"/>
  <c r="Q105" i="22"/>
  <c r="P105" i="22"/>
  <c r="O105" i="22"/>
  <c r="N105" i="22"/>
  <c r="Q104" i="22"/>
  <c r="P104" i="22"/>
  <c r="O104" i="22"/>
  <c r="N104" i="22"/>
  <c r="Q103" i="22"/>
  <c r="P103" i="22"/>
  <c r="O103" i="22"/>
  <c r="N103" i="22"/>
  <c r="Q102" i="22"/>
  <c r="P102" i="22"/>
  <c r="O102" i="22"/>
  <c r="N102" i="22"/>
  <c r="Q101" i="22"/>
  <c r="P101" i="22"/>
  <c r="O101" i="22"/>
  <c r="N101" i="22"/>
  <c r="Q100" i="22"/>
  <c r="P100" i="22"/>
  <c r="O100" i="22"/>
  <c r="N100" i="22"/>
  <c r="Q99" i="22"/>
  <c r="P99" i="22"/>
  <c r="O99" i="22"/>
  <c r="N99" i="22"/>
  <c r="Q98" i="22"/>
  <c r="P98" i="22"/>
  <c r="O98" i="22"/>
  <c r="N98" i="22"/>
  <c r="Q97" i="22"/>
  <c r="P97" i="22"/>
  <c r="O97" i="22"/>
  <c r="N97" i="22"/>
  <c r="Q96" i="22"/>
  <c r="P96" i="22"/>
  <c r="O96" i="22"/>
  <c r="N96" i="22"/>
  <c r="Q95" i="22"/>
  <c r="P95" i="22"/>
  <c r="O95" i="22"/>
  <c r="N95" i="22"/>
  <c r="Q94" i="22"/>
  <c r="P94" i="22"/>
  <c r="O94" i="22"/>
  <c r="N94" i="22"/>
  <c r="Q93" i="22"/>
  <c r="P93" i="22"/>
  <c r="O93" i="22"/>
  <c r="N93" i="22"/>
  <c r="Q92" i="22"/>
  <c r="P92" i="22"/>
  <c r="O92" i="22"/>
  <c r="N92" i="22"/>
  <c r="Q91" i="22"/>
  <c r="P91" i="22"/>
  <c r="O91" i="22"/>
  <c r="N91" i="22"/>
  <c r="Q90" i="22"/>
  <c r="P90" i="22"/>
  <c r="O90" i="22"/>
  <c r="N90" i="22"/>
  <c r="Q89" i="22"/>
  <c r="P89" i="22"/>
  <c r="O89" i="22"/>
  <c r="N89" i="22"/>
  <c r="Q88" i="22"/>
  <c r="P88" i="22"/>
  <c r="O88" i="22"/>
  <c r="N88" i="22"/>
  <c r="Q87" i="22"/>
  <c r="P87" i="22"/>
  <c r="O87" i="22"/>
  <c r="N87" i="22"/>
  <c r="Q86" i="22"/>
  <c r="P86" i="22"/>
  <c r="O86" i="22"/>
  <c r="N86" i="22"/>
  <c r="Q85" i="22"/>
  <c r="P85" i="22"/>
  <c r="O85" i="22"/>
  <c r="N85" i="22"/>
  <c r="Q84" i="22"/>
  <c r="P84" i="22"/>
  <c r="O84" i="22"/>
  <c r="N84" i="22"/>
  <c r="Q83" i="22"/>
  <c r="P83" i="22"/>
  <c r="O83" i="22"/>
  <c r="N83" i="22"/>
  <c r="Q82" i="22"/>
  <c r="P82" i="22"/>
  <c r="O82" i="22"/>
  <c r="N82" i="22"/>
  <c r="Q81" i="22"/>
  <c r="P81" i="22"/>
  <c r="O81" i="22"/>
  <c r="N81" i="22"/>
  <c r="Q80" i="22"/>
  <c r="P80" i="22"/>
  <c r="O80" i="22"/>
  <c r="N80" i="22"/>
  <c r="Q79" i="22"/>
  <c r="P79" i="22"/>
  <c r="O79" i="22"/>
  <c r="N79" i="22"/>
  <c r="Q78" i="22"/>
  <c r="P78" i="22"/>
  <c r="O78" i="22"/>
  <c r="N78" i="22"/>
  <c r="Q77" i="22"/>
  <c r="P77" i="22"/>
  <c r="O77" i="22"/>
  <c r="N77" i="22"/>
  <c r="Q76" i="22"/>
  <c r="P76" i="22"/>
  <c r="O76" i="22"/>
  <c r="N76" i="22"/>
  <c r="Q75" i="22"/>
  <c r="P75" i="22"/>
  <c r="O75" i="22"/>
  <c r="N75" i="22"/>
  <c r="Q74" i="22"/>
  <c r="P74" i="22"/>
  <c r="O74" i="22"/>
  <c r="N74" i="22"/>
  <c r="Q73" i="22"/>
  <c r="P73" i="22"/>
  <c r="O73" i="22"/>
  <c r="N73" i="22"/>
  <c r="Q72" i="22"/>
  <c r="P72" i="22"/>
  <c r="O72" i="22"/>
  <c r="N72" i="22"/>
  <c r="Q71" i="22"/>
  <c r="P71" i="22"/>
  <c r="O71" i="22"/>
  <c r="N71" i="22"/>
  <c r="Q70" i="22"/>
  <c r="P70" i="22"/>
  <c r="O70" i="22"/>
  <c r="N70" i="22"/>
  <c r="Q69" i="22"/>
  <c r="P69" i="22"/>
  <c r="O69" i="22"/>
  <c r="N69" i="22"/>
  <c r="Q68" i="22"/>
  <c r="P68" i="22"/>
  <c r="O68" i="22"/>
  <c r="N68" i="22"/>
  <c r="Q67" i="22"/>
  <c r="P67" i="22"/>
  <c r="O67" i="22"/>
  <c r="N67" i="22"/>
  <c r="Q66" i="22"/>
  <c r="P66" i="22"/>
  <c r="O66" i="22"/>
  <c r="N66" i="22"/>
  <c r="Q65" i="22"/>
  <c r="P65" i="22"/>
  <c r="O65" i="22"/>
  <c r="N65" i="22"/>
  <c r="Q64" i="22"/>
  <c r="P64" i="22"/>
  <c r="O64" i="22"/>
  <c r="N64" i="22"/>
  <c r="Q63" i="22"/>
  <c r="P63" i="22"/>
  <c r="O63" i="22"/>
  <c r="N63" i="22"/>
  <c r="Q62" i="22"/>
  <c r="P62" i="22"/>
  <c r="O62" i="22"/>
  <c r="N62" i="22"/>
  <c r="Q61" i="22"/>
  <c r="P61" i="22"/>
  <c r="O61" i="22"/>
  <c r="N61" i="22"/>
  <c r="Q60" i="22"/>
  <c r="P60" i="22"/>
  <c r="O60" i="22"/>
  <c r="N60" i="22"/>
  <c r="Q59" i="22"/>
  <c r="P59" i="22"/>
  <c r="O59" i="22"/>
  <c r="N59" i="22"/>
  <c r="Q58" i="22"/>
  <c r="P58" i="22"/>
  <c r="O58" i="22"/>
  <c r="N58" i="22"/>
  <c r="Q57" i="22"/>
  <c r="P57" i="22"/>
  <c r="O57" i="22"/>
  <c r="N57" i="22"/>
  <c r="Q56" i="22"/>
  <c r="P56" i="22"/>
  <c r="O56" i="22"/>
  <c r="N56" i="22"/>
  <c r="Q55" i="22"/>
  <c r="P55" i="22"/>
  <c r="O55" i="22"/>
  <c r="N55" i="22"/>
  <c r="Q54" i="22"/>
  <c r="P54" i="22"/>
  <c r="O54" i="22"/>
  <c r="N54" i="22"/>
  <c r="Q53" i="22"/>
  <c r="P53" i="22"/>
  <c r="O53" i="22"/>
  <c r="N53" i="22"/>
  <c r="Q52" i="22"/>
  <c r="P52" i="22"/>
  <c r="O52" i="22"/>
  <c r="N52" i="22"/>
  <c r="Q51" i="22"/>
  <c r="P51" i="22"/>
  <c r="O51" i="22"/>
  <c r="N51" i="22"/>
  <c r="Q50" i="22"/>
  <c r="P50" i="22"/>
  <c r="O50" i="22"/>
  <c r="N50" i="22"/>
  <c r="Q49" i="22"/>
  <c r="P49" i="22"/>
  <c r="O49" i="22"/>
  <c r="N49" i="22"/>
  <c r="Q48" i="22"/>
  <c r="P48" i="22"/>
  <c r="O48" i="22"/>
  <c r="N48" i="22"/>
  <c r="Q47" i="22"/>
  <c r="P47" i="22"/>
  <c r="O47" i="22"/>
  <c r="N47" i="22"/>
  <c r="Q46" i="22"/>
  <c r="P46" i="22"/>
  <c r="O46" i="22"/>
  <c r="N46" i="22"/>
  <c r="Q45" i="22"/>
  <c r="P45" i="22"/>
  <c r="O45" i="22"/>
  <c r="N45" i="22"/>
  <c r="Q44" i="22"/>
  <c r="P44" i="22"/>
  <c r="O44" i="22"/>
  <c r="N44" i="22"/>
  <c r="Q43" i="22"/>
  <c r="P43" i="22"/>
  <c r="O43" i="22"/>
  <c r="N43" i="22"/>
  <c r="Q42" i="22"/>
  <c r="P42" i="22"/>
  <c r="O42" i="22"/>
  <c r="N42" i="22"/>
  <c r="Q41" i="22"/>
  <c r="P41" i="22"/>
  <c r="O41" i="22"/>
  <c r="N41" i="22"/>
  <c r="Q40" i="22"/>
  <c r="P40" i="22"/>
  <c r="O40" i="22"/>
  <c r="N40" i="22"/>
  <c r="Q39" i="22"/>
  <c r="P39" i="22"/>
  <c r="O39" i="22"/>
  <c r="N39" i="22"/>
  <c r="Q38" i="22"/>
  <c r="P38" i="22"/>
  <c r="O38" i="22"/>
  <c r="N38" i="22"/>
  <c r="Q37" i="22"/>
  <c r="P37" i="22"/>
  <c r="O37" i="22"/>
  <c r="N37" i="22"/>
  <c r="Q36" i="22"/>
  <c r="P36" i="22"/>
  <c r="O36" i="22"/>
  <c r="N36" i="22"/>
  <c r="Q35" i="22"/>
  <c r="P35" i="22"/>
  <c r="O35" i="22"/>
  <c r="N35" i="22"/>
  <c r="Q34" i="22"/>
  <c r="P34" i="22"/>
  <c r="O34" i="22"/>
  <c r="N34" i="22"/>
  <c r="Q33" i="22"/>
  <c r="P33" i="22"/>
  <c r="O33" i="22"/>
  <c r="N33" i="22"/>
  <c r="Q32" i="22"/>
  <c r="P32" i="22"/>
  <c r="O32" i="22"/>
  <c r="N32" i="22"/>
  <c r="Q31" i="22"/>
  <c r="P31" i="22"/>
  <c r="O31" i="22"/>
  <c r="N31" i="22"/>
  <c r="Q30" i="22"/>
  <c r="P30" i="22"/>
  <c r="O30" i="22"/>
  <c r="N30" i="22"/>
  <c r="Q29" i="22"/>
  <c r="P29" i="22"/>
  <c r="O29" i="22"/>
  <c r="N29" i="22"/>
  <c r="Q28" i="22"/>
  <c r="P28" i="22"/>
  <c r="O28" i="22"/>
  <c r="N28" i="22"/>
  <c r="Q27" i="22"/>
  <c r="P27" i="22"/>
  <c r="O27" i="22"/>
  <c r="N27" i="22"/>
  <c r="Q26" i="22"/>
  <c r="P26" i="22"/>
  <c r="O26" i="22"/>
  <c r="N26" i="22"/>
  <c r="Q25" i="22"/>
  <c r="P25" i="22"/>
  <c r="O25" i="22"/>
  <c r="N25" i="22"/>
  <c r="Q24" i="22"/>
  <c r="P24" i="22"/>
  <c r="O24" i="22"/>
  <c r="N24" i="22"/>
  <c r="Q23" i="22"/>
  <c r="P23" i="22"/>
  <c r="O23" i="22"/>
  <c r="N23" i="22"/>
  <c r="Q22" i="22"/>
  <c r="P22" i="22"/>
  <c r="O22" i="22"/>
  <c r="N22" i="22"/>
  <c r="Q21" i="22"/>
  <c r="P21" i="22"/>
  <c r="O21" i="22"/>
  <c r="N21" i="22"/>
  <c r="Q20" i="22"/>
  <c r="P20" i="22"/>
  <c r="O20" i="22"/>
  <c r="N20" i="22"/>
  <c r="Q19" i="22"/>
  <c r="P19" i="22"/>
  <c r="O19" i="22"/>
  <c r="N19" i="22"/>
  <c r="Q18" i="22"/>
  <c r="P18" i="22"/>
  <c r="O18" i="22"/>
  <c r="N18" i="22"/>
  <c r="Q17" i="22"/>
  <c r="P17" i="22"/>
  <c r="O17" i="22"/>
  <c r="N17" i="22"/>
  <c r="Q16" i="22"/>
  <c r="P16" i="22"/>
  <c r="O16" i="22"/>
  <c r="N16" i="22"/>
  <c r="Q15" i="22"/>
  <c r="P15" i="22"/>
  <c r="O15" i="22"/>
  <c r="N15" i="22"/>
  <c r="Q14" i="22"/>
  <c r="P14" i="22"/>
  <c r="O14" i="22"/>
  <c r="N14" i="22"/>
  <c r="Q13" i="22"/>
  <c r="P13" i="22"/>
  <c r="O13" i="22"/>
  <c r="N13" i="22"/>
  <c r="Q12" i="22"/>
  <c r="P12" i="22"/>
  <c r="O12" i="22"/>
  <c r="N12" i="22"/>
  <c r="Q11" i="22"/>
  <c r="P11" i="22"/>
  <c r="O11" i="22"/>
  <c r="N11" i="22"/>
  <c r="Q10" i="22"/>
  <c r="P10" i="22"/>
  <c r="O10" i="22"/>
  <c r="N10" i="22"/>
  <c r="Q9" i="22"/>
  <c r="P9" i="22"/>
  <c r="O9" i="22"/>
  <c r="N9" i="22"/>
  <c r="Q8" i="22"/>
  <c r="P8" i="22"/>
  <c r="O8" i="22"/>
  <c r="N8" i="22"/>
  <c r="Q7" i="22"/>
  <c r="P7" i="22"/>
  <c r="O7" i="22"/>
  <c r="N7" i="22"/>
  <c r="Q6" i="22"/>
  <c r="P6" i="22"/>
  <c r="O6" i="22"/>
  <c r="N6" i="22"/>
  <c r="Q5" i="22"/>
  <c r="P5" i="22"/>
  <c r="O5" i="22"/>
  <c r="N5" i="22"/>
  <c r="Q4" i="22"/>
  <c r="P4" i="22"/>
  <c r="O4" i="22"/>
  <c r="N4" i="22"/>
  <c r="Q3" i="22"/>
  <c r="P3" i="22"/>
  <c r="O3" i="22"/>
  <c r="N3" i="22"/>
  <c r="I16" i="23"/>
  <c r="I15" i="23"/>
  <c r="I14" i="23"/>
  <c r="I13" i="23"/>
  <c r="I12" i="23"/>
  <c r="I11" i="23"/>
  <c r="I10" i="23"/>
  <c r="I9" i="23"/>
  <c r="I8" i="23"/>
  <c r="I7" i="23"/>
  <c r="I6" i="23"/>
  <c r="N164" i="16"/>
  <c r="L164" i="16"/>
  <c r="K164" i="16"/>
  <c r="J164" i="16"/>
  <c r="N163" i="16"/>
  <c r="M163" i="16"/>
  <c r="L163" i="16"/>
  <c r="K163" i="16"/>
  <c r="J163" i="16"/>
  <c r="N156" i="16"/>
  <c r="L156" i="16"/>
  <c r="K156" i="16"/>
  <c r="J156" i="16"/>
  <c r="N155" i="16"/>
  <c r="M155" i="16"/>
  <c r="L155" i="16"/>
  <c r="K155" i="16"/>
  <c r="J155" i="16"/>
  <c r="C155" i="16"/>
  <c r="N148" i="16"/>
  <c r="L148" i="16"/>
  <c r="K148" i="16"/>
  <c r="J148" i="16"/>
  <c r="N147" i="16"/>
  <c r="M147" i="16"/>
  <c r="L147" i="16"/>
  <c r="K147" i="16"/>
  <c r="J147" i="16"/>
  <c r="N140" i="16"/>
  <c r="L140" i="16"/>
  <c r="K140" i="16"/>
  <c r="J140" i="16"/>
  <c r="N139" i="16"/>
  <c r="M139" i="16"/>
  <c r="L139" i="16"/>
  <c r="K139" i="16"/>
  <c r="J139" i="16"/>
  <c r="N132" i="16"/>
  <c r="L132" i="16"/>
  <c r="K132" i="16"/>
  <c r="J132" i="16"/>
  <c r="N131" i="16"/>
  <c r="M131" i="16"/>
  <c r="L131" i="16"/>
  <c r="K131" i="16"/>
  <c r="J131" i="16"/>
  <c r="N125" i="16"/>
  <c r="L125" i="16"/>
  <c r="K125" i="16"/>
  <c r="J125" i="16"/>
  <c r="N124" i="16"/>
  <c r="M124" i="16"/>
  <c r="L124" i="16"/>
  <c r="K124" i="16"/>
  <c r="J124" i="16"/>
  <c r="N118" i="16"/>
  <c r="L118" i="16"/>
  <c r="K118" i="16"/>
  <c r="J118" i="16"/>
  <c r="N117" i="16"/>
  <c r="M117" i="16"/>
  <c r="L117" i="16"/>
  <c r="K117" i="16"/>
  <c r="J117" i="16"/>
  <c r="N111" i="16"/>
  <c r="L111" i="16"/>
  <c r="K111" i="16"/>
  <c r="J111" i="16"/>
  <c r="N110" i="16"/>
  <c r="M110" i="16"/>
  <c r="L110" i="16"/>
  <c r="K110" i="16"/>
  <c r="J110" i="16"/>
  <c r="N104" i="16"/>
  <c r="L104" i="16"/>
  <c r="K104" i="16"/>
  <c r="J104" i="16"/>
  <c r="N103" i="16"/>
  <c r="M103" i="16"/>
  <c r="L103" i="16"/>
  <c r="K103" i="16"/>
  <c r="J103" i="16"/>
  <c r="N97" i="16"/>
  <c r="L97" i="16"/>
  <c r="K97" i="16"/>
  <c r="J97" i="16"/>
  <c r="N96" i="16"/>
  <c r="M96" i="16"/>
  <c r="L96" i="16"/>
  <c r="K96" i="16"/>
  <c r="J96" i="16"/>
  <c r="N89" i="16"/>
  <c r="L89" i="16"/>
  <c r="K89" i="16"/>
  <c r="J89" i="16"/>
  <c r="N88" i="16"/>
  <c r="M88" i="16"/>
  <c r="L88" i="16"/>
  <c r="K88" i="16"/>
  <c r="J88" i="16"/>
  <c r="N82" i="16"/>
  <c r="L82" i="16"/>
  <c r="K82" i="16"/>
  <c r="J82" i="16"/>
  <c r="N81" i="16"/>
  <c r="M81" i="16"/>
  <c r="L81" i="16"/>
  <c r="K81" i="16"/>
  <c r="J81" i="16"/>
  <c r="N75" i="16"/>
  <c r="L75" i="16"/>
  <c r="K75" i="16"/>
  <c r="J75" i="16"/>
  <c r="N74" i="16"/>
  <c r="M74" i="16"/>
  <c r="L74" i="16"/>
  <c r="K74" i="16"/>
  <c r="J74" i="16"/>
  <c r="N68" i="16"/>
  <c r="L68" i="16"/>
  <c r="K68" i="16"/>
  <c r="J68" i="16"/>
  <c r="N67" i="16"/>
  <c r="M67" i="16"/>
  <c r="L67" i="16"/>
  <c r="K67" i="16"/>
  <c r="J67" i="16"/>
  <c r="N61" i="16"/>
  <c r="L61" i="16"/>
  <c r="K61" i="16"/>
  <c r="J61" i="16"/>
  <c r="N60" i="16"/>
  <c r="M60" i="16"/>
  <c r="L60" i="16"/>
  <c r="K60" i="16"/>
  <c r="J60" i="16"/>
  <c r="N54" i="16"/>
  <c r="L54" i="16"/>
  <c r="K54" i="16"/>
  <c r="J54" i="16"/>
  <c r="N53" i="16"/>
  <c r="M53" i="16"/>
  <c r="L53" i="16"/>
  <c r="K53" i="16"/>
  <c r="J53" i="16"/>
  <c r="N47" i="16"/>
  <c r="L47" i="16"/>
  <c r="K47" i="16"/>
  <c r="J47" i="16"/>
  <c r="N46" i="16"/>
  <c r="M46" i="16"/>
  <c r="L46" i="16"/>
  <c r="K46" i="16"/>
  <c r="J46" i="16"/>
  <c r="N40" i="16"/>
  <c r="L40" i="16"/>
  <c r="K40" i="16"/>
  <c r="J40" i="16"/>
  <c r="N39" i="16"/>
  <c r="M39" i="16"/>
  <c r="L39" i="16"/>
  <c r="K39" i="16"/>
  <c r="J39" i="16"/>
  <c r="N33" i="16"/>
  <c r="L33" i="16"/>
  <c r="K33" i="16"/>
  <c r="J33" i="16"/>
  <c r="N32" i="16"/>
  <c r="M32" i="16"/>
  <c r="L32" i="16"/>
  <c r="K32" i="16"/>
  <c r="J32" i="16"/>
  <c r="N26" i="16"/>
  <c r="L26" i="16"/>
  <c r="K26" i="16"/>
  <c r="J26" i="16"/>
  <c r="N25" i="16"/>
  <c r="M25" i="16"/>
  <c r="L25" i="16"/>
  <c r="K25" i="16"/>
  <c r="J25" i="16"/>
  <c r="N19" i="16"/>
  <c r="L19" i="16"/>
  <c r="K19" i="16"/>
  <c r="J19" i="16"/>
  <c r="N18" i="16"/>
  <c r="M18" i="16"/>
  <c r="L18" i="16"/>
  <c r="K18" i="16"/>
  <c r="J18" i="16"/>
  <c r="W14" i="16"/>
  <c r="V14" i="16"/>
  <c r="U14" i="16"/>
  <c r="T14" i="16"/>
  <c r="W13" i="16"/>
  <c r="V13" i="16"/>
  <c r="U13" i="16"/>
  <c r="T13" i="16"/>
  <c r="W12" i="16"/>
  <c r="V12" i="16"/>
  <c r="U12" i="16"/>
  <c r="T12" i="16"/>
  <c r="N12" i="16"/>
  <c r="L12" i="16"/>
  <c r="K12" i="16"/>
  <c r="J12" i="16"/>
  <c r="W11" i="16"/>
  <c r="V11" i="16"/>
  <c r="U11" i="16"/>
  <c r="T11" i="16"/>
  <c r="N11" i="16"/>
  <c r="M11" i="16"/>
  <c r="L11" i="16"/>
  <c r="K11" i="16"/>
  <c r="J11" i="16"/>
  <c r="W10" i="16"/>
  <c r="V10" i="16"/>
  <c r="U10" i="16"/>
  <c r="T10" i="16"/>
  <c r="W9" i="16"/>
  <c r="V9" i="16"/>
  <c r="U9" i="16"/>
  <c r="T9" i="16"/>
  <c r="W8" i="16"/>
  <c r="V8" i="16"/>
  <c r="U8" i="16"/>
  <c r="T8" i="16"/>
  <c r="W7" i="16"/>
  <c r="V7" i="16"/>
  <c r="U7" i="16"/>
  <c r="T7" i="16"/>
  <c r="W6" i="16"/>
  <c r="V6" i="16"/>
  <c r="U6" i="16"/>
  <c r="T6" i="16"/>
  <c r="W5" i="16"/>
  <c r="V5" i="16"/>
  <c r="U5" i="16"/>
  <c r="T5" i="16"/>
  <c r="N5" i="16"/>
  <c r="L5" i="16"/>
  <c r="K5" i="16"/>
  <c r="J5" i="16"/>
  <c r="W4" i="16"/>
  <c r="V4" i="16"/>
  <c r="U4" i="16"/>
  <c r="T4" i="16"/>
  <c r="N4" i="16"/>
  <c r="M4" i="16"/>
  <c r="L4" i="16"/>
  <c r="K4" i="16"/>
  <c r="J4" i="16"/>
  <c r="H1" i="16"/>
  <c r="D29" i="17"/>
  <c r="E29" i="17" s="1"/>
  <c r="J13" i="17" s="1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I13" i="17"/>
  <c r="H13" i="17"/>
  <c r="G13" i="17"/>
  <c r="E13" i="17"/>
  <c r="D13" i="17"/>
  <c r="J12" i="17"/>
  <c r="I12" i="17"/>
  <c r="H12" i="17"/>
  <c r="G12" i="17"/>
  <c r="E12" i="17"/>
  <c r="D12" i="17"/>
  <c r="J11" i="17"/>
  <c r="I11" i="17"/>
  <c r="H11" i="17"/>
  <c r="G11" i="17"/>
  <c r="E11" i="17"/>
  <c r="D11" i="17"/>
  <c r="J10" i="17"/>
  <c r="I10" i="17"/>
  <c r="H10" i="17"/>
  <c r="G10" i="17"/>
  <c r="E10" i="17"/>
  <c r="D10" i="17"/>
  <c r="J9" i="17"/>
  <c r="I9" i="17"/>
  <c r="H9" i="17"/>
  <c r="G9" i="17"/>
  <c r="E9" i="17"/>
  <c r="D9" i="17"/>
  <c r="J8" i="17"/>
  <c r="I8" i="17"/>
  <c r="H8" i="17"/>
  <c r="G8" i="17"/>
  <c r="E8" i="17"/>
  <c r="D8" i="17"/>
  <c r="J7" i="17"/>
  <c r="I7" i="17"/>
  <c r="H7" i="17"/>
  <c r="G7" i="17"/>
  <c r="E7" i="17"/>
  <c r="D7" i="17"/>
  <c r="J6" i="17"/>
  <c r="I6" i="17"/>
  <c r="H6" i="17"/>
  <c r="G6" i="17"/>
  <c r="E6" i="17"/>
  <c r="D6" i="17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AE127" i="21"/>
  <c r="AD127" i="21"/>
  <c r="AC127" i="21"/>
  <c r="AB127" i="21"/>
  <c r="AA127" i="21"/>
  <c r="Z127" i="21"/>
  <c r="Y127" i="21"/>
  <c r="X127" i="21"/>
  <c r="W127" i="21"/>
  <c r="V127" i="21"/>
  <c r="U127" i="21"/>
  <c r="T127" i="21"/>
  <c r="S127" i="21"/>
  <c r="R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AE126" i="21"/>
  <c r="AD126" i="21"/>
  <c r="AC126" i="21"/>
  <c r="AB126" i="21"/>
  <c r="AA126" i="21"/>
  <c r="Z126" i="21"/>
  <c r="Y126" i="21"/>
  <c r="X126" i="21"/>
  <c r="W126" i="21"/>
  <c r="V126" i="21"/>
  <c r="U126" i="21"/>
  <c r="T126" i="21"/>
  <c r="S126" i="21"/>
  <c r="R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AE125" i="21"/>
  <c r="AD125" i="21"/>
  <c r="AC125" i="21"/>
  <c r="AB125" i="21"/>
  <c r="AA125" i="21"/>
  <c r="Z125" i="21"/>
  <c r="Y125" i="21"/>
  <c r="X125" i="21"/>
  <c r="W125" i="21"/>
  <c r="V125" i="21"/>
  <c r="U125" i="21"/>
  <c r="T125" i="21"/>
  <c r="S125" i="21"/>
  <c r="R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AE124" i="21"/>
  <c r="AD124" i="21"/>
  <c r="AC124" i="21"/>
  <c r="AB124" i="21"/>
  <c r="AA124" i="21"/>
  <c r="Z124" i="21"/>
  <c r="Y124" i="21"/>
  <c r="X124" i="21"/>
  <c r="W124" i="21"/>
  <c r="V124" i="21"/>
  <c r="U124" i="21"/>
  <c r="T124" i="21"/>
  <c r="S124" i="21"/>
  <c r="R124" i="21"/>
  <c r="P121" i="21"/>
  <c r="O121" i="21"/>
  <c r="N121" i="21"/>
  <c r="M121" i="21"/>
  <c r="AE120" i="21"/>
  <c r="AD120" i="21"/>
  <c r="AC120" i="21"/>
  <c r="AB120" i="21"/>
  <c r="AA120" i="21"/>
  <c r="Z120" i="21"/>
  <c r="Y120" i="21"/>
  <c r="X120" i="21"/>
  <c r="W120" i="21"/>
  <c r="V120" i="21"/>
  <c r="U120" i="21"/>
  <c r="T120" i="21"/>
  <c r="S120" i="21"/>
  <c r="R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AE119" i="21"/>
  <c r="AD119" i="21"/>
  <c r="AC119" i="21"/>
  <c r="AB119" i="21"/>
  <c r="AA119" i="21"/>
  <c r="Z119" i="21"/>
  <c r="Y119" i="21"/>
  <c r="X119" i="21"/>
  <c r="W119" i="21"/>
  <c r="V119" i="21"/>
  <c r="U119" i="21"/>
  <c r="T119" i="21"/>
  <c r="S119" i="21"/>
  <c r="R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AE118" i="21"/>
  <c r="AD118" i="21"/>
  <c r="AC118" i="21"/>
  <c r="AB118" i="21"/>
  <c r="AA118" i="21"/>
  <c r="Z118" i="21"/>
  <c r="Y118" i="21"/>
  <c r="X118" i="21"/>
  <c r="W118" i="21"/>
  <c r="V118" i="21"/>
  <c r="U118" i="21"/>
  <c r="T118" i="21"/>
  <c r="S118" i="21"/>
  <c r="R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AE117" i="21"/>
  <c r="AD117" i="21"/>
  <c r="AC117" i="21"/>
  <c r="AB117" i="21"/>
  <c r="AA117" i="21"/>
  <c r="Z117" i="21"/>
  <c r="Y117" i="21"/>
  <c r="X117" i="21"/>
  <c r="W117" i="21"/>
  <c r="V117" i="21"/>
  <c r="U117" i="21"/>
  <c r="T117" i="21"/>
  <c r="S117" i="21"/>
  <c r="R117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B104" i="21"/>
  <c r="AE103" i="21"/>
  <c r="AD103" i="21"/>
  <c r="AC103" i="21"/>
  <c r="AB103" i="21"/>
  <c r="AA103" i="21"/>
  <c r="Z103" i="21"/>
  <c r="Y103" i="21"/>
  <c r="X103" i="21"/>
  <c r="W103" i="21"/>
  <c r="V103" i="21"/>
  <c r="U103" i="21"/>
  <c r="T103" i="21"/>
  <c r="S103" i="21"/>
  <c r="R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AE102" i="21"/>
  <c r="AD102" i="21"/>
  <c r="AC102" i="21"/>
  <c r="AB102" i="21"/>
  <c r="AA102" i="21"/>
  <c r="Z102" i="21"/>
  <c r="Y102" i="21"/>
  <c r="X102" i="21"/>
  <c r="W102" i="21"/>
  <c r="V102" i="21"/>
  <c r="U102" i="21"/>
  <c r="T102" i="21"/>
  <c r="S102" i="21"/>
  <c r="R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AE101" i="21"/>
  <c r="AD101" i="21"/>
  <c r="AC101" i="21"/>
  <c r="AB101" i="21"/>
  <c r="AA101" i="21"/>
  <c r="Z101" i="21"/>
  <c r="Y101" i="21"/>
  <c r="X101" i="21"/>
  <c r="W101" i="21"/>
  <c r="V101" i="21"/>
  <c r="U101" i="21"/>
  <c r="T101" i="21"/>
  <c r="S101" i="21"/>
  <c r="R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AE100" i="21"/>
  <c r="AD100" i="21"/>
  <c r="AC100" i="21"/>
  <c r="AB100" i="21"/>
  <c r="AA100" i="21"/>
  <c r="Z100" i="21"/>
  <c r="Y100" i="21"/>
  <c r="X100" i="21"/>
  <c r="W100" i="21"/>
  <c r="V100" i="21"/>
  <c r="U100" i="21"/>
  <c r="T100" i="21"/>
  <c r="S100" i="21"/>
  <c r="R100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B97" i="21"/>
  <c r="AE96" i="21"/>
  <c r="AD96" i="21"/>
  <c r="AC96" i="21"/>
  <c r="AB96" i="21"/>
  <c r="AA96" i="21"/>
  <c r="Z96" i="21"/>
  <c r="Y96" i="21"/>
  <c r="X96" i="21"/>
  <c r="W96" i="21"/>
  <c r="V96" i="21"/>
  <c r="U96" i="21"/>
  <c r="T96" i="21"/>
  <c r="S96" i="21"/>
  <c r="R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AE95" i="21"/>
  <c r="AD95" i="21"/>
  <c r="AC95" i="21"/>
  <c r="AB95" i="21"/>
  <c r="AA95" i="21"/>
  <c r="Z95" i="21"/>
  <c r="Y95" i="21"/>
  <c r="X95" i="21"/>
  <c r="W95" i="21"/>
  <c r="V95" i="21"/>
  <c r="U95" i="21"/>
  <c r="T95" i="21"/>
  <c r="S95" i="21"/>
  <c r="R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AE94" i="21"/>
  <c r="AD94" i="21"/>
  <c r="AC94" i="21"/>
  <c r="AB94" i="21"/>
  <c r="AA94" i="21"/>
  <c r="Z94" i="21"/>
  <c r="Y94" i="21"/>
  <c r="X94" i="21"/>
  <c r="W94" i="21"/>
  <c r="V94" i="21"/>
  <c r="U94" i="21"/>
  <c r="T94" i="21"/>
  <c r="S94" i="21"/>
  <c r="R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O7" i="21"/>
  <c r="N7" i="21"/>
  <c r="M7" i="21"/>
  <c r="L7" i="21"/>
  <c r="K7" i="21"/>
  <c r="J7" i="21"/>
  <c r="I7" i="21"/>
  <c r="H7" i="21"/>
  <c r="G7" i="21"/>
  <c r="F7" i="21"/>
  <c r="E7" i="21"/>
  <c r="D7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G6" i="21"/>
  <c r="F6" i="21"/>
  <c r="E6" i="21"/>
  <c r="D6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X124" i="20"/>
  <c r="W124" i="20"/>
  <c r="V124" i="20"/>
  <c r="U124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X117" i="20"/>
  <c r="W117" i="20"/>
  <c r="V117" i="20"/>
  <c r="U117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X100" i="20"/>
  <c r="W100" i="20"/>
  <c r="V100" i="20"/>
  <c r="U100" i="20"/>
  <c r="AO97" i="20"/>
  <c r="AN97" i="20"/>
  <c r="AM97" i="20"/>
  <c r="AL97" i="20"/>
  <c r="AK97" i="20"/>
  <c r="AJ97" i="20"/>
  <c r="AI97" i="20"/>
  <c r="AD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X93" i="20"/>
  <c r="W93" i="20"/>
  <c r="V93" i="20"/>
  <c r="U93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X78" i="20"/>
  <c r="W78" i="20"/>
  <c r="V78" i="20"/>
  <c r="U78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X72" i="20"/>
  <c r="W72" i="20"/>
  <c r="V72" i="20"/>
  <c r="U72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X54" i="20"/>
  <c r="W54" i="20"/>
  <c r="V54" i="20"/>
  <c r="U54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X48" i="20"/>
  <c r="W48" i="20"/>
  <c r="V48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X32" i="20"/>
  <c r="W32" i="20"/>
  <c r="V32" i="20"/>
  <c r="U32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X26" i="20"/>
  <c r="W26" i="20"/>
  <c r="V26" i="20"/>
  <c r="U26" i="20"/>
  <c r="AD14" i="20"/>
  <c r="AC14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X10" i="20"/>
  <c r="W10" i="20"/>
  <c r="V10" i="20"/>
  <c r="U10" i="20"/>
  <c r="AD8" i="20"/>
  <c r="AC8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H26" i="28"/>
  <c r="H25" i="28"/>
  <c r="H24" i="28"/>
  <c r="H23" i="28"/>
  <c r="H22" i="28"/>
  <c r="H21" i="28"/>
  <c r="H20" i="28"/>
  <c r="H19" i="28"/>
  <c r="H18" i="28"/>
  <c r="H17" i="28"/>
  <c r="H16" i="28"/>
  <c r="K15" i="28"/>
  <c r="J15" i="28"/>
  <c r="H15" i="28"/>
  <c r="N14" i="28"/>
  <c r="M14" i="28"/>
  <c r="H14" i="28"/>
  <c r="H13" i="28"/>
  <c r="H12" i="28"/>
  <c r="H11" i="28"/>
  <c r="H10" i="28"/>
  <c r="H9" i="28"/>
  <c r="H8" i="28"/>
  <c r="H7" i="28"/>
  <c r="H6" i="28"/>
  <c r="H5" i="28"/>
  <c r="H4" i="28"/>
  <c r="H3" i="28"/>
  <c r="U26" i="14"/>
  <c r="T26" i="14"/>
  <c r="S26" i="14"/>
  <c r="R26" i="14"/>
  <c r="Q26" i="14"/>
  <c r="P26" i="14"/>
  <c r="O26" i="14"/>
  <c r="N26" i="14"/>
  <c r="M26" i="14"/>
  <c r="L26" i="14"/>
  <c r="H26" i="14"/>
  <c r="U25" i="14"/>
  <c r="T25" i="14"/>
  <c r="S25" i="14"/>
  <c r="R25" i="14"/>
  <c r="Q25" i="14"/>
  <c r="P25" i="14"/>
  <c r="O25" i="14"/>
  <c r="N25" i="14"/>
  <c r="M25" i="14"/>
  <c r="L25" i="14"/>
  <c r="H25" i="14"/>
  <c r="U24" i="14"/>
  <c r="T24" i="14"/>
  <c r="S24" i="14"/>
  <c r="R24" i="14"/>
  <c r="Q24" i="14"/>
  <c r="P24" i="14"/>
  <c r="O24" i="14"/>
  <c r="N24" i="14"/>
  <c r="M24" i="14"/>
  <c r="L24" i="14"/>
  <c r="H24" i="14"/>
  <c r="U23" i="14"/>
  <c r="T23" i="14"/>
  <c r="S23" i="14"/>
  <c r="R23" i="14"/>
  <c r="Q23" i="14"/>
  <c r="P23" i="14"/>
  <c r="O23" i="14"/>
  <c r="N23" i="14"/>
  <c r="M23" i="14"/>
  <c r="L23" i="14"/>
  <c r="H23" i="14"/>
  <c r="U22" i="14"/>
  <c r="T22" i="14"/>
  <c r="S22" i="14"/>
  <c r="R22" i="14"/>
  <c r="Q22" i="14"/>
  <c r="P22" i="14"/>
  <c r="O22" i="14"/>
  <c r="N22" i="14"/>
  <c r="M22" i="14"/>
  <c r="L22" i="14"/>
  <c r="H22" i="14"/>
  <c r="U21" i="14"/>
  <c r="T21" i="14"/>
  <c r="S21" i="14"/>
  <c r="R21" i="14"/>
  <c r="Q21" i="14"/>
  <c r="P21" i="14"/>
  <c r="O21" i="14"/>
  <c r="N21" i="14"/>
  <c r="M21" i="14"/>
  <c r="L21" i="14"/>
  <c r="K21" i="14"/>
  <c r="H21" i="14"/>
  <c r="U20" i="14"/>
  <c r="T20" i="14"/>
  <c r="S20" i="14"/>
  <c r="R20" i="14"/>
  <c r="Q20" i="14"/>
  <c r="P20" i="14"/>
  <c r="O20" i="14"/>
  <c r="N20" i="14"/>
  <c r="M20" i="14"/>
  <c r="L20" i="14"/>
  <c r="H20" i="14"/>
  <c r="U19" i="14"/>
  <c r="T19" i="14"/>
  <c r="S19" i="14"/>
  <c r="R19" i="14"/>
  <c r="Q19" i="14"/>
  <c r="P19" i="14"/>
  <c r="O19" i="14"/>
  <c r="N19" i="14"/>
  <c r="M19" i="14"/>
  <c r="L19" i="14"/>
  <c r="H19" i="14"/>
  <c r="U18" i="14"/>
  <c r="T18" i="14"/>
  <c r="S18" i="14"/>
  <c r="R18" i="14"/>
  <c r="Q18" i="14"/>
  <c r="P18" i="14"/>
  <c r="O18" i="14"/>
  <c r="N18" i="14"/>
  <c r="M18" i="14"/>
  <c r="L18" i="14"/>
  <c r="K18" i="14"/>
  <c r="H18" i="14"/>
  <c r="U17" i="14"/>
  <c r="T17" i="14"/>
  <c r="S17" i="14"/>
  <c r="R17" i="14"/>
  <c r="Q17" i="14"/>
  <c r="P17" i="14"/>
  <c r="O17" i="14"/>
  <c r="N17" i="14"/>
  <c r="M17" i="14"/>
  <c r="L17" i="14"/>
  <c r="H17" i="14"/>
  <c r="U16" i="14"/>
  <c r="T16" i="14"/>
  <c r="S16" i="14"/>
  <c r="R16" i="14"/>
  <c r="Q16" i="14"/>
  <c r="P16" i="14"/>
  <c r="O16" i="14"/>
  <c r="N16" i="14"/>
  <c r="M16" i="14"/>
  <c r="L16" i="14"/>
  <c r="H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H15" i="14"/>
  <c r="N14" i="14"/>
  <c r="M14" i="14"/>
  <c r="H14" i="14"/>
  <c r="H13" i="14"/>
  <c r="H12" i="14"/>
  <c r="H11" i="14"/>
  <c r="H10" i="14"/>
  <c r="H9" i="14"/>
  <c r="H8" i="14"/>
  <c r="H7" i="14"/>
  <c r="H6" i="14"/>
  <c r="H5" i="14"/>
  <c r="H4" i="14"/>
  <c r="T3" i="14"/>
  <c r="S3" i="14"/>
  <c r="R3" i="14"/>
  <c r="Q3" i="14"/>
  <c r="P3" i="14"/>
  <c r="O3" i="14"/>
  <c r="N3" i="14"/>
  <c r="M3" i="14"/>
  <c r="L3" i="14"/>
  <c r="H3" i="14"/>
  <c r="U3" i="14" s="1"/>
  <c r="V27" i="15"/>
  <c r="U27" i="15"/>
  <c r="S27" i="15"/>
  <c r="R27" i="15"/>
  <c r="Q27" i="15"/>
  <c r="P27" i="15"/>
  <c r="M27" i="15"/>
  <c r="J27" i="15"/>
  <c r="G27" i="15"/>
  <c r="D27" i="15"/>
  <c r="X26" i="15"/>
  <c r="W26" i="15"/>
  <c r="V26" i="15"/>
  <c r="U26" i="15"/>
  <c r="S26" i="15"/>
  <c r="R26" i="15"/>
  <c r="Q26" i="15"/>
  <c r="P26" i="15"/>
  <c r="M26" i="15"/>
  <c r="J26" i="15"/>
  <c r="G26" i="15"/>
  <c r="D26" i="15"/>
  <c r="X25" i="15"/>
  <c r="W25" i="15"/>
  <c r="V25" i="15"/>
  <c r="U25" i="15"/>
  <c r="S25" i="15"/>
  <c r="R25" i="15"/>
  <c r="Q25" i="15"/>
  <c r="P25" i="15"/>
  <c r="M25" i="15"/>
  <c r="J25" i="15"/>
  <c r="G25" i="15"/>
  <c r="D25" i="15"/>
  <c r="X24" i="15"/>
  <c r="W24" i="15"/>
  <c r="V24" i="15"/>
  <c r="U24" i="15"/>
  <c r="S24" i="15"/>
  <c r="R24" i="15"/>
  <c r="Q24" i="15"/>
  <c r="P24" i="15"/>
  <c r="M24" i="15"/>
  <c r="J24" i="15"/>
  <c r="G24" i="15"/>
  <c r="D24" i="15"/>
  <c r="X23" i="15"/>
  <c r="W23" i="15"/>
  <c r="V23" i="15"/>
  <c r="U23" i="15"/>
  <c r="S23" i="15"/>
  <c r="R23" i="15"/>
  <c r="Q23" i="15"/>
  <c r="P23" i="15"/>
  <c r="M23" i="15"/>
  <c r="J23" i="15"/>
  <c r="G23" i="15"/>
  <c r="D23" i="15"/>
  <c r="X22" i="15"/>
  <c r="W22" i="15"/>
  <c r="V22" i="15"/>
  <c r="U22" i="15"/>
  <c r="S22" i="15"/>
  <c r="R22" i="15"/>
  <c r="Q22" i="15"/>
  <c r="P22" i="15"/>
  <c r="M22" i="15"/>
  <c r="J22" i="15"/>
  <c r="G22" i="15"/>
  <c r="D22" i="15"/>
  <c r="X21" i="15"/>
  <c r="W21" i="15"/>
  <c r="V21" i="15"/>
  <c r="U21" i="15"/>
  <c r="S21" i="15"/>
  <c r="R21" i="15"/>
  <c r="Q21" i="15"/>
  <c r="P21" i="15"/>
  <c r="M21" i="15"/>
  <c r="J21" i="15"/>
  <c r="G21" i="15"/>
  <c r="D21" i="15"/>
  <c r="X20" i="15"/>
  <c r="W20" i="15"/>
  <c r="V20" i="15"/>
  <c r="U20" i="15"/>
  <c r="S20" i="15"/>
  <c r="R20" i="15"/>
  <c r="Q20" i="15"/>
  <c r="P20" i="15"/>
  <c r="M20" i="15"/>
  <c r="J20" i="15"/>
  <c r="G20" i="15"/>
  <c r="D20" i="15"/>
  <c r="X19" i="15"/>
  <c r="W19" i="15"/>
  <c r="V19" i="15"/>
  <c r="U19" i="15"/>
  <c r="S19" i="15"/>
  <c r="R19" i="15"/>
  <c r="Q19" i="15"/>
  <c r="P19" i="15"/>
  <c r="M19" i="15"/>
  <c r="J19" i="15"/>
  <c r="G19" i="15"/>
  <c r="D19" i="15"/>
  <c r="X18" i="15"/>
  <c r="W18" i="15"/>
  <c r="V18" i="15"/>
  <c r="U18" i="15"/>
  <c r="S18" i="15"/>
  <c r="R18" i="15"/>
  <c r="Q18" i="15"/>
  <c r="P18" i="15"/>
  <c r="M18" i="15"/>
  <c r="J18" i="15"/>
  <c r="G18" i="15"/>
  <c r="D18" i="15"/>
  <c r="X17" i="15"/>
  <c r="W17" i="15"/>
  <c r="V17" i="15"/>
  <c r="U17" i="15"/>
  <c r="S17" i="15"/>
  <c r="R17" i="15"/>
  <c r="Q17" i="15"/>
  <c r="P17" i="15"/>
  <c r="M17" i="15"/>
  <c r="J17" i="15"/>
  <c r="G17" i="15"/>
  <c r="D17" i="15"/>
  <c r="X16" i="15"/>
  <c r="W16" i="15"/>
  <c r="V16" i="15"/>
  <c r="U16" i="15"/>
  <c r="S16" i="15"/>
  <c r="R16" i="15"/>
  <c r="Q16" i="15"/>
  <c r="P16" i="15"/>
  <c r="M16" i="15"/>
  <c r="J16" i="15"/>
  <c r="G16" i="15"/>
  <c r="D16" i="15"/>
  <c r="X15" i="15"/>
  <c r="W15" i="15"/>
  <c r="V15" i="15"/>
  <c r="U15" i="15"/>
  <c r="S15" i="15"/>
  <c r="R15" i="15"/>
  <c r="Q15" i="15"/>
  <c r="P15" i="15"/>
  <c r="M15" i="15"/>
  <c r="J15" i="15"/>
  <c r="G15" i="15"/>
  <c r="D15" i="15"/>
  <c r="X14" i="15"/>
  <c r="W14" i="15"/>
  <c r="V14" i="15"/>
  <c r="U14" i="15"/>
  <c r="S14" i="15"/>
  <c r="R14" i="15"/>
  <c r="Q14" i="15"/>
  <c r="P14" i="15"/>
  <c r="M14" i="15"/>
  <c r="J14" i="15"/>
  <c r="G14" i="15"/>
  <c r="D14" i="15"/>
  <c r="X13" i="15"/>
  <c r="W13" i="15"/>
  <c r="V13" i="15"/>
  <c r="U13" i="15"/>
  <c r="S13" i="15"/>
  <c r="R13" i="15"/>
  <c r="Q13" i="15"/>
  <c r="P13" i="15"/>
  <c r="M13" i="15"/>
  <c r="J13" i="15"/>
  <c r="G13" i="15"/>
  <c r="D13" i="15"/>
  <c r="X12" i="15"/>
  <c r="W12" i="15"/>
  <c r="V12" i="15"/>
  <c r="U12" i="15"/>
  <c r="S12" i="15"/>
  <c r="R12" i="15"/>
  <c r="Q12" i="15"/>
  <c r="P12" i="15"/>
  <c r="M12" i="15"/>
  <c r="J12" i="15"/>
  <c r="G12" i="15"/>
  <c r="D12" i="15"/>
  <c r="X11" i="15"/>
  <c r="W11" i="15"/>
  <c r="V11" i="15"/>
  <c r="U11" i="15"/>
  <c r="S11" i="15"/>
  <c r="R11" i="15"/>
  <c r="Q11" i="15"/>
  <c r="P11" i="15"/>
  <c r="M11" i="15"/>
  <c r="J11" i="15"/>
  <c r="G11" i="15"/>
  <c r="D11" i="15"/>
  <c r="X10" i="15"/>
  <c r="W10" i="15"/>
  <c r="V10" i="15"/>
  <c r="U10" i="15"/>
  <c r="S10" i="15"/>
  <c r="R10" i="15"/>
  <c r="Q10" i="15"/>
  <c r="P10" i="15"/>
  <c r="M10" i="15"/>
  <c r="J10" i="15"/>
  <c r="G10" i="15"/>
  <c r="D10" i="15"/>
  <c r="X9" i="15"/>
  <c r="W9" i="15"/>
  <c r="V9" i="15"/>
  <c r="U9" i="15"/>
  <c r="S9" i="15"/>
  <c r="R9" i="15"/>
  <c r="Q9" i="15"/>
  <c r="P9" i="15"/>
  <c r="M9" i="15"/>
  <c r="J9" i="15"/>
  <c r="G9" i="15"/>
  <c r="D9" i="15"/>
  <c r="X8" i="15"/>
  <c r="W8" i="15"/>
  <c r="V8" i="15"/>
  <c r="U8" i="15"/>
  <c r="S8" i="15"/>
  <c r="R8" i="15"/>
  <c r="Q8" i="15"/>
  <c r="P8" i="15"/>
  <c r="M8" i="15"/>
  <c r="J8" i="15"/>
  <c r="G8" i="15"/>
  <c r="D8" i="15"/>
  <c r="X7" i="15"/>
  <c r="W7" i="15"/>
  <c r="V7" i="15"/>
  <c r="U7" i="15"/>
  <c r="S7" i="15"/>
  <c r="R7" i="15"/>
  <c r="Q7" i="15"/>
  <c r="P7" i="15"/>
  <c r="M7" i="15"/>
  <c r="J7" i="15"/>
  <c r="G7" i="15"/>
  <c r="D7" i="15"/>
  <c r="X6" i="15"/>
  <c r="W6" i="15"/>
  <c r="V6" i="15"/>
  <c r="U6" i="15"/>
  <c r="S6" i="15"/>
  <c r="R6" i="15"/>
  <c r="Q6" i="15"/>
  <c r="P6" i="15"/>
  <c r="M6" i="15"/>
  <c r="J6" i="15"/>
  <c r="G6" i="15"/>
  <c r="D6" i="15"/>
  <c r="X5" i="15"/>
  <c r="W5" i="15"/>
  <c r="V5" i="15"/>
  <c r="U5" i="15"/>
  <c r="S5" i="15"/>
  <c r="R5" i="15"/>
  <c r="Q5" i="15"/>
  <c r="P5" i="15"/>
  <c r="M5" i="15"/>
  <c r="J5" i="15"/>
  <c r="G5" i="15"/>
  <c r="D5" i="15"/>
  <c r="X4" i="15"/>
  <c r="W4" i="15"/>
  <c r="V4" i="15"/>
  <c r="U4" i="15"/>
  <c r="S4" i="15"/>
  <c r="R4" i="15"/>
  <c r="Q4" i="15"/>
  <c r="P4" i="15"/>
  <c r="M4" i="15"/>
  <c r="J4" i="15"/>
  <c r="G4" i="15"/>
  <c r="D4" i="15"/>
  <c r="S27" i="19"/>
  <c r="R27" i="19"/>
  <c r="Q27" i="19"/>
  <c r="P27" i="19"/>
  <c r="M27" i="19"/>
  <c r="J27" i="19"/>
  <c r="G27" i="19"/>
  <c r="D27" i="19"/>
  <c r="S26" i="19"/>
  <c r="R26" i="19"/>
  <c r="Q26" i="19"/>
  <c r="P26" i="19"/>
  <c r="M26" i="19"/>
  <c r="J26" i="19"/>
  <c r="G26" i="19"/>
  <c r="D26" i="19"/>
  <c r="S25" i="19"/>
  <c r="R25" i="19"/>
  <c r="Q25" i="19"/>
  <c r="P25" i="19"/>
  <c r="M25" i="19"/>
  <c r="J25" i="19"/>
  <c r="G25" i="19"/>
  <c r="D25" i="19"/>
  <c r="X24" i="19"/>
  <c r="W24" i="19"/>
  <c r="V24" i="19"/>
  <c r="U24" i="19"/>
  <c r="S24" i="19"/>
  <c r="R24" i="19"/>
  <c r="Q24" i="19"/>
  <c r="P24" i="19"/>
  <c r="M24" i="19"/>
  <c r="J24" i="19"/>
  <c r="G24" i="19"/>
  <c r="D24" i="19"/>
  <c r="X23" i="19"/>
  <c r="W23" i="19"/>
  <c r="V23" i="19"/>
  <c r="U23" i="19"/>
  <c r="S23" i="19"/>
  <c r="R23" i="19"/>
  <c r="Q23" i="19"/>
  <c r="P23" i="19"/>
  <c r="M23" i="19"/>
  <c r="J23" i="19"/>
  <c r="G23" i="19"/>
  <c r="D23" i="19"/>
  <c r="X22" i="19"/>
  <c r="W22" i="19"/>
  <c r="V22" i="19"/>
  <c r="U22" i="19"/>
  <c r="S22" i="19"/>
  <c r="R22" i="19"/>
  <c r="Q22" i="19"/>
  <c r="P22" i="19"/>
  <c r="M22" i="19"/>
  <c r="J22" i="19"/>
  <c r="G22" i="19"/>
  <c r="D22" i="19"/>
  <c r="X21" i="19"/>
  <c r="W21" i="19"/>
  <c r="V21" i="19"/>
  <c r="U21" i="19"/>
  <c r="S21" i="19"/>
  <c r="R21" i="19"/>
  <c r="Q21" i="19"/>
  <c r="P21" i="19"/>
  <c r="M21" i="19"/>
  <c r="J21" i="19"/>
  <c r="G21" i="19"/>
  <c r="D21" i="19"/>
  <c r="X20" i="19"/>
  <c r="W20" i="19"/>
  <c r="V20" i="19"/>
  <c r="U20" i="19"/>
  <c r="S20" i="19"/>
  <c r="R20" i="19"/>
  <c r="Q20" i="19"/>
  <c r="P20" i="19"/>
  <c r="M20" i="19"/>
  <c r="J20" i="19"/>
  <c r="G20" i="19"/>
  <c r="D20" i="19"/>
  <c r="X19" i="19"/>
  <c r="W19" i="19"/>
  <c r="V19" i="19"/>
  <c r="U19" i="19"/>
  <c r="S19" i="19"/>
  <c r="R19" i="19"/>
  <c r="Q19" i="19"/>
  <c r="P19" i="19"/>
  <c r="M19" i="19"/>
  <c r="J19" i="19"/>
  <c r="G19" i="19"/>
  <c r="D19" i="19"/>
  <c r="X18" i="19"/>
  <c r="W18" i="19"/>
  <c r="V18" i="19"/>
  <c r="U18" i="19"/>
  <c r="S18" i="19"/>
  <c r="R18" i="19"/>
  <c r="Q18" i="19"/>
  <c r="P18" i="19"/>
  <c r="M18" i="19"/>
  <c r="J18" i="19"/>
  <c r="G18" i="19"/>
  <c r="D18" i="19"/>
  <c r="X17" i="19"/>
  <c r="W17" i="19"/>
  <c r="V17" i="19"/>
  <c r="U17" i="19"/>
  <c r="S17" i="19"/>
  <c r="R17" i="19"/>
  <c r="Q17" i="19"/>
  <c r="P17" i="19"/>
  <c r="M17" i="19"/>
  <c r="J17" i="19"/>
  <c r="G17" i="19"/>
  <c r="D17" i="19"/>
  <c r="X16" i="19"/>
  <c r="W16" i="19"/>
  <c r="V16" i="19"/>
  <c r="U16" i="19"/>
  <c r="S16" i="19"/>
  <c r="R16" i="19"/>
  <c r="Q16" i="19"/>
  <c r="P16" i="19"/>
  <c r="M16" i="19"/>
  <c r="J16" i="19"/>
  <c r="G16" i="19"/>
  <c r="D16" i="19"/>
  <c r="X15" i="19"/>
  <c r="W15" i="19"/>
  <c r="V15" i="19"/>
  <c r="U15" i="19"/>
  <c r="S15" i="19"/>
  <c r="R15" i="19"/>
  <c r="Q15" i="19"/>
  <c r="P15" i="19"/>
  <c r="M15" i="19"/>
  <c r="J15" i="19"/>
  <c r="G15" i="19"/>
  <c r="D15" i="19"/>
  <c r="X14" i="19"/>
  <c r="W14" i="19"/>
  <c r="V14" i="19"/>
  <c r="U14" i="19"/>
  <c r="S14" i="19"/>
  <c r="R14" i="19"/>
  <c r="Q14" i="19"/>
  <c r="P14" i="19"/>
  <c r="M14" i="19"/>
  <c r="J14" i="19"/>
  <c r="G14" i="19"/>
  <c r="D14" i="19"/>
  <c r="X13" i="19"/>
  <c r="W13" i="19"/>
  <c r="V13" i="19"/>
  <c r="U13" i="19"/>
  <c r="S13" i="19"/>
  <c r="R13" i="19"/>
  <c r="Q13" i="19"/>
  <c r="P13" i="19"/>
  <c r="M13" i="19"/>
  <c r="J13" i="19"/>
  <c r="G13" i="19"/>
  <c r="D13" i="19"/>
  <c r="X12" i="19"/>
  <c r="W12" i="19"/>
  <c r="V12" i="19"/>
  <c r="U12" i="19"/>
  <c r="S12" i="19"/>
  <c r="R12" i="19"/>
  <c r="Q12" i="19"/>
  <c r="P12" i="19"/>
  <c r="M12" i="19"/>
  <c r="J12" i="19"/>
  <c r="G12" i="19"/>
  <c r="D12" i="19"/>
  <c r="X11" i="19"/>
  <c r="W11" i="19"/>
  <c r="V11" i="19"/>
  <c r="U11" i="19"/>
  <c r="S11" i="19"/>
  <c r="R11" i="19"/>
  <c r="Q11" i="19"/>
  <c r="P11" i="19"/>
  <c r="M11" i="19"/>
  <c r="J11" i="19"/>
  <c r="G11" i="19"/>
  <c r="D11" i="19"/>
  <c r="X10" i="19"/>
  <c r="W10" i="19"/>
  <c r="V10" i="19"/>
  <c r="U10" i="19"/>
  <c r="S10" i="19"/>
  <c r="R10" i="19"/>
  <c r="Q10" i="19"/>
  <c r="P10" i="19"/>
  <c r="M10" i="19"/>
  <c r="J10" i="19"/>
  <c r="G10" i="19"/>
  <c r="D10" i="19"/>
  <c r="X9" i="19"/>
  <c r="W9" i="19"/>
  <c r="V9" i="19"/>
  <c r="U9" i="19"/>
  <c r="S9" i="19"/>
  <c r="R9" i="19"/>
  <c r="Q9" i="19"/>
  <c r="P9" i="19"/>
  <c r="M9" i="19"/>
  <c r="J9" i="19"/>
  <c r="G9" i="19"/>
  <c r="D9" i="19"/>
  <c r="X8" i="19"/>
  <c r="W8" i="19"/>
  <c r="V8" i="19"/>
  <c r="U8" i="19"/>
  <c r="S8" i="19"/>
  <c r="R8" i="19"/>
  <c r="Q8" i="19"/>
  <c r="P8" i="19"/>
  <c r="M8" i="19"/>
  <c r="J8" i="19"/>
  <c r="G8" i="19"/>
  <c r="D8" i="19"/>
  <c r="X7" i="19"/>
  <c r="W7" i="19"/>
  <c r="V7" i="19"/>
  <c r="U7" i="19"/>
  <c r="S7" i="19"/>
  <c r="R7" i="19"/>
  <c r="Q7" i="19"/>
  <c r="P7" i="19"/>
  <c r="M7" i="19"/>
  <c r="J7" i="19"/>
  <c r="G7" i="19"/>
  <c r="D7" i="19"/>
  <c r="X6" i="19"/>
  <c r="W6" i="19"/>
  <c r="V6" i="19"/>
  <c r="U6" i="19"/>
  <c r="S6" i="19"/>
  <c r="R6" i="19"/>
  <c r="Q6" i="19"/>
  <c r="P6" i="19"/>
  <c r="M6" i="19"/>
  <c r="J6" i="19"/>
  <c r="G6" i="19"/>
  <c r="D6" i="19"/>
  <c r="X5" i="19"/>
  <c r="W5" i="19"/>
  <c r="V5" i="19"/>
  <c r="U5" i="19"/>
  <c r="S5" i="19"/>
  <c r="R5" i="19"/>
  <c r="Q5" i="19"/>
  <c r="P5" i="19"/>
  <c r="M5" i="19"/>
  <c r="J5" i="19"/>
  <c r="G5" i="19"/>
  <c r="D5" i="19"/>
  <c r="X4" i="19"/>
  <c r="W4" i="19"/>
  <c r="V4" i="19"/>
  <c r="U4" i="19"/>
  <c r="S4" i="19"/>
  <c r="R4" i="19"/>
  <c r="Q4" i="19"/>
  <c r="P4" i="19"/>
  <c r="M4" i="19"/>
  <c r="J4" i="19"/>
  <c r="G4" i="19"/>
  <c r="D4" i="19"/>
  <c r="Z52" i="6"/>
  <c r="Y52" i="6"/>
  <c r="X52" i="6"/>
  <c r="AE51" i="6"/>
  <c r="AD51" i="6"/>
  <c r="AC51" i="6"/>
  <c r="AB51" i="6"/>
  <c r="AA51" i="6"/>
  <c r="Z51" i="6"/>
  <c r="Y51" i="6"/>
  <c r="X51" i="6"/>
  <c r="W51" i="6"/>
  <c r="V51" i="6"/>
  <c r="T50" i="6"/>
  <c r="AE49" i="6"/>
  <c r="AD49" i="6"/>
  <c r="AA49" i="6"/>
  <c r="Z49" i="6"/>
  <c r="Y49" i="6"/>
  <c r="X49" i="6"/>
  <c r="W49" i="6"/>
  <c r="V49" i="6"/>
  <c r="AD48" i="6"/>
  <c r="AC48" i="6"/>
  <c r="AB48" i="6"/>
  <c r="AA48" i="6"/>
  <c r="Z48" i="6"/>
  <c r="Y48" i="6"/>
  <c r="X48" i="6"/>
  <c r="W48" i="6"/>
  <c r="V48" i="6"/>
  <c r="Q48" i="6"/>
  <c r="P48" i="6"/>
  <c r="O48" i="6"/>
  <c r="Q47" i="6"/>
  <c r="P47" i="6"/>
  <c r="O47" i="6"/>
  <c r="AD46" i="6"/>
  <c r="Q46" i="6"/>
  <c r="P46" i="6"/>
  <c r="AD45" i="6"/>
  <c r="S45" i="6"/>
  <c r="R45" i="6"/>
  <c r="Q45" i="6"/>
  <c r="P45" i="6"/>
  <c r="O45" i="6"/>
  <c r="AD44" i="6"/>
  <c r="Q44" i="6"/>
  <c r="P44" i="6"/>
  <c r="O44" i="6"/>
  <c r="Z39" i="6"/>
  <c r="Y39" i="6"/>
  <c r="X39" i="6"/>
  <c r="J39" i="6"/>
  <c r="I39" i="6"/>
  <c r="H39" i="6"/>
  <c r="G39" i="6"/>
  <c r="F39" i="6"/>
  <c r="E39" i="6"/>
  <c r="D39" i="6"/>
  <c r="C39" i="6"/>
  <c r="AE38" i="6"/>
  <c r="AD38" i="6"/>
  <c r="AC38" i="6"/>
  <c r="AB38" i="6"/>
  <c r="AA38" i="6"/>
  <c r="Z38" i="6"/>
  <c r="Y38" i="6"/>
  <c r="X38" i="6"/>
  <c r="W38" i="6"/>
  <c r="V38" i="6"/>
  <c r="T37" i="6"/>
  <c r="C37" i="6"/>
  <c r="AE36" i="6"/>
  <c r="AD36" i="6"/>
  <c r="AA36" i="6"/>
  <c r="Z36" i="6"/>
  <c r="Y36" i="6"/>
  <c r="X36" i="6"/>
  <c r="W36" i="6"/>
  <c r="V36" i="6"/>
  <c r="C36" i="6"/>
  <c r="AD35" i="6"/>
  <c r="AC35" i="6"/>
  <c r="AB35" i="6"/>
  <c r="AA35" i="6"/>
  <c r="Z35" i="6"/>
  <c r="Y35" i="6"/>
  <c r="X35" i="6"/>
  <c r="W35" i="6"/>
  <c r="V35" i="6"/>
  <c r="C35" i="6"/>
  <c r="F34" i="6"/>
  <c r="E34" i="6"/>
  <c r="C34" i="6"/>
  <c r="B34" i="6"/>
  <c r="AD33" i="6"/>
  <c r="I33" i="6"/>
  <c r="F33" i="6"/>
  <c r="C33" i="6"/>
  <c r="AD32" i="6"/>
  <c r="M32" i="6"/>
  <c r="L32" i="6"/>
  <c r="I32" i="6"/>
  <c r="H32" i="6"/>
  <c r="F32" i="6"/>
  <c r="C32" i="6"/>
  <c r="AD31" i="6"/>
  <c r="K27" i="6"/>
  <c r="B27" i="6"/>
  <c r="K26" i="6"/>
  <c r="B26" i="6"/>
  <c r="K25" i="6"/>
  <c r="B25" i="6"/>
  <c r="K24" i="6"/>
  <c r="B24" i="6"/>
  <c r="K23" i="6"/>
  <c r="B23" i="6"/>
  <c r="K22" i="6"/>
  <c r="B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39" i="6" s="1"/>
  <c r="K5" i="6"/>
  <c r="K4" i="6"/>
  <c r="K3" i="6"/>
  <c r="B3" i="6"/>
  <c r="K20" i="27"/>
  <c r="J20" i="27"/>
  <c r="I20" i="27"/>
  <c r="H20" i="27"/>
  <c r="G20" i="27"/>
  <c r="F20" i="27"/>
  <c r="E20" i="27"/>
  <c r="D20" i="27"/>
  <c r="C20" i="27"/>
  <c r="B20" i="27"/>
  <c r="Q16" i="27"/>
  <c r="O7" i="27"/>
  <c r="O6" i="27"/>
  <c r="O5" i="27"/>
  <c r="O4" i="27"/>
  <c r="O3" i="27"/>
  <c r="L13" i="4"/>
  <c r="V8" i="4"/>
  <c r="AC7" i="4"/>
  <c r="V7" i="4"/>
  <c r="T7" i="4"/>
  <c r="F7" i="4"/>
  <c r="AC6" i="4"/>
  <c r="W6" i="4"/>
  <c r="V6" i="4"/>
  <c r="T6" i="4"/>
  <c r="G6" i="4"/>
  <c r="AC5" i="4"/>
  <c r="X5" i="4"/>
  <c r="V5" i="4"/>
  <c r="T5" i="4"/>
  <c r="AC4" i="4"/>
  <c r="V4" i="4"/>
  <c r="T4" i="4"/>
  <c r="X3" i="4"/>
  <c r="W3" i="4"/>
  <c r="V3" i="4"/>
  <c r="T3" i="4"/>
  <c r="V2" i="4"/>
  <c r="T2" i="4"/>
  <c r="Y7" i="26"/>
  <c r="X7" i="26"/>
  <c r="AE6" i="26"/>
  <c r="Z6" i="26"/>
  <c r="Y6" i="26"/>
  <c r="X6" i="26"/>
  <c r="AE5" i="26"/>
  <c r="Y5" i="26"/>
  <c r="X5" i="26"/>
  <c r="AE4" i="26"/>
  <c r="Y4" i="26"/>
  <c r="X4" i="26"/>
  <c r="AA3" i="26"/>
  <c r="Y3" i="26"/>
  <c r="X3" i="26"/>
  <c r="Y2" i="26"/>
  <c r="X2" i="26"/>
  <c r="H40" i="6" l="1"/>
  <c r="D40" i="6"/>
  <c r="F40" i="6"/>
  <c r="E40" i="6"/>
  <c r="K40" i="6"/>
  <c r="G40" i="6"/>
  <c r="C40" i="6"/>
  <c r="J40" i="6"/>
  <c r="I40" i="6"/>
</calcChain>
</file>

<file path=xl/comments1.xml><?xml version="1.0" encoding="utf-8"?>
<comments xmlns="http://schemas.openxmlformats.org/spreadsheetml/2006/main">
  <authors>
    <author>Nilesh Gosavi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Nilesh Gosavi:</t>
        </r>
        <r>
          <rPr>
            <sz val="9"/>
            <color indexed="81"/>
            <rFont val="Tahoma"/>
            <family val="2"/>
          </rPr>
          <t xml:space="preserve">
Caustic soda cost per ton of soap &amp; noodles</t>
        </r>
      </text>
    </comment>
  </commentList>
</comments>
</file>

<file path=xl/sharedStrings.xml><?xml version="1.0" encoding="utf-8"?>
<sst xmlns="http://schemas.openxmlformats.org/spreadsheetml/2006/main" count="4244" uniqueCount="570">
  <si>
    <t>Target 2014</t>
  </si>
  <si>
    <t>YTD 2014</t>
  </si>
  <si>
    <t>Proc - OTIF %</t>
  </si>
  <si>
    <t>Prod - OTIF %</t>
  </si>
  <si>
    <t>Service</t>
  </si>
  <si>
    <t>Cash</t>
  </si>
  <si>
    <t>Cost</t>
  </si>
  <si>
    <t>Target 2015</t>
  </si>
  <si>
    <t>Cost improvement program (Rs. Lacs)</t>
  </si>
  <si>
    <t>Apr' 15</t>
  </si>
  <si>
    <t>May' 15</t>
  </si>
  <si>
    <t>Jun' 15</t>
  </si>
  <si>
    <t>July' 15</t>
  </si>
  <si>
    <t>Aug' 15</t>
  </si>
  <si>
    <t>Sep' 15</t>
  </si>
  <si>
    <t>Oct' 15</t>
  </si>
  <si>
    <t>Nov' 15</t>
  </si>
  <si>
    <t>Dec' 15</t>
  </si>
  <si>
    <t>Jan' 16</t>
  </si>
  <si>
    <t>Feb' 16</t>
  </si>
  <si>
    <t>Mar' 16</t>
  </si>
  <si>
    <t>Top Priorities 2015 - 2016</t>
  </si>
  <si>
    <t>YTD</t>
  </si>
  <si>
    <t>Reduce RM / PM stocks to 18 DIOH 
( Excluding non-moving )</t>
  </si>
  <si>
    <t xml:space="preserve">                    On target                                    &lt; 10%                                   &gt; 10% </t>
  </si>
  <si>
    <t>Month</t>
  </si>
  <si>
    <t>Target</t>
  </si>
  <si>
    <t>RM</t>
  </si>
  <si>
    <t>SFG</t>
  </si>
  <si>
    <t>FG</t>
  </si>
  <si>
    <t>PM</t>
  </si>
  <si>
    <t>Total Inventory</t>
  </si>
  <si>
    <t>Jan' 15</t>
  </si>
  <si>
    <t>Feb' 15</t>
  </si>
  <si>
    <t>Mar' 15</t>
  </si>
  <si>
    <t>Noodles</t>
  </si>
  <si>
    <t>Oil &amp; Fatty Acid</t>
  </si>
  <si>
    <t>June' 15</t>
  </si>
  <si>
    <t>Sept' 15</t>
  </si>
  <si>
    <t>DIOH</t>
  </si>
  <si>
    <t>Inventory Compression, SMOG &gt; 90 days plant age</t>
  </si>
  <si>
    <t>Total</t>
  </si>
  <si>
    <t>SMOG</t>
  </si>
  <si>
    <t>%</t>
  </si>
  <si>
    <t>Misc.</t>
  </si>
  <si>
    <t>Tech. &amp; Fuel</t>
  </si>
  <si>
    <t>SMOG Inventories, &gt; 180 days at plant level</t>
  </si>
  <si>
    <t>Note 2 : Tech. &amp; Fuel inventory not considered for SMOG reporting</t>
  </si>
  <si>
    <t>Note 1 : All values in Rs. Crores</t>
  </si>
  <si>
    <t>Jan'  16</t>
  </si>
  <si>
    <t>Feb ' 16</t>
  </si>
  <si>
    <t>TOTAL</t>
  </si>
  <si>
    <t>COB</t>
  </si>
  <si>
    <t>CMB</t>
  </si>
  <si>
    <t>Vita</t>
  </si>
  <si>
    <t>Syndet</t>
  </si>
  <si>
    <t>Powder</t>
  </si>
  <si>
    <t>May'15</t>
  </si>
  <si>
    <t>Last 3 month Avg CoGS</t>
  </si>
  <si>
    <t>CoGS</t>
  </si>
  <si>
    <t>Inventory</t>
  </si>
  <si>
    <t>SMOG %</t>
  </si>
  <si>
    <t>360 days</t>
  </si>
  <si>
    <t>Total Inventory - DIOH</t>
  </si>
  <si>
    <t>Total RM / PM Inventory - DIOH</t>
  </si>
  <si>
    <t>Total FG / SFG Inventory - DIOH</t>
  </si>
  <si>
    <t>Moving / Non-moving</t>
  </si>
  <si>
    <t>Top 20 inventory drivers</t>
  </si>
  <si>
    <t>Top 20 SMOG drivers</t>
  </si>
  <si>
    <t>Customer wise SMOG</t>
  </si>
  <si>
    <t>Steps to reduce Inventoy &amp; SMOG</t>
  </si>
  <si>
    <t>Plan cancellations per month in value &amp; Tonnage</t>
  </si>
  <si>
    <t>Includes KPI - SMOG targets to All, Improve Planning Accuracy, Reduction in Lead times &amp; MoQ</t>
  </si>
  <si>
    <t>Avg CoGS</t>
  </si>
  <si>
    <t>Avg RM Consum</t>
  </si>
  <si>
    <t>RM Consumption</t>
  </si>
  <si>
    <t>Moving Inventory</t>
  </si>
  <si>
    <t>Packing Materials</t>
  </si>
  <si>
    <t>Raw Materials</t>
  </si>
  <si>
    <t>Avg PM Consum</t>
  </si>
  <si>
    <t>PM Consumption</t>
  </si>
  <si>
    <t>Inventory Compression, SMOG &gt; 60 days plant age</t>
  </si>
  <si>
    <t>RM Total Inventory</t>
  </si>
  <si>
    <t>RM Moving Inventory</t>
  </si>
  <si>
    <t>PM Total Inventory</t>
  </si>
  <si>
    <t>PM Moving Inventory</t>
  </si>
  <si>
    <t xml:space="preserve">SFG </t>
  </si>
  <si>
    <t>SFG Total Inventory</t>
  </si>
  <si>
    <t>SFG Moving Inventory</t>
  </si>
  <si>
    <t>FG Total Inventory</t>
  </si>
  <si>
    <t>FG Moving Inventory</t>
  </si>
  <si>
    <t>RM+PM Inventory</t>
  </si>
  <si>
    <t>RM+PM Total Inventory</t>
  </si>
  <si>
    <t>Avg RM+PM Consum</t>
  </si>
  <si>
    <t>RM+PM Consum</t>
  </si>
  <si>
    <t>RM+PM Moving Inventory</t>
  </si>
  <si>
    <t>SFG+FG Inventory</t>
  </si>
  <si>
    <t>SFG+FG Total Inventory</t>
  </si>
  <si>
    <t>SFG+FG Moving Inventory</t>
  </si>
  <si>
    <t>Reduce SMOG ( &gt;90 days plant age) by 30% compared to 2014 ( Rs. Cr )</t>
  </si>
  <si>
    <t>Reduce FG/SFG/RFD to 6 DIOH (Excluding non-moving)</t>
  </si>
  <si>
    <t>Qty</t>
  </si>
  <si>
    <t>Caustic price included in Noodles</t>
  </si>
  <si>
    <t>Code</t>
  </si>
  <si>
    <t>Name and SKU of Customer</t>
  </si>
  <si>
    <t xml:space="preserve">Plan Cancellation </t>
  </si>
  <si>
    <t>Remarks</t>
  </si>
  <si>
    <t>New Persona Soap ( Pack of 3)</t>
  </si>
  <si>
    <t>NIVEA CREME SOFT SOAP 75GX4 CT NEW</t>
  </si>
  <si>
    <t>Plans available in Dec'15</t>
  </si>
  <si>
    <t>NIVEA CREME SOFT SOAP 125GX4CTNEW</t>
  </si>
  <si>
    <t>NEKO BOUQUET SOAP 75G CT</t>
  </si>
  <si>
    <t>JO LIME SOAP 100GM X 3+2 WP FREE</t>
  </si>
  <si>
    <t>JO LIME SOAP 80GM WP</t>
  </si>
  <si>
    <t>No Plans in Dec'15.</t>
  </si>
  <si>
    <t>JO ALMND&amp;CR SOAP 100GM X 3+2 WP FREE</t>
  </si>
  <si>
    <t>JO ALMND&amp;CR SOAP 125GM x 4WP</t>
  </si>
  <si>
    <t>JO ALMND&amp;CR SOAP 80GM WP</t>
  </si>
  <si>
    <t>DOY CARE SANDAL SOAP 50GM CT</t>
  </si>
  <si>
    <t>BACTERSHIELD ANTI-BACT SOAP 34GM WP</t>
  </si>
  <si>
    <t>DOY CARE CUCUMBER SOAP 125GMX4 MULTI-CT</t>
  </si>
  <si>
    <t>JO COCONUT&amp;OLIVE SOAP 55GX3WP+2JO55G FRE</t>
  </si>
  <si>
    <t>JO COCONUT&amp;OLIVE SOAP 100GM X 3+2WP FREE</t>
  </si>
  <si>
    <t>JO SANDAL 125X4</t>
  </si>
  <si>
    <t>J&amp;J BABY(11+1)OFFER SOAP 25G FW</t>
  </si>
  <si>
    <t>J&amp;J BABY 1/4LOTION SOAP 75G CT</t>
  </si>
  <si>
    <t>J&amp;J BABY(UPGRADE) SOAP 150G CT</t>
  </si>
  <si>
    <t>KZ SOAP 75 G</t>
  </si>
  <si>
    <t>Kz 50g PS</t>
  </si>
  <si>
    <t>JO SANDAL SOAP 60GMX5 WP</t>
  </si>
  <si>
    <t>DOY CARE MILK CRÈAM SOAP 50 GM CT</t>
  </si>
  <si>
    <t>DOY CARE HONEY SOAP 50 GM CT</t>
  </si>
  <si>
    <t>DOY CARE ALOEVERA SOAP 50GM CT</t>
  </si>
  <si>
    <t xml:space="preserve">Plan cancelled </t>
  </si>
  <si>
    <t>Customer</t>
  </si>
  <si>
    <t>RM Value</t>
  </si>
  <si>
    <t>PM Value</t>
  </si>
  <si>
    <t>Reason</t>
  </si>
  <si>
    <t>Caustic Price</t>
  </si>
  <si>
    <t>Noodles Value</t>
  </si>
  <si>
    <t>RM+PM Value</t>
  </si>
  <si>
    <t>J&amp;J BABY (UPGRADE) SOAP 50G CTJBM</t>
  </si>
  <si>
    <t>Plan in Nov'15.</t>
  </si>
  <si>
    <t>New</t>
  </si>
  <si>
    <t>J&amp;J BABY(33%EXTRA) SOAP 75G CT (7 Dz Case for CSD)</t>
  </si>
  <si>
    <t>Pan in Nov'15. Plan being cancelled since last 2 Months.</t>
  </si>
  <si>
    <t>NIVEA CREME SOFT SOAP 75GX4+1CTNEW</t>
  </si>
  <si>
    <t>30MT plan in Nov'15.</t>
  </si>
  <si>
    <t>DEW SOAP 100Gmx3</t>
  </si>
  <si>
    <t>JO LIME SOAP 65GM WP</t>
  </si>
  <si>
    <t>10MT Plan in Nov'15.</t>
  </si>
  <si>
    <t>No Plan in Nov'15.</t>
  </si>
  <si>
    <t>JO SANDAL SOAP 55GM+10GM EXTRA x 4WP</t>
  </si>
  <si>
    <t>BACTERSHIELD ANTI-BACT SOAP 60+10GM WP</t>
  </si>
  <si>
    <t>BACTERSHIELD NATURALS SOAP 60+10GM WP</t>
  </si>
  <si>
    <t>Amway</t>
  </si>
  <si>
    <t>Nivea</t>
  </si>
  <si>
    <t>Pfizer</t>
  </si>
  <si>
    <t>CPD</t>
  </si>
  <si>
    <t>J&amp;J</t>
  </si>
  <si>
    <t>H&amp;H</t>
  </si>
  <si>
    <t>Not able to produce</t>
  </si>
  <si>
    <t>NIVEA CREME SOFT SOAP 75G CT NEW</t>
  </si>
  <si>
    <t>CHANDAN SPARSH SOAP 150GX4</t>
  </si>
  <si>
    <t>JO LIME MINI SOAP 30GM WP</t>
  </si>
  <si>
    <t>JO LIME SOAP 60GMX5 WP</t>
  </si>
  <si>
    <t>Plan in Oct</t>
  </si>
  <si>
    <t>JO LIME SOAP 100GMX8 WP</t>
  </si>
  <si>
    <t>Plans in Oct.</t>
  </si>
  <si>
    <t>JO NEEM&amp;TULSI MINI SOAP 30GM WP</t>
  </si>
  <si>
    <t>JO NEEM&amp;TULSI SOAP 55GMX3WP+2 JO55G FREE</t>
  </si>
  <si>
    <t>JO NEEM&amp;TULSI SOAP 55GM+10GM EXTRA X 4WP</t>
  </si>
  <si>
    <t>JO NEEM&amp;TULSI SOAP 100GMX8 WP</t>
  </si>
  <si>
    <t>JO ALMOND MINI SOAP 30GM WP</t>
  </si>
  <si>
    <t>JO ALMND&amp;CR SOAP 55GMX3WP+2 JO55GM FREE</t>
  </si>
  <si>
    <t>JO ALMND&amp;CR SOAP 55GM+10GM EXTRA x 4WP</t>
  </si>
  <si>
    <t>JO ALMND&amp;CR SOAP 150GM X 4WP</t>
  </si>
  <si>
    <t>No Plans in Oct</t>
  </si>
  <si>
    <t>JO PEACH&amp;CREAM SOAP 55GM+10GM EXTRA x4WP</t>
  </si>
  <si>
    <t>JO PEACH&amp;CREAM SOAP 100GMX8 WP</t>
  </si>
  <si>
    <t>JO PEACH&amp;CREAM SOAP 125GM x 4WP</t>
  </si>
  <si>
    <t>DOY CARE MILK CRÈAM SOAP 125GM CT</t>
  </si>
  <si>
    <t>DOY CARE ALOEVERA SOAP 75GMX4 CT + Sandal 50gm</t>
  </si>
  <si>
    <t>DOY CARE ALOEVERA SOAP 125GMx4 MC +FW50ml</t>
  </si>
  <si>
    <t>DOY CARE HONEY &amp; GLY SOAP125GMx4 MULT-CT Fw50ml</t>
  </si>
  <si>
    <t>DOY CARE CUCUMBER SOAP 50GM CT</t>
  </si>
  <si>
    <t>6MT plan in Oct</t>
  </si>
  <si>
    <t>DOY CARE SANDAL SOAP 75GMX4 CT</t>
  </si>
  <si>
    <t>BACTERSHIELD ANTI-BACT SOAP 125GMX4 WP</t>
  </si>
  <si>
    <t>BACTERSHIELD NATURALS SOAP 125GMX4 WP</t>
  </si>
  <si>
    <t>DETTOL HAND SANITIZER 50ML</t>
  </si>
  <si>
    <t>BACTERSHIELD HW 900ML+1BOTTLE 215ML FREE</t>
  </si>
  <si>
    <t>5400 Plan in Oct. Balance RM/PM to be considered as plan Cancellation.</t>
  </si>
  <si>
    <t>BACTERSHIELD HW 900ML POUCH</t>
  </si>
  <si>
    <t>No Plans in Oct. Balance RM/PM to be considered as plan Cancellation.</t>
  </si>
  <si>
    <t>BACTERSHIELD HW Naturals 900ML POUCH</t>
  </si>
  <si>
    <t>BACTERSHIELD HW Naturals 900ML POUCH + 215ml Free</t>
  </si>
  <si>
    <t>DOY CARE ALOEVERA FACEWASH 15ML JAR PACK</t>
  </si>
  <si>
    <t>6400 Plan in Oct. Balance RM/PM to be considered as plan Cancellation.</t>
  </si>
  <si>
    <t>DOY CARE ALOEVERA FACEWASH 50ML 1 + 1 FREE</t>
  </si>
  <si>
    <t>38000 Plan in Oct Balance RM/PM to be considered as plan Cancellation.</t>
  </si>
  <si>
    <t xml:space="preserve">1MT plan in Oct. </t>
  </si>
  <si>
    <t xml:space="preserve">Plans in Oct. </t>
  </si>
  <si>
    <t>Plan in Oct..</t>
  </si>
  <si>
    <t xml:space="preserve">No Plans in Oct. </t>
  </si>
  <si>
    <t>DOY CARE ALOEVERA FACEWASH 50ML (Only for Baddi Offer pack)</t>
  </si>
  <si>
    <t>D Mart</t>
  </si>
  <si>
    <t>Reckitt</t>
  </si>
  <si>
    <t>DC</t>
  </si>
  <si>
    <t>Column Labels</t>
  </si>
  <si>
    <t>Grand Total</t>
  </si>
  <si>
    <t>Row Labels</t>
  </si>
  <si>
    <t>Sum of RM+PM Value</t>
  </si>
  <si>
    <t>JO LIME SOAP 55GM+10GM EXTRA x 4WP</t>
  </si>
  <si>
    <t>JO ALMOND SOAP 30GM WP</t>
  </si>
  <si>
    <t>JO PEACH&amp;CR SOAP 55GMX3WP+2 JO55GM FREE</t>
  </si>
  <si>
    <t>DOY CARE ALOEVERA SOAP 125GM CT</t>
  </si>
  <si>
    <t>DHS NATURAL 50ML</t>
  </si>
  <si>
    <t>BACTERSHIELD HW 215ML BOTTLE+1 REFILFREE KIT</t>
  </si>
  <si>
    <t>BACTERSHIELD HW Naturals 215ML BOTTLE+1 REFILFREE KIT</t>
  </si>
  <si>
    <t>BACTERSHIELD HW Naturals 185MLx2 REFILL+1 FREE KIT</t>
  </si>
  <si>
    <t>J&amp;J BABY(33%EXTRA) SOAP 75G CT</t>
  </si>
  <si>
    <t>SAVLON GLYCERINE SOAP 75GX3 ITC</t>
  </si>
  <si>
    <t>TETMOSOL SOAP 75g (EXPORT)</t>
  </si>
  <si>
    <t>JO ALMOND&amp;CREAM SOAP 60GMX5 WP</t>
  </si>
  <si>
    <t>JO PEACH&amp;CREAM SOAP 100GM X 3+2 WP FREE</t>
  </si>
  <si>
    <t>DOY CARE MILK CRÈAM SOAP 125GMX4MULTI-CT</t>
  </si>
  <si>
    <t>DOY CARE MILK CRÈAM SOAP 75GMX4 CT</t>
  </si>
  <si>
    <t>DOY CARE ALOEVERA SOAP 75GMX4 CT</t>
  </si>
  <si>
    <t>DOY CARE ALOEVERA SOAP 125GMX4 CT</t>
  </si>
  <si>
    <t>DOY CARE HONEY &amp; GLY SOAP125GMx4 MULT-CT</t>
  </si>
  <si>
    <t>DOY CARE CUCUMBER SOAP 75GMX4 CT</t>
  </si>
  <si>
    <t>BACTERSHIELD NATURALS SOAP 34GM WP</t>
  </si>
  <si>
    <t>ITC</t>
  </si>
  <si>
    <t>Piramal</t>
  </si>
  <si>
    <t>CCC=DIO+DSO-DPO</t>
  </si>
  <si>
    <t>DSO = Avg AR / Revenue per day</t>
  </si>
  <si>
    <t>DIO = Avg inventory / CoGS per day</t>
  </si>
  <si>
    <t>Per Day</t>
  </si>
  <si>
    <t>Avg</t>
  </si>
  <si>
    <t>DIO</t>
  </si>
  <si>
    <t>DSO</t>
  </si>
  <si>
    <t>DPO</t>
  </si>
  <si>
    <t>DPO = Avg AP / (Inventory increase+CoGS per day)</t>
  </si>
  <si>
    <t>CCC</t>
  </si>
  <si>
    <t>Godrej Consumer Products</t>
  </si>
  <si>
    <t>Hindustan Unilever Ltd</t>
  </si>
  <si>
    <t>Britania</t>
  </si>
  <si>
    <t>P&amp;G</t>
  </si>
  <si>
    <t>Nestle</t>
  </si>
  <si>
    <t>CCC ( days )</t>
  </si>
  <si>
    <t>Revenue ( Rs. Cr )</t>
  </si>
  <si>
    <t>Trade Receivables ( Rs. Cr )</t>
  </si>
  <si>
    <t>CoGS ( Rs. Cr )</t>
  </si>
  <si>
    <t>Inventory ( Rs. Cr )</t>
  </si>
  <si>
    <t>Trade Payables ( Rs. Cr )</t>
  </si>
  <si>
    <t>DIO ( days )</t>
  </si>
  <si>
    <t>DSO ( days )</t>
  </si>
  <si>
    <t>DPO ( days )</t>
  </si>
  <si>
    <t>Note 2 : Tech. &amp; Fuel, Oil &amp; Fatty Acid, Misc. inventory not considered for SMOG reporting</t>
  </si>
  <si>
    <t>Cash conversion cycle</t>
  </si>
  <si>
    <t>Reckitt Benckiser India</t>
  </si>
  <si>
    <t>JO LIME SOAP 55GMX3WP+2 JO55GM FREE</t>
  </si>
  <si>
    <t>JO LIME SOAP 150GM X 4WP</t>
  </si>
  <si>
    <t>JO SANDAL SOAP 55GMX3WP+2 JO55GM FREE</t>
  </si>
  <si>
    <t>DOY CARE MILK CRÈAM SOAP 75GMX4 CT+ Doy Sandal50g</t>
  </si>
  <si>
    <t>DOY CARE SANDAL SOAP 125GMX4 MULTI-CT (MRP-99)</t>
  </si>
  <si>
    <t>JOHNSON BABY POWDER 200G BT CRANBY</t>
  </si>
  <si>
    <t>Plan in Jan'16.</t>
  </si>
  <si>
    <t>No Plan in Jan'16.</t>
  </si>
  <si>
    <t xml:space="preserve">RM Value  </t>
  </si>
  <si>
    <t xml:space="preserve">PM Value  </t>
  </si>
  <si>
    <t>J&amp;J BABY MILK SOAP 75G CT TBP EXP</t>
  </si>
  <si>
    <t>JO LIME SOAP 100GMX4 WP +PEACH 60G FREE</t>
  </si>
  <si>
    <t>JO LIME SOAP 125GM x 4WP</t>
  </si>
  <si>
    <t>JO NEEM&amp;TULSI SOAP 100GMX4WP+PEACH60GFRE</t>
  </si>
  <si>
    <t>JO ALMOND&amp;CREAM SOAP 65GM WP</t>
  </si>
  <si>
    <t>JO ALMND&amp;CR SOAP 100GMX4WP+PEACH60G FREE</t>
  </si>
  <si>
    <t>JO SANDAL SOAP 100GMX4 WP+PEACH60G FREE</t>
  </si>
  <si>
    <t>BACTERSHIELD ULTRA BALANCE SOAP 125GX4WP</t>
  </si>
  <si>
    <t>BACTERSHIELD ULTRA NATURALS SOAP 60 WP</t>
  </si>
  <si>
    <t>BACTERSHIELD ULTRA FRESH SOAP 60 WP</t>
  </si>
  <si>
    <t>BACTERSHIELD ULTRA BALANCE SOAP 60 WP</t>
  </si>
  <si>
    <t>Plan in Feb'16</t>
  </si>
  <si>
    <t>No Plan in Feb'16</t>
  </si>
  <si>
    <t>5MT Plan in Feb'16</t>
  </si>
  <si>
    <t>12MT Plan in Feb'16.</t>
  </si>
  <si>
    <t>J&amp;J BABY SOAP 100GX3 CT (In New Die)</t>
  </si>
  <si>
    <t>J&amp;J BABY(UPGRADE) SOAP 150G CT (In New CFB Packing)</t>
  </si>
  <si>
    <t>J&amp;J BABY 1/4LOTION(CSD) SOAP 75G CT</t>
  </si>
  <si>
    <t>J&amp;J BABY MILK VIT(A+E) SOAP 75G CT (COSMOS)</t>
  </si>
  <si>
    <t>J&amp;J BABY BLOSSOM 1/4LTN SOAP 75G CT (COSMOS)</t>
  </si>
  <si>
    <t>Crème Care Soap 125 (NEW)</t>
  </si>
  <si>
    <t>Crème Care Soap 125 - Pack of 2 (NEW)</t>
  </si>
  <si>
    <t>Crème Care Soap 125 - Pack of 4 (NEW)</t>
  </si>
  <si>
    <t>Crème Care Soap 75 (NEW)</t>
  </si>
  <si>
    <t>Crème Care Soap 75 - Pack of 2 (NEW)</t>
  </si>
  <si>
    <t>Crème Care Soap 75 - Pack of 4 (NEW)</t>
  </si>
  <si>
    <t>Grace Soap for Dmart</t>
  </si>
  <si>
    <t>Ayurmix Soap for Dmart</t>
  </si>
  <si>
    <t>Toor Transparent 75g Soap for Marya Day</t>
  </si>
  <si>
    <t>Avelia Transparent Soap 75Gm (pack of 3's) (MHS Pharma)</t>
  </si>
  <si>
    <t>Laray Soap 75g</t>
  </si>
  <si>
    <t>Laray Soap 125g</t>
  </si>
  <si>
    <t>Uhad Health Soap</t>
  </si>
  <si>
    <t>JO LIME SOAP 100GX4 WP+ULTRA-FR 60G FREE</t>
  </si>
  <si>
    <t>JO NEEM SOAP 100GX4 WP+ULTRA-FR 60G FREE</t>
  </si>
  <si>
    <t>JO ALMND&amp;CR SOAP 100GX4 WP+ULTRA-FR 60G FREE</t>
  </si>
  <si>
    <t>JO SANDAL SOAP 100GMX8 WP</t>
  </si>
  <si>
    <t>JO SANDAL SOAP 100GX4 WP+ULTRA-FR 60G FREE</t>
  </si>
  <si>
    <t>JO COCONUT SOAP 100GX4 WP+ULTRA-FR 60G FREE</t>
  </si>
  <si>
    <t>DETTOL ANTISEPTIC LIQ 5 Liter</t>
  </si>
  <si>
    <t>BACTERSHIELD HW 185MLx2 REFILL+1 FREE KIT</t>
  </si>
  <si>
    <t>BACTERSHIELD HW 215ML+1BOTTLE 215ML FREE</t>
  </si>
  <si>
    <t>DOY CARE ALOEVERA FACEWASH 50ML</t>
  </si>
  <si>
    <t>Marya Day</t>
  </si>
  <si>
    <t>MHS Pharma</t>
  </si>
  <si>
    <t>RBI</t>
  </si>
  <si>
    <t>Plans in March</t>
  </si>
  <si>
    <t>No Plans in March.</t>
  </si>
  <si>
    <t>Plans in March Out of S&amp;OP.</t>
  </si>
  <si>
    <t>No Plans in March.CFB, Banding Tape -  exclusive for JO 100Gm + Ultra Offer and RM and PM for Bactershield Ultra to be considered for Cancellation.</t>
  </si>
  <si>
    <t>Plans in March.</t>
  </si>
  <si>
    <t>Target 2016</t>
  </si>
  <si>
    <t>JO ALMOND&amp;CREAM SOAP 100GMX8 WP</t>
  </si>
  <si>
    <t>DETTOL HAND SANITIZER 200ML</t>
  </si>
  <si>
    <t>DETTOL FLORAL ESS HANDSANITIZER 50ML</t>
  </si>
  <si>
    <t>DETTOL SPRING FRS HANDSANITIZER 50ML</t>
  </si>
  <si>
    <t>BACTORUB HANDRUB 500ml</t>
  </si>
  <si>
    <t>BACTORUB HANDRUB 100ml</t>
  </si>
  <si>
    <t>BACTORUB HANDRUB 5 L</t>
  </si>
  <si>
    <t>Plans in April'16.</t>
  </si>
  <si>
    <t>25MT Plan in April'16.</t>
  </si>
  <si>
    <t>April Plan out of S&amp;OP.</t>
  </si>
  <si>
    <t>No Plan in April'16.</t>
  </si>
  <si>
    <t>No Plans in April'16.</t>
  </si>
  <si>
    <t>Apr' 16</t>
  </si>
  <si>
    <t>May' 16</t>
  </si>
  <si>
    <t>Jun' 16</t>
  </si>
  <si>
    <t>July' 16</t>
  </si>
  <si>
    <t>Dispatch OTIF %</t>
  </si>
  <si>
    <t>Target 2017</t>
  </si>
  <si>
    <t>COGS - CMB</t>
  </si>
  <si>
    <t>COGS - CPD</t>
  </si>
  <si>
    <t>Sales - CMB</t>
  </si>
  <si>
    <t>Sales - CPD</t>
  </si>
  <si>
    <t>Total ( 16-17)</t>
  </si>
  <si>
    <t>Per Year</t>
  </si>
  <si>
    <t>Per Month</t>
  </si>
  <si>
    <t>For 42 days</t>
  </si>
  <si>
    <t>SMOG Reduction Target</t>
  </si>
  <si>
    <t>Top Priorities 2016 - 2017</t>
  </si>
  <si>
    <t>Actual 2015</t>
  </si>
  <si>
    <t>Other</t>
  </si>
  <si>
    <t>Days</t>
  </si>
  <si>
    <t>Noodle</t>
  </si>
  <si>
    <t>Average</t>
  </si>
  <si>
    <t>Average %</t>
  </si>
  <si>
    <t>Final</t>
  </si>
  <si>
    <t>As per current stock values average</t>
  </si>
  <si>
    <t>As per CoGS</t>
  </si>
  <si>
    <t>As per Adjusted</t>
  </si>
  <si>
    <t>Soaps</t>
  </si>
  <si>
    <t>Noodles-Tiljala</t>
  </si>
  <si>
    <t>DOY PURE&amp;MILD TRANSPARENT SOAP 125GMX3MC</t>
  </si>
  <si>
    <t>JOHNSON BABY POWDER 50G BT CRANBY</t>
  </si>
  <si>
    <t>DETTOL ANTISEPTIC LIQ 60ML</t>
  </si>
  <si>
    <t>JO PEACH&amp;CREAM SOAP 150GM x 4WP</t>
  </si>
  <si>
    <t>Plan Postponed in May'16.</t>
  </si>
  <si>
    <t>Plan Postponed till further Notice.</t>
  </si>
  <si>
    <t>Plan in May'16.</t>
  </si>
  <si>
    <t>3MT Plan in May'16.</t>
  </si>
  <si>
    <t>5MT Plan in May'16</t>
  </si>
  <si>
    <t>CoGS/Yr</t>
  </si>
  <si>
    <t>CoGS / Mn</t>
  </si>
  <si>
    <t>MTD</t>
  </si>
  <si>
    <t>LTM</t>
  </si>
  <si>
    <t>2015 - 2016</t>
  </si>
  <si>
    <t>2016 - 2017</t>
  </si>
  <si>
    <t>Aug' 16</t>
  </si>
  <si>
    <t>Sept' 16</t>
  </si>
  <si>
    <t>Oct' 16</t>
  </si>
  <si>
    <t>Nov' 16</t>
  </si>
  <si>
    <t>Dec' 16</t>
  </si>
  <si>
    <t>Jan' 17</t>
  </si>
  <si>
    <t>Feb' 17</t>
  </si>
  <si>
    <t>Mar' 17</t>
  </si>
  <si>
    <t>TETMOSOL SOAP 100g WP</t>
  </si>
  <si>
    <t>NIVEA CREME SOFT SOAP 125GX2CTNEW</t>
  </si>
  <si>
    <t>NIVEA CREME SOFT SOAP 125GX3CTNEW</t>
  </si>
  <si>
    <t>Candid Soap 100gm</t>
  </si>
  <si>
    <t>DOY CARE MILK CRÈAM SOAP 125GMX4MULTI-CT (MRP-110) For Dmart&amp;GT</t>
  </si>
  <si>
    <t>BACTERSHIELD ULTRA NATURALS SOAP125GX4WP</t>
  </si>
  <si>
    <t>BACTERSHIELD ULTRA FRESH SOAP 125GMX4 WP</t>
  </si>
  <si>
    <t>DOY CLEAR&amp;NATURAL TRANP SOAP 75GM CT</t>
  </si>
  <si>
    <t>DOY CLEAR&amp;NATURAL TRANP SOAP 125GMX3MC</t>
  </si>
  <si>
    <t>JOHNSON BABY POWDER 100G BT CRANBY 1PC</t>
  </si>
  <si>
    <t>Glenmark</t>
  </si>
  <si>
    <t>JO NEEM &amp; TULSI SOAP 100GM X 3+2 WP FREE</t>
  </si>
  <si>
    <t>JO SANDAL SOAP 100GM X 3+2 WP FREE</t>
  </si>
  <si>
    <t>JO COCONUT&amp;OLIVE SOAP 125GM X 4WP</t>
  </si>
  <si>
    <t>JO ROSE&amp;CREAM SOAP 100GM X 3+2WP FREE</t>
  </si>
  <si>
    <t>JO ROSE&amp;CREAM SOAP 125GM X 4WP</t>
  </si>
  <si>
    <t>DOY CARE ALOEVERA SOAP 125GMx4 MULTI-CT (MRP-110)</t>
  </si>
  <si>
    <t>DOY GENTEL&amp;MOISTURIZING TRAN SOAP125X3G</t>
  </si>
  <si>
    <t>JOHNSON BABY POWDER 400G BT CRANBY</t>
  </si>
  <si>
    <t>JO SANDAL SOAP 125GMX4 WP</t>
  </si>
  <si>
    <t>JO ROSE&amp;CREAM SOAP 55GX3WP+2JO55G FRE</t>
  </si>
  <si>
    <t>DOY CARE MILK CRÈAM SOAP 125GMX4MULTI-CT (MRP-110)</t>
  </si>
  <si>
    <t>Nivea Musk Talc 400g</t>
  </si>
  <si>
    <t>BACTERSHIELD HW 800ML POUCH</t>
  </si>
  <si>
    <t>BACTERSHIELD HW 800ML+1BOTTLE 215ML FREE</t>
  </si>
  <si>
    <t>Days Inventory on-hand ( DIOH )</t>
  </si>
  <si>
    <t>*</t>
  </si>
  <si>
    <t xml:space="preserve">                    On target                                        10%                              20% </t>
  </si>
  <si>
    <t>Sep' 16</t>
  </si>
  <si>
    <t>OTIF</t>
  </si>
  <si>
    <t>APR' 15</t>
  </si>
  <si>
    <t>MAY' 15</t>
  </si>
  <si>
    <t>JUN' 15</t>
  </si>
  <si>
    <t>JULY' 15</t>
  </si>
  <si>
    <t>AUG' 15</t>
  </si>
  <si>
    <t>SEPT' 15</t>
  </si>
  <si>
    <t>OCT' 15</t>
  </si>
  <si>
    <t>NOV' 15</t>
  </si>
  <si>
    <t>DEC' 15</t>
  </si>
  <si>
    <t>JAN' 16</t>
  </si>
  <si>
    <t>FEB' 16</t>
  </si>
  <si>
    <t>MAR' 16</t>
  </si>
  <si>
    <t>Despatch</t>
  </si>
  <si>
    <t>Production</t>
  </si>
  <si>
    <t>Procurement</t>
  </si>
  <si>
    <t>Marketing CMB</t>
  </si>
  <si>
    <t>Marketing CPD</t>
  </si>
  <si>
    <t>APR' 16</t>
  </si>
  <si>
    <t>MAY' 16</t>
  </si>
  <si>
    <t>JUN' 16</t>
  </si>
  <si>
    <t>JULY' 16</t>
  </si>
  <si>
    <t>AUG' 16</t>
  </si>
  <si>
    <t>SEPT' 16</t>
  </si>
  <si>
    <t>OCT' 16</t>
  </si>
  <si>
    <t>NOV' 16</t>
  </si>
  <si>
    <t>DEC' 16</t>
  </si>
  <si>
    <t>JAN' 17</t>
  </si>
  <si>
    <t>FEB' 17</t>
  </si>
  <si>
    <t>MAR' 17</t>
  </si>
  <si>
    <t>Procurement-RMPM</t>
  </si>
  <si>
    <t>Procurement-Oil</t>
  </si>
  <si>
    <t>Proc (RM / PM) - OTIF %</t>
  </si>
  <si>
    <t>JOHNSON'S BABY SOAP 50GM - DTV - B</t>
  </si>
  <si>
    <t>JOHNSON'S BABY BLOSSOM SOAP 75 GM – DTV</t>
  </si>
  <si>
    <t>NIVEA CREME SOFT SOAP 50G CT NEW</t>
  </si>
  <si>
    <t>NIVEA CREME SOFT SOAP 125G CT NEW</t>
  </si>
  <si>
    <t>NIVEA CRÈME CARE SOAP 75G CT</t>
  </si>
  <si>
    <t>DERMADEW 75g SOAP</t>
  </si>
  <si>
    <t>DERMADEW 50g PS SOAP</t>
  </si>
  <si>
    <t>DERMADEW ACNE SOAP 75G</t>
  </si>
  <si>
    <t>DERMADEW ACNE 50g PS</t>
  </si>
  <si>
    <t>Dermadew baby Soap 75Gm</t>
  </si>
  <si>
    <t>Dermadew Baby Soap 50g PS</t>
  </si>
  <si>
    <t>LS Dew Soap 75g</t>
  </si>
  <si>
    <t>LS Dew Soap 50g PS</t>
  </si>
  <si>
    <t>HH Mite 75g</t>
  </si>
  <si>
    <t>HH Mite 50g PS</t>
  </si>
  <si>
    <t>Dermadew Lite 75g</t>
  </si>
  <si>
    <t>Dermadew Lite 50g PS</t>
  </si>
  <si>
    <t>Ayurmix Soap 125g ( pack of 3)</t>
  </si>
  <si>
    <t>JO COCONUT&amp;OLIVE SOAP 100GM X 4WP + JO Coco 60Gm Free</t>
  </si>
  <si>
    <t>DOY PRINCESS SOAP 75GM CT</t>
  </si>
  <si>
    <t>DOY SAMBA SOAP 75GM CT</t>
  </si>
  <si>
    <t xml:space="preserve">DOY TEDDY SOAP 75GM CT </t>
  </si>
  <si>
    <t>BACTERSHIELD HW 800ML POUCH+800ML POUCH FREE</t>
  </si>
  <si>
    <t>DOY CARE ALOEVERA FACEWASH 100ML 1 + 1 FREE</t>
  </si>
  <si>
    <t>JOHNSON'S BABY SOAP 75GM (CSD) - DTV - B</t>
  </si>
  <si>
    <t>JOHNSON'S BABY MILK SOAP 75GM - DTV – B</t>
  </si>
  <si>
    <t>JOHNSON'S TOP TO TOE BAR 75G B</t>
  </si>
  <si>
    <t>NIVEA CREME SOFT SOAP 75GX2 CT NEW</t>
  </si>
  <si>
    <t>JO LIME SOAP 50GMX3WP+2 JO50GM FREE</t>
  </si>
  <si>
    <t>JO LIME SOAP 100GM X 4WP + JO Coco 60Gm Free</t>
  </si>
  <si>
    <t>JO ALMND&amp;CR SOAP 50GMX3WP+2 JO50GM FREE</t>
  </si>
  <si>
    <t>JO ALMOND &amp; C SOAP 100GM X 4WP + JO Coco 60Gm Free</t>
  </si>
  <si>
    <t>DOY CARE MILK CRÈAM SOAP 125GMX4 WM-MCT(MRP-110) For Dmart</t>
  </si>
  <si>
    <t>DOY CARE MILK CRÈAM SOAP 125GX4CT COFW50</t>
  </si>
  <si>
    <t>DOY CARE ALOEVERA SOAP 125GMX4 WM-MCT (MRP -110) For Dmart</t>
  </si>
  <si>
    <t>DOY CARE ALOEVERA SOAP 125Gx4 CT CO-FW50</t>
  </si>
  <si>
    <t>DOY CARE HONEY&amp;GLY SOAP125Gx4 CT CO-FW50</t>
  </si>
  <si>
    <t>DOY PURE&amp;MILD TRANSPARENT SOAP 75GM CT</t>
  </si>
  <si>
    <t>DOY GENTEL&amp;MOISTURIZING TRANP SOAP 75GM</t>
  </si>
  <si>
    <t>DOY CARE PURE CRÈME SILK PINK 70 GM WP</t>
  </si>
  <si>
    <t>DOY CARE PURE CRÈME SATIN WHITE 70 GM WP</t>
  </si>
  <si>
    <t>DOY CARE PURE CRÈME ALOE FRESH 70GM WP</t>
  </si>
  <si>
    <t>JOHNSON BABY POWDER 200G BT CRANBY-1PC</t>
  </si>
  <si>
    <t>Reduce SMOG ( &gt;90 days plant age) by 30% compared to 2015 ( Rs. Lacs )</t>
  </si>
  <si>
    <t>Note 1 : All values in Rs. Lacs. Provisions not factored</t>
  </si>
  <si>
    <r>
      <t xml:space="preserve">Note 1 : All values in Rs. Lacs      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Red color indicates increase from previous month</t>
    </r>
    <r>
      <rPr>
        <b/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0070C0"/>
        <rFont val="Calibri"/>
        <family val="2"/>
        <scheme val="minor"/>
      </rPr>
      <t>Blue color indicates reduction from previous month</t>
    </r>
  </si>
  <si>
    <t xml:space="preserve">JOHNSON'S BABY SOAP 75GM ( OFFER ) - DTV - B </t>
  </si>
  <si>
    <t>NIVEA CREME CARE SOAP 125GX2 CT</t>
  </si>
  <si>
    <t>JO NEEM&amp;TULSI SOAP 50GMX3WP+2 JO50G FREE</t>
  </si>
  <si>
    <t>JO SANDAL SOAP 50GMX3WP+2 JO50GM FREE</t>
  </si>
  <si>
    <t>JO Sandal 100GM X 4WP + JO Coco 60Gm Free</t>
  </si>
  <si>
    <t>JO COCONUT&amp;OLIVE SOAP 50GX3WP+2JO50G FRE</t>
  </si>
  <si>
    <t>JO ROSE&amp;CREAM SOAP 50GX3WP+2JO50G FRE</t>
  </si>
  <si>
    <t>JO Rose &amp; Cream 100GM X 4WP + JO Coco 60Gm Free</t>
  </si>
  <si>
    <t>BACTERSHIELD ANTI-BACT SOAP 60X4 WP</t>
  </si>
  <si>
    <t>JOHNSON BABY POWDER 400G BT CRANBY- 1PC</t>
  </si>
  <si>
    <t>Nivea Musk Talc 100g</t>
  </si>
  <si>
    <t>Nivea Pure Talc 100g</t>
  </si>
  <si>
    <t>DCN Face wash 50 ml B1G1</t>
  </si>
  <si>
    <t>DCH Face wash 15 ml Jar Pack</t>
  </si>
  <si>
    <t>JOHNSON'S BABY SOAP 25GM(11+1) - DTV - B</t>
  </si>
  <si>
    <t>JOHNSON'S BABY SOAP 75GM - DTV - B</t>
  </si>
  <si>
    <t>Johnson's Baby Soap 75 gm offer- DTV - B</t>
  </si>
  <si>
    <t>JOHNSON'S BABY SOAP 100GM - DTV - B</t>
  </si>
  <si>
    <t>JOHNSON'S BABY SOAP 100G 3+1 OFFER-DTV</t>
  </si>
  <si>
    <t>JOHNSON'S BABY SOAP 150GM - DTV - B</t>
  </si>
  <si>
    <t>TETMOSOL SOAP 100G  WP PACK OF 8</t>
  </si>
  <si>
    <t>ORIFLAME M&amp;H GOLDCREAMY EXP SOAP 100G CT</t>
  </si>
  <si>
    <t>SOFTSENS 75GM SOAP</t>
  </si>
  <si>
    <t>SOFTSENS 100GMX3 SOAP</t>
  </si>
  <si>
    <t>JO LIME SOAP 60GMX4 WP</t>
  </si>
  <si>
    <t>JO LIME SOAP 100GMX4 WP</t>
  </si>
  <si>
    <t>JO NEEM&amp;TULSI SOAP 100GMX4 WP</t>
  </si>
  <si>
    <t>JO ALMOND&amp;CREAM SOAP 60GMX4 WP</t>
  </si>
  <si>
    <t>JO ALMOND&amp;CREAM SOAP 100GMX4 WP</t>
  </si>
  <si>
    <t>JO SANDAL SOAP 60GMX4 WP</t>
  </si>
  <si>
    <t>JO PEACH&amp;CR SOAP 50GMX3WP+2 JO50GM FREE</t>
  </si>
  <si>
    <t>JO COCONUT&amp;OLIVE SOAP 100GM X 4WP</t>
  </si>
  <si>
    <t>DOY CARE PURE CRÈME ALOE FRESH 65GM WP</t>
  </si>
  <si>
    <t>JOHNSON BABY POWDER 700G BT CRANBY</t>
  </si>
  <si>
    <t>ITC 85:15</t>
  </si>
  <si>
    <t>Bactershield Hand Sanitizer 50 ml</t>
  </si>
  <si>
    <t>BACTERSHIELD Prf SURGI-AID  HANDRUB500ML</t>
  </si>
  <si>
    <t>DCN Face wash 100 ml B1G1</t>
  </si>
  <si>
    <t>Plan cancelled for Nov'16</t>
  </si>
  <si>
    <t>LL license &amp; artwork not available</t>
  </si>
  <si>
    <t>Plan hold due to price negotiations</t>
  </si>
  <si>
    <t>Oriflame</t>
  </si>
  <si>
    <t>All Values in Rs. Lacs</t>
  </si>
  <si>
    <t>PERSONA SOAP 75GX3 NEW OFFER NV</t>
  </si>
  <si>
    <t>JO PEACH&amp;CREAM SOAP 100GMX4 WP</t>
  </si>
  <si>
    <t>DOY CARE MILK CRÈAM SOAP 125GMX4 CT MRP 120 /-</t>
  </si>
  <si>
    <t>DOY CARE MILK CRÈAM SOAP 125GMX4 WM-MCT(MRP-120) For Dmart</t>
  </si>
  <si>
    <t>DCH Face wash 100 ml B1G1</t>
  </si>
  <si>
    <t>Cancel</t>
  </si>
  <si>
    <t>Average / Month</t>
  </si>
  <si>
    <t>SMOG Inventories, &gt; 360 days at plant level</t>
  </si>
  <si>
    <t>SFG+FG</t>
  </si>
  <si>
    <t>Note 3 : Target considered is 30% reduction from Mar'16 value</t>
  </si>
  <si>
    <t>SCM &amp; Inventory Presentation</t>
  </si>
  <si>
    <t>General</t>
  </si>
  <si>
    <t>BU Head</t>
  </si>
  <si>
    <t>SCM KPI</t>
  </si>
  <si>
    <t>Planning Accuracy</t>
  </si>
  <si>
    <t>Demand / Supply Status</t>
  </si>
  <si>
    <t>Total SMOG in % inventory</t>
  </si>
  <si>
    <t>Action plan on SMOG Reduction</t>
  </si>
  <si>
    <t>Process improvements initiatives</t>
  </si>
  <si>
    <t>OTIF in Graphs</t>
  </si>
  <si>
    <t>DIOH graph</t>
  </si>
  <si>
    <t>SMOG graph</t>
  </si>
  <si>
    <t>Customer wise SMOG / actual non-moving stock</t>
  </si>
  <si>
    <t xml:space="preserve">       On target                                  10%                                 20%</t>
  </si>
  <si>
    <t>Dispatch-OTIF</t>
  </si>
  <si>
    <t>Months</t>
  </si>
  <si>
    <t>Prodn-OTIF</t>
  </si>
  <si>
    <t>Proc-OTIF</t>
  </si>
  <si>
    <t>CPD-Mktg OTIF</t>
  </si>
  <si>
    <t>CMB-Mktg OTIF</t>
  </si>
  <si>
    <t xml:space="preserve">       On target                                  10%                           20%</t>
  </si>
  <si>
    <t xml:space="preserve">       On target                                10%                             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</si>
</sst>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000"/>
    <numFmt numFmtId="168" formatCode="0.000"/>
    <numFmt numFmtId="169" formatCode="0.000000000000000%"/>
    <numFmt numFmtId="170" formatCode="0.00000000000"/>
    <numFmt numFmtId="171" formatCode="0.0000000000"/>
    <numFmt numFmtId="172" formatCode="0.0000000000000%"/>
    <numFmt numFmtId="173" formatCode="0.0%"/>
  </numFmts>
  <fonts count="4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4"/>
      <color theme="0"/>
      <name val="Calibri"/>
      <family val="2"/>
    </font>
    <font>
      <b/>
      <sz val="26"/>
      <color theme="0"/>
      <name val="Calibri"/>
      <family val="2"/>
    </font>
    <font>
      <b/>
      <sz val="28"/>
      <color theme="0"/>
      <name val="Calibri"/>
      <family val="2"/>
    </font>
    <font>
      <sz val="24"/>
      <color theme="1"/>
      <name val="Calibri"/>
      <family val="2"/>
    </font>
    <font>
      <sz val="22"/>
      <color theme="1"/>
      <name val="Calibri"/>
      <family val="2"/>
    </font>
    <font>
      <i/>
      <sz val="20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man Old Style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1" tint="0.499984740745262"/>
      </patternFill>
    </fill>
  </fills>
  <borders count="2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theme="0"/>
      </bottom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indexed="64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/>
      </top>
      <bottom style="medium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30" fillId="0" borderId="0"/>
    <xf numFmtId="9" fontId="30" fillId="0" borderId="0" applyFont="0" applyFill="0" applyBorder="0" applyAlignment="0" applyProtection="0"/>
    <xf numFmtId="0" fontId="31" fillId="0" borderId="0"/>
  </cellStyleXfs>
  <cellXfs count="2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7" fillId="3" borderId="0" xfId="0" applyFont="1" applyFill="1" applyBorder="1" applyAlignment="1">
      <alignment horizontal="left" vertical="center" wrapText="1"/>
    </xf>
    <xf numFmtId="1" fontId="7" fillId="3" borderId="0" xfId="0" applyNumberFormat="1" applyFont="1" applyFill="1" applyBorder="1" applyAlignment="1">
      <alignment horizontal="center" vertical="center" wrapText="1"/>
    </xf>
    <xf numFmtId="1" fontId="7" fillId="3" borderId="0" xfId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66" fontId="7" fillId="2" borderId="0" xfId="0" applyNumberFormat="1" applyFont="1" applyFill="1" applyBorder="1" applyAlignment="1">
      <alignment horizontal="center" vertical="center" wrapText="1"/>
    </xf>
    <xf numFmtId="1" fontId="7" fillId="3" borderId="5" xfId="1" applyNumberFormat="1" applyFont="1" applyFill="1" applyBorder="1" applyAlignment="1">
      <alignment horizontal="center" vertical="center" wrapText="1"/>
    </xf>
    <xf numFmtId="1" fontId="7" fillId="3" borderId="5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166" fontId="7" fillId="2" borderId="4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/>
    <xf numFmtId="166" fontId="7" fillId="3" borderId="0" xfId="0" applyNumberFormat="1" applyFont="1" applyFill="1" applyBorder="1" applyAlignment="1">
      <alignment horizontal="center" vertical="center" wrapText="1"/>
    </xf>
    <xf numFmtId="9" fontId="0" fillId="0" borderId="0" xfId="1" applyFont="1" applyBorder="1"/>
    <xf numFmtId="0" fontId="10" fillId="4" borderId="7" xfId="0" applyFont="1" applyFill="1" applyBorder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0" fillId="0" borderId="2" xfId="0" applyBorder="1"/>
    <xf numFmtId="1" fontId="7" fillId="2" borderId="9" xfId="0" applyNumberFormat="1" applyFont="1" applyFill="1" applyBorder="1" applyAlignment="1">
      <alignment horizontal="center" vertical="center" wrapText="1"/>
    </xf>
    <xf numFmtId="166" fontId="7" fillId="2" borderId="9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" fontId="12" fillId="0" borderId="10" xfId="0" applyNumberFormat="1" applyFont="1" applyBorder="1" applyAlignment="1">
      <alignment horizontal="center" vertical="center" wrapText="1"/>
    </xf>
    <xf numFmtId="1" fontId="12" fillId="0" borderId="0" xfId="0" applyNumberFormat="1" applyFont="1"/>
    <xf numFmtId="0" fontId="11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/>
    <xf numFmtId="167" fontId="12" fillId="0" borderId="0" xfId="0" applyNumberFormat="1" applyFont="1"/>
    <xf numFmtId="0" fontId="12" fillId="0" borderId="0" xfId="0" applyFont="1" applyAlignment="1">
      <alignment horizontal="left"/>
    </xf>
    <xf numFmtId="1" fontId="0" fillId="0" borderId="0" xfId="0" applyNumberFormat="1"/>
    <xf numFmtId="0" fontId="12" fillId="0" borderId="11" xfId="0" applyFont="1" applyBorder="1" applyAlignment="1"/>
    <xf numFmtId="0" fontId="12" fillId="0" borderId="0" xfId="0" applyFont="1" applyBorder="1" applyAlignment="1"/>
    <xf numFmtId="9" fontId="12" fillId="0" borderId="10" xfId="1" applyFont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Fill="1" applyBorder="1"/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10" xfId="1" applyFont="1" applyFill="1" applyBorder="1"/>
    <xf numFmtId="0" fontId="13" fillId="4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6" borderId="0" xfId="0" applyFill="1"/>
    <xf numFmtId="2" fontId="0" fillId="0" borderId="0" xfId="0" applyNumberFormat="1"/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Border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21" fillId="4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vertical="center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vertical="center" wrapText="1"/>
    </xf>
    <xf numFmtId="1" fontId="23" fillId="0" borderId="10" xfId="0" applyNumberFormat="1" applyFont="1" applyBorder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" fontId="25" fillId="0" borderId="0" xfId="0" applyNumberFormat="1" applyFont="1"/>
    <xf numFmtId="0" fontId="25" fillId="0" borderId="0" xfId="0" applyFont="1" applyAlignment="1">
      <alignment horizontal="left" vertical="center"/>
    </xf>
    <xf numFmtId="1" fontId="24" fillId="0" borderId="12" xfId="0" applyNumberFormat="1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9" fontId="25" fillId="0" borderId="0" xfId="1" applyFont="1" applyAlignment="1">
      <alignment horizontal="center" vertical="center"/>
    </xf>
    <xf numFmtId="1" fontId="28" fillId="0" borderId="0" xfId="0" applyNumberFormat="1" applyFont="1" applyBorder="1"/>
    <xf numFmtId="0" fontId="22" fillId="0" borderId="10" xfId="0" applyFont="1" applyBorder="1" applyAlignment="1">
      <alignment horizontal="left" vertical="center" wrapText="1"/>
    </xf>
    <xf numFmtId="9" fontId="0" fillId="0" borderId="0" xfId="1" applyFont="1"/>
    <xf numFmtId="0" fontId="23" fillId="0" borderId="10" xfId="0" applyFont="1" applyBorder="1" applyAlignment="1">
      <alignment horizontal="left" vertical="center" wrapText="1"/>
    </xf>
    <xf numFmtId="1" fontId="23" fillId="0" borderId="10" xfId="0" applyNumberFormat="1" applyFont="1" applyBorder="1" applyAlignment="1">
      <alignment horizontal="left" vertical="center" wrapText="1"/>
    </xf>
    <xf numFmtId="1" fontId="0" fillId="0" borderId="10" xfId="0" applyNumberFormat="1" applyBorder="1"/>
    <xf numFmtId="2" fontId="0" fillId="0" borderId="0" xfId="1" applyNumberFormat="1" applyFont="1" applyBorder="1"/>
    <xf numFmtId="0" fontId="10" fillId="4" borderId="7" xfId="0" applyFont="1" applyFill="1" applyBorder="1" applyAlignment="1">
      <alignment horizontal="center" vertical="center" textRotation="90" wrapText="1"/>
    </xf>
    <xf numFmtId="0" fontId="27" fillId="4" borderId="19" xfId="0" applyFont="1" applyFill="1" applyBorder="1" applyAlignment="1">
      <alignment horizontal="left" vertical="center" wrapText="1"/>
    </xf>
    <xf numFmtId="0" fontId="27" fillId="4" borderId="20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2" fontId="11" fillId="0" borderId="0" xfId="0" applyNumberFormat="1" applyFont="1" applyAlignment="1">
      <alignment horizontal="left"/>
    </xf>
    <xf numFmtId="166" fontId="12" fillId="0" borderId="0" xfId="0" applyNumberFormat="1" applyFont="1"/>
    <xf numFmtId="1" fontId="11" fillId="0" borderId="0" xfId="0" applyNumberFormat="1" applyFont="1" applyAlignment="1">
      <alignment horizontal="left"/>
    </xf>
    <xf numFmtId="9" fontId="12" fillId="0" borderId="0" xfId="1" applyFont="1"/>
    <xf numFmtId="1" fontId="14" fillId="5" borderId="1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left" vertical="center" wrapText="1"/>
    </xf>
    <xf numFmtId="9" fontId="12" fillId="0" borderId="0" xfId="0" applyNumberFormat="1" applyFont="1"/>
    <xf numFmtId="9" fontId="12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/>
    </xf>
    <xf numFmtId="9" fontId="12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 vertical="center"/>
    </xf>
    <xf numFmtId="1" fontId="24" fillId="8" borderId="15" xfId="0" applyNumberFormat="1" applyFont="1" applyFill="1" applyBorder="1" applyAlignment="1">
      <alignment horizontal="center" vertical="center"/>
    </xf>
    <xf numFmtId="1" fontId="24" fillId="8" borderId="18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4" fillId="9" borderId="10" xfId="0" applyNumberFormat="1" applyFont="1" applyFill="1" applyBorder="1" applyAlignment="1">
      <alignment horizontal="center" vertical="center"/>
    </xf>
    <xf numFmtId="1" fontId="24" fillId="7" borderId="10" xfId="0" applyNumberFormat="1" applyFont="1" applyFill="1" applyBorder="1" applyAlignment="1">
      <alignment horizontal="center" vertical="center"/>
    </xf>
    <xf numFmtId="1" fontId="24" fillId="8" borderId="10" xfId="0" applyNumberFormat="1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" fontId="26" fillId="0" borderId="16" xfId="0" applyNumberFormat="1" applyFont="1" applyBorder="1" applyAlignment="1">
      <alignment horizontal="center" vertical="center"/>
    </xf>
    <xf numFmtId="1" fontId="26" fillId="9" borderId="16" xfId="0" applyNumberFormat="1" applyFont="1" applyFill="1" applyBorder="1" applyAlignment="1">
      <alignment horizontal="center" vertical="center"/>
    </xf>
    <xf numFmtId="1" fontId="26" fillId="7" borderId="16" xfId="0" applyNumberFormat="1" applyFont="1" applyFill="1" applyBorder="1" applyAlignment="1">
      <alignment horizontal="center" vertical="center"/>
    </xf>
    <xf numFmtId="1" fontId="26" fillId="8" borderId="16" xfId="0" applyNumberFormat="1" applyFont="1" applyFill="1" applyBorder="1" applyAlignment="1">
      <alignment horizontal="center" vertical="center"/>
    </xf>
    <xf numFmtId="1" fontId="26" fillId="8" borderId="17" xfId="0" applyNumberFormat="1" applyFont="1" applyFill="1" applyBorder="1" applyAlignment="1">
      <alignment horizontal="center" vertical="center"/>
    </xf>
    <xf numFmtId="1" fontId="24" fillId="9" borderId="12" xfId="0" applyNumberFormat="1" applyFont="1" applyFill="1" applyBorder="1" applyAlignment="1">
      <alignment horizontal="center" vertical="center"/>
    </xf>
    <xf numFmtId="1" fontId="24" fillId="7" borderId="12" xfId="0" applyNumberFormat="1" applyFont="1" applyFill="1" applyBorder="1" applyAlignment="1">
      <alignment horizontal="center" vertical="center"/>
    </xf>
    <xf numFmtId="1" fontId="24" fillId="8" borderId="12" xfId="0" applyNumberFormat="1" applyFont="1" applyFill="1" applyBorder="1" applyAlignment="1">
      <alignment horizontal="center" vertical="center"/>
    </xf>
    <xf numFmtId="0" fontId="21" fillId="4" borderId="22" xfId="0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left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168" fontId="0" fillId="0" borderId="0" xfId="0" applyNumberFormat="1" applyBorder="1"/>
    <xf numFmtId="0" fontId="30" fillId="0" borderId="0" xfId="4" applyFont="1"/>
    <xf numFmtId="0" fontId="30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169" fontId="30" fillId="0" borderId="0" xfId="4" applyNumberFormat="1" applyFont="1" applyAlignment="1">
      <alignment vertical="center"/>
    </xf>
    <xf numFmtId="9" fontId="30" fillId="0" borderId="0" xfId="4" applyNumberFormat="1" applyFont="1" applyAlignment="1">
      <alignment vertical="center"/>
    </xf>
    <xf numFmtId="2" fontId="30" fillId="0" borderId="0" xfId="4" applyNumberFormat="1" applyFont="1" applyAlignment="1">
      <alignment horizontal="center" vertical="center"/>
    </xf>
    <xf numFmtId="0" fontId="32" fillId="0" borderId="0" xfId="0" applyFont="1"/>
    <xf numFmtId="0" fontId="33" fillId="10" borderId="23" xfId="4" applyFont="1" applyFill="1" applyBorder="1" applyAlignment="1">
      <alignment horizontal="left" vertical="center" wrapText="1" readingOrder="1"/>
    </xf>
    <xf numFmtId="0" fontId="33" fillId="10" borderId="24" xfId="4" applyFont="1" applyFill="1" applyBorder="1" applyAlignment="1">
      <alignment horizontal="center" vertical="center" wrapText="1"/>
    </xf>
    <xf numFmtId="0" fontId="33" fillId="10" borderId="23" xfId="4" applyFont="1" applyFill="1" applyBorder="1" applyAlignment="1">
      <alignment horizontal="center" vertical="center" wrapText="1"/>
    </xf>
    <xf numFmtId="9" fontId="33" fillId="10" borderId="23" xfId="4" applyNumberFormat="1" applyFont="1" applyFill="1" applyBorder="1" applyAlignment="1">
      <alignment horizontal="center" vertical="center" wrapText="1"/>
    </xf>
    <xf numFmtId="9" fontId="30" fillId="0" borderId="0" xfId="5" applyNumberFormat="1" applyFont="1" applyAlignment="1">
      <alignment vertical="center"/>
    </xf>
    <xf numFmtId="9" fontId="33" fillId="0" borderId="10" xfId="4" applyNumberFormat="1" applyFont="1" applyFill="1" applyBorder="1" applyAlignment="1">
      <alignment horizontal="center" vertical="center" wrapText="1"/>
    </xf>
    <xf numFmtId="0" fontId="34" fillId="11" borderId="19" xfId="0" applyFont="1" applyFill="1" applyBorder="1" applyAlignment="1">
      <alignment horizontal="center" vertical="center"/>
    </xf>
    <xf numFmtId="0" fontId="34" fillId="11" borderId="19" xfId="0" applyFont="1" applyFill="1" applyBorder="1" applyAlignment="1">
      <alignment horizontal="left" vertical="center"/>
    </xf>
    <xf numFmtId="0" fontId="11" fillId="0" borderId="0" xfId="4" applyFont="1" applyAlignment="1">
      <alignment horizontal="left" vertical="center"/>
    </xf>
    <xf numFmtId="0" fontId="30" fillId="0" borderId="0" xfId="4" applyFont="1" applyAlignment="1">
      <alignment horizontal="left" vertical="center"/>
    </xf>
    <xf numFmtId="1" fontId="0" fillId="0" borderId="10" xfId="0" applyNumberFormat="1" applyFont="1" applyFill="1" applyBorder="1" applyAlignment="1">
      <alignment horizontal="center"/>
    </xf>
    <xf numFmtId="170" fontId="12" fillId="0" borderId="0" xfId="0" applyNumberFormat="1" applyFont="1" applyAlignment="1">
      <alignment horizontal="left" vertical="center" wrapText="1"/>
    </xf>
    <xf numFmtId="171" fontId="12" fillId="0" borderId="0" xfId="0" applyNumberFormat="1" applyFont="1"/>
    <xf numFmtId="166" fontId="35" fillId="0" borderId="0" xfId="0" applyNumberFormat="1" applyFont="1" applyBorder="1"/>
    <xf numFmtId="9" fontId="30" fillId="0" borderId="0" xfId="4" applyNumberFormat="1" applyFont="1" applyAlignment="1">
      <alignment horizontal="left" vertical="center"/>
    </xf>
    <xf numFmtId="169" fontId="30" fillId="0" borderId="0" xfId="4" applyNumberFormat="1" applyFont="1" applyAlignment="1">
      <alignment horizontal="left" vertical="center"/>
    </xf>
    <xf numFmtId="9" fontId="30" fillId="0" borderId="0" xfId="1" applyFont="1" applyAlignment="1">
      <alignment horizontal="center" vertical="center"/>
    </xf>
    <xf numFmtId="1" fontId="7" fillId="2" borderId="0" xfId="1" applyNumberFormat="1" applyFont="1" applyFill="1" applyBorder="1" applyAlignment="1">
      <alignment horizontal="center" vertical="center" wrapText="1"/>
    </xf>
    <xf numFmtId="0" fontId="26" fillId="0" borderId="0" xfId="0" applyFont="1"/>
    <xf numFmtId="0" fontId="13" fillId="4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right" vertical="center" wrapText="1"/>
    </xf>
    <xf numFmtId="0" fontId="0" fillId="0" borderId="10" xfId="0" applyFont="1" applyBorder="1"/>
    <xf numFmtId="1" fontId="0" fillId="0" borderId="10" xfId="0" applyNumberFormat="1" applyFont="1" applyBorder="1"/>
    <xf numFmtId="1" fontId="23" fillId="0" borderId="10" xfId="0" applyNumberFormat="1" applyFont="1" applyBorder="1" applyAlignment="1">
      <alignment horizontal="right" vertical="center"/>
    </xf>
    <xf numFmtId="1" fontId="24" fillId="0" borderId="0" xfId="0" applyNumberFormat="1" applyFont="1" applyBorder="1" applyAlignment="1">
      <alignment horizontal="center" vertical="center"/>
    </xf>
    <xf numFmtId="0" fontId="24" fillId="0" borderId="0" xfId="0" pivotButton="1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/>
    </xf>
    <xf numFmtId="0" fontId="24" fillId="0" borderId="0" xfId="0" pivotButton="1" applyFont="1" applyBorder="1"/>
    <xf numFmtId="0" fontId="24" fillId="0" borderId="0" xfId="0" pivotButton="1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0" fontId="27" fillId="12" borderId="25" xfId="0" applyFont="1" applyFill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/>
    </xf>
    <xf numFmtId="0" fontId="36" fillId="0" borderId="0" xfId="0" quotePrefix="1" applyFont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36" fillId="0" borderId="0" xfId="0" applyFont="1"/>
    <xf numFmtId="0" fontId="27" fillId="12" borderId="0" xfId="0" applyFont="1" applyFill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 wrapText="1"/>
    </xf>
    <xf numFmtId="0" fontId="37" fillId="0" borderId="0" xfId="0" applyFont="1"/>
    <xf numFmtId="0" fontId="24" fillId="0" borderId="0" xfId="0" applyFont="1" applyBorder="1" applyAlignment="1">
      <alignment horizontal="center" wrapText="1"/>
    </xf>
    <xf numFmtId="1" fontId="0" fillId="6" borderId="10" xfId="0" applyNumberFormat="1" applyFill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9" fontId="30" fillId="0" borderId="0" xfId="4" applyNumberFormat="1" applyFont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33" fillId="10" borderId="0" xfId="4" applyFont="1" applyFill="1" applyBorder="1" applyAlignment="1">
      <alignment horizontal="center" vertical="center" wrapText="1"/>
    </xf>
    <xf numFmtId="9" fontId="33" fillId="10" borderId="0" xfId="4" applyNumberFormat="1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/>
    </xf>
    <xf numFmtId="9" fontId="33" fillId="0" borderId="0" xfId="4" applyNumberFormat="1" applyFont="1" applyFill="1" applyBorder="1" applyAlignment="1">
      <alignment horizontal="center" vertical="center" wrapText="1"/>
    </xf>
    <xf numFmtId="9" fontId="33" fillId="0" borderId="27" xfId="4" applyNumberFormat="1" applyFont="1" applyFill="1" applyBorder="1" applyAlignment="1">
      <alignment horizontal="center" vertical="center" wrapText="1"/>
    </xf>
    <xf numFmtId="9" fontId="33" fillId="0" borderId="10" xfId="1" applyFont="1" applyFill="1" applyBorder="1" applyAlignment="1">
      <alignment horizontal="center" vertical="center" wrapText="1"/>
    </xf>
    <xf numFmtId="0" fontId="1" fillId="0" borderId="0" xfId="4" applyFont="1" applyAlignment="1">
      <alignment horizontal="center" vertical="center"/>
    </xf>
    <xf numFmtId="9" fontId="33" fillId="9" borderId="10" xfId="4" applyNumberFormat="1" applyFont="1" applyFill="1" applyBorder="1" applyAlignment="1">
      <alignment horizontal="center" vertical="center" wrapText="1"/>
    </xf>
    <xf numFmtId="172" fontId="33" fillId="0" borderId="0" xfId="4" applyNumberFormat="1" applyFont="1" applyFill="1" applyBorder="1" applyAlignment="1">
      <alignment horizontal="center" vertical="center" wrapText="1"/>
    </xf>
    <xf numFmtId="173" fontId="33" fillId="0" borderId="0" xfId="1" applyNumberFormat="1" applyFont="1" applyFill="1" applyBorder="1" applyAlignment="1">
      <alignment horizontal="center" vertical="center" wrapText="1"/>
    </xf>
    <xf numFmtId="2" fontId="39" fillId="0" borderId="1" xfId="1" applyNumberFormat="1" applyFont="1" applyBorder="1"/>
    <xf numFmtId="0" fontId="6" fillId="4" borderId="8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10" fillId="4" borderId="7" xfId="0" applyFont="1" applyFill="1" applyBorder="1" applyAlignment="1">
      <alignment horizontal="center" vertical="center" textRotation="90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left" vertical="center" wrapText="1"/>
    </xf>
    <xf numFmtId="9" fontId="30" fillId="0" borderId="27" xfId="4" applyNumberFormat="1" applyFont="1" applyBorder="1" applyAlignment="1">
      <alignment horizontal="center" vertical="center"/>
    </xf>
    <xf numFmtId="0" fontId="30" fillId="0" borderId="27" xfId="4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38" fillId="0" borderId="0" xfId="0" applyFont="1" applyBorder="1" applyAlignment="1">
      <alignment horizontal="left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3" fillId="0" borderId="10" xfId="0" applyFont="1" applyBorder="1" applyAlignment="1">
      <alignment horizontal="center" vertical="center"/>
    </xf>
  </cellXfs>
  <cellStyles count="7">
    <cellStyle name="Comma 2" xfId="2"/>
    <cellStyle name="Normal" xfId="0" builtinId="0"/>
    <cellStyle name="Normal 2" xfId="3"/>
    <cellStyle name="Normal 3" xfId="4"/>
    <cellStyle name="Normal 5 2" xfId="6"/>
    <cellStyle name="Percent" xfId="1" builtinId="5"/>
    <cellStyle name="Percent 2" xfId="5"/>
  </cellStyles>
  <dxfs count="1201"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border>
        <right/>
        <top/>
        <bottom/>
      </border>
    </dxf>
    <dxf>
      <border>
        <left/>
        <top/>
        <bottom/>
        <vertical/>
        <horizontal/>
      </border>
    </dxf>
    <dxf>
      <alignment horizontal="left" vertical="center" wrapText="1" readingOrder="0"/>
    </dxf>
    <dxf>
      <alignment horizontal="left" vertical="center" wrapText="1" readingOrder="0"/>
    </dxf>
    <dxf>
      <numFmt numFmtId="1" formatCode="0"/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font>
        <sz val="12"/>
      </font>
    </dxf>
    <dxf>
      <font>
        <name val="Calibri"/>
        <scheme val="minor"/>
      </font>
    </dxf>
    <dxf>
      <numFmt numFmtId="2" formatCode="0.00"/>
    </dxf>
    <dxf>
      <alignment horizontal="left" readingOrder="0"/>
    </dxf>
    <dxf>
      <alignment horizontal="center" vertical="center" readingOrder="0"/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12"/>
      </font>
    </dxf>
    <dxf>
      <font>
        <name val="Calibri"/>
        <scheme val="minor"/>
      </font>
    </dxf>
    <dxf>
      <numFmt numFmtId="2" formatCode="0.00"/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OTIF!$B$23</c:f>
              <c:strCache>
                <c:ptCount val="1"/>
                <c:pt idx="0">
                  <c:v>Dispatch-OTIF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OTIF!$C$22:$N$22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OTIF!$C$23:$N$23</c:f>
              <c:numCache>
                <c:formatCode>0%</c:formatCode>
                <c:ptCount val="12"/>
                <c:pt idx="0">
                  <c:v>0.74660633484162897</c:v>
                </c:pt>
                <c:pt idx="1">
                  <c:v>0.81481481481481477</c:v>
                </c:pt>
                <c:pt idx="2">
                  <c:v>0.88151658767772512</c:v>
                </c:pt>
                <c:pt idx="3">
                  <c:v>0.8783783783783784</c:v>
                </c:pt>
                <c:pt idx="4">
                  <c:v>0.80132450331125826</c:v>
                </c:pt>
                <c:pt idx="5">
                  <c:v>0.62209302325581395</c:v>
                </c:pt>
                <c:pt idx="6">
                  <c:v>0.53521126760563376</c:v>
                </c:pt>
                <c:pt idx="7">
                  <c:v>0.81679389312977102</c:v>
                </c:pt>
                <c:pt idx="8">
                  <c:v>0.88721804511278191</c:v>
                </c:pt>
                <c:pt idx="9">
                  <c:v>0.8666666666666667</c:v>
                </c:pt>
                <c:pt idx="10">
                  <c:v>0.84353741496598644</c:v>
                </c:pt>
                <c:pt idx="11">
                  <c:v>0.84285714285714286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OTIF!$B$24</c:f>
              <c:strCache>
                <c:ptCount val="1"/>
                <c:pt idx="0">
                  <c:v>Target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OTIF!$C$22:$N$22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OTIF!$C$24:$N$24</c:f>
              <c:numCache>
                <c:formatCode>0%</c:formatCode>
                <c:ptCount val="12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51072"/>
        <c:axId val="150877312"/>
      </c:lineChart>
      <c:catAx>
        <c:axId val="16485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/>
        </c:spPr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50877312"/>
        <c:crosses val="autoZero"/>
        <c:auto val="0"/>
        <c:lblAlgn val="ctr"/>
        <c:lblOffset val="100"/>
        <c:noMultiLvlLbl val="0"/>
      </c:catAx>
      <c:valAx>
        <c:axId val="150877312"/>
        <c:scaling>
          <c:orientation val="minMax"/>
          <c:min val="0.5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648510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 sz="1000"/>
              <a:t>SFG+FG : SMOG</a:t>
            </a:r>
            <a:r>
              <a:rPr lang="en-IN" sz="1000" baseline="0"/>
              <a:t> ( &gt; 180 days )</a:t>
            </a:r>
            <a:endParaRPr lang="en-IN" sz="1000"/>
          </a:p>
        </c:rich>
      </c:tx>
      <c:layout>
        <c:manualLayout>
          <c:xMode val="edge"/>
          <c:yMode val="edge"/>
          <c:x val="0.29903428491360556"/>
          <c:y val="7.7562326869806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'SMOG-180'!$R$3:$R$24</c:f>
              <c:strCache>
                <c:ptCount val="4"/>
                <c:pt idx="0">
                  <c:v>Mar' 16</c:v>
                </c:pt>
                <c:pt idx="1">
                  <c:v>Jun' 16</c:v>
                </c:pt>
                <c:pt idx="2">
                  <c:v>Sept' 16</c:v>
                </c:pt>
                <c:pt idx="3">
                  <c:v>Dec' 16</c:v>
                </c:pt>
              </c:strCache>
            </c:strRef>
          </c:cat>
          <c:val>
            <c:numRef>
              <c:f>'SMOG-180'!$S$3:$S$24</c:f>
              <c:numCache>
                <c:formatCode>0</c:formatCode>
                <c:ptCount val="4"/>
                <c:pt idx="0">
                  <c:v>112.20012699999991</c:v>
                </c:pt>
                <c:pt idx="1">
                  <c:v>123.60509359999989</c:v>
                </c:pt>
                <c:pt idx="2">
                  <c:v>118.95860809999988</c:v>
                </c:pt>
                <c:pt idx="3">
                  <c:v>46.116920999999905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188416"/>
        <c:axId val="194189952"/>
      </c:lineChart>
      <c:catAx>
        <c:axId val="194188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189952"/>
        <c:crosses val="autoZero"/>
        <c:auto val="1"/>
        <c:lblAlgn val="ctr"/>
        <c:lblOffset val="100"/>
        <c:noMultiLvlLbl val="0"/>
      </c:catAx>
      <c:valAx>
        <c:axId val="19418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41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'RM-PM_DIOH_60'!$AD$5</c:f>
              <c:strCache>
                <c:ptCount val="1"/>
                <c:pt idx="0">
                  <c:v>RM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'RM-PM_DIOH_60'!$AE$4:$AN$4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'RM-PM_DIOH_60'!$AE$5:$AN$5</c:f>
              <c:numCache>
                <c:formatCode>0</c:formatCode>
                <c:ptCount val="10"/>
                <c:pt idx="0">
                  <c:v>11.494831473999994</c:v>
                </c:pt>
                <c:pt idx="1">
                  <c:v>8.7129112839999987</c:v>
                </c:pt>
                <c:pt idx="2">
                  <c:v>7.8098287090000031</c:v>
                </c:pt>
                <c:pt idx="3">
                  <c:v>8.0062667509999983</c:v>
                </c:pt>
                <c:pt idx="4">
                  <c:v>8.7664216239999959</c:v>
                </c:pt>
                <c:pt idx="5">
                  <c:v>9.4858685200000092</c:v>
                </c:pt>
                <c:pt idx="6">
                  <c:v>10.424672761999997</c:v>
                </c:pt>
                <c:pt idx="7">
                  <c:v>9.1430685819999997</c:v>
                </c:pt>
                <c:pt idx="8">
                  <c:v>10.034331837</c:v>
                </c:pt>
                <c:pt idx="9">
                  <c:v>12.987895133</c:v>
                </c:pt>
              </c:numCache>
            </c:numRef>
          </c:val>
        </c:ser>
        <c:ser>
          <c:idx val="1"/>
          <c:order val="1"/>
          <c:tx>
            <c:strRef>
              <c:f>'RM-PM_DIOH_60'!$AD$6</c:f>
              <c:strCache>
                <c:ptCount val="1"/>
                <c:pt idx="0">
                  <c:v>Avg RM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'RM-PM_DIOH_60'!$AE$4:$AN$4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'RM-PM_DIOH_60'!$AE$6:$AN$6</c:f>
              <c:numCache>
                <c:formatCode>0</c:formatCode>
                <c:ptCount val="10"/>
                <c:pt idx="0">
                  <c:v>8.5885521208487123</c:v>
                </c:pt>
                <c:pt idx="1">
                  <c:v>10.577400023312814</c:v>
                </c:pt>
                <c:pt idx="2">
                  <c:v>8.5575218383507003</c:v>
                </c:pt>
                <c:pt idx="3">
                  <c:v>8.8829348261393175</c:v>
                </c:pt>
                <c:pt idx="4">
                  <c:v>8.905390090990549</c:v>
                </c:pt>
                <c:pt idx="5">
                  <c:v>8.9449654318437091</c:v>
                </c:pt>
                <c:pt idx="6">
                  <c:v>9.1234635785870619</c:v>
                </c:pt>
                <c:pt idx="7">
                  <c:v>8.4357293525527162</c:v>
                </c:pt>
                <c:pt idx="8">
                  <c:v>7.8236129342977891</c:v>
                </c:pt>
                <c:pt idx="9">
                  <c:v>7.9807074694603068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31328"/>
        <c:axId val="196532864"/>
      </c:barChart>
      <c:lineChart>
        <c:grouping val="standard"/>
        <c:varyColors val="0"/>
        <c:ser>
          <c:idx val="2"/>
          <c:order val="2"/>
          <c:tx>
            <c:strRef>
              <c:f>'RM-PM_DIOH_60'!$AD$7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'RM-PM_DIOH_60'!$AE$4:$AN$4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'RM-PM_DIOH_60'!$AE$7:$AN$7</c:f>
              <c:numCache>
                <c:formatCode>0</c:formatCode>
                <c:ptCount val="10"/>
                <c:pt idx="0">
                  <c:v>40.151697208996225</c:v>
                </c:pt>
                <c:pt idx="1">
                  <c:v>24.711870397630488</c:v>
                </c:pt>
                <c:pt idx="2">
                  <c:v>27.378821310160511</c:v>
                </c:pt>
                <c:pt idx="3">
                  <c:v>27.039262049206091</c:v>
                </c:pt>
                <c:pt idx="4">
                  <c:v>29.531850489746162</c:v>
                </c:pt>
                <c:pt idx="5">
                  <c:v>31.814103449401966</c:v>
                </c:pt>
                <c:pt idx="6">
                  <c:v>34.278668420840404</c:v>
                </c:pt>
                <c:pt idx="7">
                  <c:v>32.515511818429438</c:v>
                </c:pt>
                <c:pt idx="8">
                  <c:v>38.477102284843419</c:v>
                </c:pt>
                <c:pt idx="9">
                  <c:v>48.822345071664316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'RM-PM_DIOH_60'!$AD$8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'RM-PM_DIOH_60'!$AE$4:$AN$4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'RM-PM_DIOH_60'!$AE$8:$AN$8</c:f>
              <c:numCache>
                <c:formatCode>General</c:formatCode>
                <c:ptCount val="1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21888"/>
        <c:axId val="200020352"/>
      </c:lineChart>
      <c:catAx>
        <c:axId val="196531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532864"/>
        <c:crosses val="autoZero"/>
        <c:auto val="1"/>
        <c:lblAlgn val="ctr"/>
        <c:lblOffset val="100"/>
        <c:noMultiLvlLbl val="0"/>
      </c:catAx>
      <c:valAx>
        <c:axId val="1965328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96531328"/>
        <c:crosses val="autoZero"/>
        <c:crossBetween val="between"/>
      </c:valAx>
      <c:valAx>
        <c:axId val="2000203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00021888"/>
        <c:crosses val="max"/>
        <c:crossBetween val="between"/>
      </c:valAx>
      <c:catAx>
        <c:axId val="20002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0203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4348451387654714E-2"/>
          <c:y val="3.5662803385531863E-2"/>
          <c:w val="0.83266382868899891"/>
          <c:h val="0.113405636611335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'RM-PM_DIOH_60'!$AD$11</c:f>
              <c:strCache>
                <c:ptCount val="1"/>
                <c:pt idx="0">
                  <c:v>RM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'RM-PM_DIOH_60'!$AE$10:$AN$10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'RM-PM_DIOH_60'!$AE$11:$AN$11</c:f>
              <c:numCache>
                <c:formatCode>0</c:formatCode>
                <c:ptCount val="10"/>
                <c:pt idx="0">
                  <c:v>5.5137985979999966</c:v>
                </c:pt>
                <c:pt idx="1">
                  <c:v>5.2254909980000015</c:v>
                </c:pt>
                <c:pt idx="2">
                  <c:v>4.0862128789999996</c:v>
                </c:pt>
                <c:pt idx="3">
                  <c:v>5.6693426729999992</c:v>
                </c:pt>
                <c:pt idx="4">
                  <c:v>6.451868036999997</c:v>
                </c:pt>
                <c:pt idx="5">
                  <c:v>7.0861283020000094</c:v>
                </c:pt>
                <c:pt idx="6">
                  <c:v>7.7438282209999976</c:v>
                </c:pt>
                <c:pt idx="7">
                  <c:v>6.5345554280000018</c:v>
                </c:pt>
                <c:pt idx="8">
                  <c:v>7.1225735609999994</c:v>
                </c:pt>
                <c:pt idx="9">
                  <c:v>10.501807456</c:v>
                </c:pt>
              </c:numCache>
            </c:numRef>
          </c:val>
        </c:ser>
        <c:ser>
          <c:idx val="1"/>
          <c:order val="1"/>
          <c:tx>
            <c:strRef>
              <c:f>'RM-PM_DIOH_60'!$AD$12</c:f>
              <c:strCache>
                <c:ptCount val="1"/>
                <c:pt idx="0">
                  <c:v>Avg RM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'RM-PM_DIOH_60'!$AE$10:$AN$10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'RM-PM_DIOH_60'!$AE$12:$AN$12</c:f>
              <c:numCache>
                <c:formatCode>0</c:formatCode>
                <c:ptCount val="10"/>
                <c:pt idx="0">
                  <c:v>8.5885521208487123</c:v>
                </c:pt>
                <c:pt idx="1">
                  <c:v>10.577400023312814</c:v>
                </c:pt>
                <c:pt idx="2">
                  <c:v>8.5575218383507003</c:v>
                </c:pt>
                <c:pt idx="3">
                  <c:v>8.8829348261393175</c:v>
                </c:pt>
                <c:pt idx="4">
                  <c:v>9.0025150909905491</c:v>
                </c:pt>
                <c:pt idx="5">
                  <c:v>9.0420904318437092</c:v>
                </c:pt>
                <c:pt idx="6">
                  <c:v>9.1234635785870619</c:v>
                </c:pt>
                <c:pt idx="7">
                  <c:v>8.4357293525527162</c:v>
                </c:pt>
                <c:pt idx="8">
                  <c:v>7.8236129342977891</c:v>
                </c:pt>
                <c:pt idx="9">
                  <c:v>7.9807074694603068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50944"/>
        <c:axId val="200069120"/>
      </c:barChart>
      <c:lineChart>
        <c:grouping val="standard"/>
        <c:varyColors val="0"/>
        <c:ser>
          <c:idx val="2"/>
          <c:order val="2"/>
          <c:tx>
            <c:strRef>
              <c:f>'RM-PM_DIOH_60'!$AD$13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'RM-PM_DIOH_60'!$AE$10:$AN$10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'RM-PM_DIOH_60'!$AE$13:$AN$13</c:f>
              <c:numCache>
                <c:formatCode>0</c:formatCode>
                <c:ptCount val="10"/>
                <c:pt idx="0">
                  <c:v>19.259818839366122</c:v>
                </c:pt>
                <c:pt idx="1">
                  <c:v>14.82072433627236</c:v>
                </c:pt>
                <c:pt idx="2">
                  <c:v>14.324986682549463</c:v>
                </c:pt>
                <c:pt idx="3">
                  <c:v>19.146856699827875</c:v>
                </c:pt>
                <c:pt idx="4">
                  <c:v>21.500218456029589</c:v>
                </c:pt>
                <c:pt idx="5">
                  <c:v>23.510475886343663</c:v>
                </c:pt>
                <c:pt idx="6">
                  <c:v>25.46344868140288</c:v>
                </c:pt>
                <c:pt idx="7">
                  <c:v>23.238851632986286</c:v>
                </c:pt>
                <c:pt idx="8">
                  <c:v>27.311832605274287</c:v>
                </c:pt>
                <c:pt idx="9">
                  <c:v>39.476979313627879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'RM-PM_DIOH_60'!$AD$14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'RM-PM_DIOH_60'!$AE$10:$AN$10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'RM-PM_DIOH_60'!$AE$14:$AN$14</c:f>
              <c:numCache>
                <c:formatCode>0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 formatCode="General">
                  <c:v>21</c:v>
                </c:pt>
                <c:pt idx="5" formatCode="General">
                  <c:v>21</c:v>
                </c:pt>
                <c:pt idx="6" formatCode="General">
                  <c:v>21</c:v>
                </c:pt>
                <c:pt idx="7" formatCode="General">
                  <c:v>21</c:v>
                </c:pt>
                <c:pt idx="8" formatCode="General">
                  <c:v>21</c:v>
                </c:pt>
                <c:pt idx="9" formatCode="General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2192"/>
        <c:axId val="200070656"/>
      </c:lineChart>
      <c:catAx>
        <c:axId val="200050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0069120"/>
        <c:crosses val="autoZero"/>
        <c:auto val="1"/>
        <c:lblAlgn val="ctr"/>
        <c:lblOffset val="100"/>
        <c:noMultiLvlLbl val="0"/>
      </c:catAx>
      <c:valAx>
        <c:axId val="2000691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0050944"/>
        <c:crosses val="autoZero"/>
        <c:crossBetween val="between"/>
      </c:valAx>
      <c:valAx>
        <c:axId val="2000706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00072192"/>
        <c:crosses val="max"/>
        <c:crossBetween val="between"/>
      </c:valAx>
      <c:catAx>
        <c:axId val="20007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00706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5421131971885398E-2"/>
          <c:y val="3.1784399786469131E-2"/>
          <c:w val="0.83085331898117953"/>
          <c:h val="8.661315364816511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'RM-PM_DIOH_60'!$AD$27</c:f>
              <c:strCache>
                <c:ptCount val="1"/>
                <c:pt idx="0">
                  <c:v>PM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'RM-PM_DIOH_60'!$AE$26:$AN$26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'RM-PM_DIOH_60'!$AE$27:$AN$27</c:f>
              <c:numCache>
                <c:formatCode>0</c:formatCode>
                <c:ptCount val="10"/>
                <c:pt idx="0">
                  <c:v>5.860400739000001</c:v>
                </c:pt>
                <c:pt idx="1">
                  <c:v>6.1455136440000029</c:v>
                </c:pt>
                <c:pt idx="2">
                  <c:v>6.0275370510000013</c:v>
                </c:pt>
                <c:pt idx="3">
                  <c:v>6.0384464879999999</c:v>
                </c:pt>
                <c:pt idx="4">
                  <c:v>6.0532744899999962</c:v>
                </c:pt>
                <c:pt idx="5">
                  <c:v>6.5476344319999953</c:v>
                </c:pt>
                <c:pt idx="6">
                  <c:v>4.956152895999999</c:v>
                </c:pt>
                <c:pt idx="7">
                  <c:v>5.8640044229999981</c:v>
                </c:pt>
                <c:pt idx="8">
                  <c:v>7.1815696680000034</c:v>
                </c:pt>
                <c:pt idx="9">
                  <c:v>6.97113870799999</c:v>
                </c:pt>
              </c:numCache>
            </c:numRef>
          </c:val>
        </c:ser>
        <c:ser>
          <c:idx val="1"/>
          <c:order val="1"/>
          <c:tx>
            <c:strRef>
              <c:f>'RM-PM_DIOH_60'!$AD$28</c:f>
              <c:strCache>
                <c:ptCount val="1"/>
                <c:pt idx="0">
                  <c:v>Avg 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'RM-PM_DIOH_60'!$AE$26:$AN$26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'RM-PM_DIOH_60'!$AE$28:$AN$28</c:f>
              <c:numCache>
                <c:formatCode>0</c:formatCode>
                <c:ptCount val="10"/>
                <c:pt idx="0">
                  <c:v>6.1442103233494576</c:v>
                </c:pt>
                <c:pt idx="1">
                  <c:v>6.9255002335440663</c:v>
                </c:pt>
                <c:pt idx="2">
                  <c:v>5.4295531319488903</c:v>
                </c:pt>
                <c:pt idx="3">
                  <c:v>6.2531919614026998</c:v>
                </c:pt>
                <c:pt idx="4">
                  <c:v>5.6370482287903654</c:v>
                </c:pt>
                <c:pt idx="5">
                  <c:v>5.8195507574368994</c:v>
                </c:pt>
                <c:pt idx="6">
                  <c:v>5.903770629213053</c:v>
                </c:pt>
                <c:pt idx="7">
                  <c:v>5.7970690826767806</c:v>
                </c:pt>
                <c:pt idx="8">
                  <c:v>5.4213268885113566</c:v>
                </c:pt>
                <c:pt idx="9">
                  <c:v>5.2966103979615875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44288"/>
        <c:axId val="216450176"/>
      </c:barChart>
      <c:lineChart>
        <c:grouping val="standard"/>
        <c:varyColors val="0"/>
        <c:ser>
          <c:idx val="2"/>
          <c:order val="2"/>
          <c:tx>
            <c:strRef>
              <c:f>'RM-PM_DIOH_60'!$AD$29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'RM-PM_DIOH_60'!$AE$26:$AN$26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'RM-PM_DIOH_60'!$AE$29:$AN$29</c:f>
              <c:numCache>
                <c:formatCode>0</c:formatCode>
                <c:ptCount val="10"/>
                <c:pt idx="0">
                  <c:v>28.614258451061257</c:v>
                </c:pt>
                <c:pt idx="1">
                  <c:v>26.621240791678183</c:v>
                </c:pt>
                <c:pt idx="2">
                  <c:v>33.304050468900023</c:v>
                </c:pt>
                <c:pt idx="3">
                  <c:v>28.969747891661417</c:v>
                </c:pt>
                <c:pt idx="4">
                  <c:v>32.215128792497211</c:v>
                </c:pt>
                <c:pt idx="5">
                  <c:v>33.753298346780461</c:v>
                </c:pt>
                <c:pt idx="6">
                  <c:v>25.184682166390161</c:v>
                </c:pt>
                <c:pt idx="7">
                  <c:v>30.346392320163506</c:v>
                </c:pt>
                <c:pt idx="8">
                  <c:v>39.740656571837853</c:v>
                </c:pt>
                <c:pt idx="9">
                  <c:v>39.484527938941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'RM-PM_DIOH_60'!$AD$30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'RM-PM_DIOH_60'!$AE$26:$AN$26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'RM-PM_DIOH_60'!$AE$30:$AN$30</c:f>
              <c:numCache>
                <c:formatCode>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 formatCode="General">
                  <c:v>15</c:v>
                </c:pt>
                <c:pt idx="5" formatCode="General">
                  <c:v>15</c:v>
                </c:pt>
                <c:pt idx="6" formatCode="General">
                  <c:v>15</c:v>
                </c:pt>
                <c:pt idx="7" formatCode="General">
                  <c:v>15</c:v>
                </c:pt>
                <c:pt idx="8" formatCode="General">
                  <c:v>15</c:v>
                </c:pt>
                <c:pt idx="9" formatCode="General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57600"/>
        <c:axId val="216451712"/>
      </c:lineChart>
      <c:catAx>
        <c:axId val="216444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450176"/>
        <c:crosses val="autoZero"/>
        <c:auto val="1"/>
        <c:lblAlgn val="ctr"/>
        <c:lblOffset val="100"/>
        <c:noMultiLvlLbl val="0"/>
      </c:catAx>
      <c:valAx>
        <c:axId val="2164501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6444288"/>
        <c:crosses val="autoZero"/>
        <c:crossBetween val="between"/>
      </c:valAx>
      <c:valAx>
        <c:axId val="2164517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16457600"/>
        <c:crosses val="max"/>
        <c:crossBetween val="between"/>
      </c:valAx>
      <c:catAx>
        <c:axId val="21645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6451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4348451387654714E-2"/>
          <c:y val="3.5662803385531863E-2"/>
          <c:w val="0.83400826276074602"/>
          <c:h val="9.437013890500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'RM-PM_DIOH_60'!$AD$33</c:f>
              <c:strCache>
                <c:ptCount val="1"/>
                <c:pt idx="0">
                  <c:v>PM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'RM-PM_DIOH_60'!$AE$32:$AN$32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'RM-PM_DIOH_60'!$AE$33:$AN$33</c:f>
              <c:numCache>
                <c:formatCode>0</c:formatCode>
                <c:ptCount val="10"/>
                <c:pt idx="0">
                  <c:v>3.9614045660000001</c:v>
                </c:pt>
                <c:pt idx="1">
                  <c:v>4.4099270010000025</c:v>
                </c:pt>
                <c:pt idx="2">
                  <c:v>3.6325173630000003</c:v>
                </c:pt>
                <c:pt idx="3">
                  <c:v>4.189911921000002</c:v>
                </c:pt>
                <c:pt idx="4">
                  <c:v>4.0837828139999957</c:v>
                </c:pt>
                <c:pt idx="5">
                  <c:v>4.2535311149999941</c:v>
                </c:pt>
                <c:pt idx="6">
                  <c:v>2.7510270959999996</c:v>
                </c:pt>
                <c:pt idx="7">
                  <c:v>3.994995267999998</c:v>
                </c:pt>
                <c:pt idx="8">
                  <c:v>5.0450595070000013</c:v>
                </c:pt>
                <c:pt idx="9">
                  <c:v>4.6214336589999903</c:v>
                </c:pt>
              </c:numCache>
            </c:numRef>
          </c:val>
        </c:ser>
        <c:ser>
          <c:idx val="1"/>
          <c:order val="1"/>
          <c:tx>
            <c:strRef>
              <c:f>'RM-PM_DIOH_60'!$AD$34</c:f>
              <c:strCache>
                <c:ptCount val="1"/>
                <c:pt idx="0">
                  <c:v>Avg 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'RM-PM_DIOH_60'!$AE$32:$AN$32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'RM-PM_DIOH_60'!$AE$34:$AN$34</c:f>
              <c:numCache>
                <c:formatCode>0</c:formatCode>
                <c:ptCount val="10"/>
                <c:pt idx="0">
                  <c:v>6.1442103233494576</c:v>
                </c:pt>
                <c:pt idx="1">
                  <c:v>6.9255002335440663</c:v>
                </c:pt>
                <c:pt idx="2">
                  <c:v>5.4295531319488903</c:v>
                </c:pt>
                <c:pt idx="3">
                  <c:v>6.2531919614026998</c:v>
                </c:pt>
                <c:pt idx="4">
                  <c:v>5.6370482287903654</c:v>
                </c:pt>
                <c:pt idx="5">
                  <c:v>5.8195507574368994</c:v>
                </c:pt>
                <c:pt idx="6">
                  <c:v>5.903770629213053</c:v>
                </c:pt>
                <c:pt idx="7">
                  <c:v>5.7970690826767806</c:v>
                </c:pt>
                <c:pt idx="8">
                  <c:v>5.4213268885113566</c:v>
                </c:pt>
                <c:pt idx="9">
                  <c:v>5.2966103979615875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34112"/>
        <c:axId val="216635648"/>
      </c:barChart>
      <c:lineChart>
        <c:grouping val="standard"/>
        <c:varyColors val="0"/>
        <c:ser>
          <c:idx val="2"/>
          <c:order val="2"/>
          <c:tx>
            <c:strRef>
              <c:f>'RM-PM_DIOH_60'!$AD$35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'RM-PM_DIOH_60'!$AE$32:$AN$32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'RM-PM_DIOH_60'!$AE$35:$AN$35</c:f>
              <c:numCache>
                <c:formatCode>0</c:formatCode>
                <c:ptCount val="10"/>
                <c:pt idx="0">
                  <c:v>19.342133606392295</c:v>
                </c:pt>
                <c:pt idx="1">
                  <c:v>19.102996977634611</c:v>
                </c:pt>
                <c:pt idx="2">
                  <c:v>20.070808451760044</c:v>
                </c:pt>
                <c:pt idx="3">
                  <c:v>20.101311203279284</c:v>
                </c:pt>
                <c:pt idx="4">
                  <c:v>21.733623600075109</c:v>
                </c:pt>
                <c:pt idx="5">
                  <c:v>21.927110660033357</c:v>
                </c:pt>
                <c:pt idx="6">
                  <c:v>13.979339317760891</c:v>
                </c:pt>
                <c:pt idx="7">
                  <c:v>20.67421594097333</c:v>
                </c:pt>
                <c:pt idx="8">
                  <c:v>27.917848955158604</c:v>
                </c:pt>
                <c:pt idx="9">
                  <c:v>26.175799115478984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'RM-PM_DIOH_60'!$AD$36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'RM-PM_DIOH_60'!$AE$32:$AN$32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'RM-PM_DIOH_60'!$AE$36:$AN$36</c:f>
              <c:numCache>
                <c:formatCode>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 formatCode="General">
                  <c:v>15</c:v>
                </c:pt>
                <c:pt idx="5" formatCode="General">
                  <c:v>15</c:v>
                </c:pt>
                <c:pt idx="6" formatCode="General">
                  <c:v>15</c:v>
                </c:pt>
                <c:pt idx="7" formatCode="General">
                  <c:v>15</c:v>
                </c:pt>
                <c:pt idx="8" formatCode="General">
                  <c:v>15</c:v>
                </c:pt>
                <c:pt idx="9" formatCode="General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3072"/>
        <c:axId val="216641536"/>
      </c:lineChart>
      <c:catAx>
        <c:axId val="21663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635648"/>
        <c:crosses val="autoZero"/>
        <c:auto val="1"/>
        <c:lblAlgn val="ctr"/>
        <c:lblOffset val="100"/>
        <c:noMultiLvlLbl val="0"/>
      </c:catAx>
      <c:valAx>
        <c:axId val="2166356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6634112"/>
        <c:crosses val="autoZero"/>
        <c:crossBetween val="between"/>
      </c:valAx>
      <c:valAx>
        <c:axId val="2166415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16643072"/>
        <c:crosses val="max"/>
        <c:crossBetween val="between"/>
      </c:valAx>
      <c:catAx>
        <c:axId val="21664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66415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465044349048257"/>
          <c:y val="9.475432345040476E-3"/>
          <c:w val="0.81207804602933908"/>
          <c:h val="0.11764109467553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'RM-PM_DIOH_60'!$AD$49</c:f>
              <c:strCache>
                <c:ptCount val="1"/>
                <c:pt idx="0">
                  <c:v>SFG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'RM-PM_DIOH_60'!$AE$48:$AN$48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'RM-PM_DIOH_60'!$AE$49:$AN$49</c:f>
              <c:numCache>
                <c:formatCode>0</c:formatCode>
                <c:ptCount val="10"/>
                <c:pt idx="0">
                  <c:v>2.6593421559999997</c:v>
                </c:pt>
                <c:pt idx="1">
                  <c:v>2.7100610149999995</c:v>
                </c:pt>
                <c:pt idx="2">
                  <c:v>3.7611123650000002</c:v>
                </c:pt>
                <c:pt idx="3">
                  <c:v>2.0649995670000001</c:v>
                </c:pt>
                <c:pt idx="4">
                  <c:v>5.4555636539999988</c:v>
                </c:pt>
                <c:pt idx="5">
                  <c:v>2.0535350839999991</c:v>
                </c:pt>
                <c:pt idx="6">
                  <c:v>1.9868783269999999</c:v>
                </c:pt>
                <c:pt idx="7">
                  <c:v>2.4223008789999994</c:v>
                </c:pt>
                <c:pt idx="8">
                  <c:v>1.7495409690000001</c:v>
                </c:pt>
                <c:pt idx="9">
                  <c:v>1.870473668</c:v>
                </c:pt>
              </c:numCache>
            </c:numRef>
          </c:val>
        </c:ser>
        <c:ser>
          <c:idx val="1"/>
          <c:order val="1"/>
          <c:tx>
            <c:strRef>
              <c:f>'RM-PM_DIOH_60'!$AD$50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1.8290640290507215E-3"/>
                  <c:y val="0.443130503611358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0.314784726503337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'RM-PM_DIOH_60'!$AE$48:$AN$48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'RM-PM_DIOH_60'!$AE$50:$AN$50</c:f>
              <c:numCache>
                <c:formatCode>0</c:formatCode>
                <c:ptCount val="10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36.072236818817714</c:v>
                </c:pt>
                <c:pt idx="5">
                  <c:v>37.918670253839714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88352"/>
        <c:axId val="218389888"/>
      </c:barChart>
      <c:lineChart>
        <c:grouping val="standard"/>
        <c:varyColors val="0"/>
        <c:ser>
          <c:idx val="2"/>
          <c:order val="2"/>
          <c:tx>
            <c:strRef>
              <c:f>'RM-PM_DIOH_60'!$AD$51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dLbl>
              <c:idx val="3"/>
              <c:layout>
                <c:manualLayout>
                  <c:x val="-1.8290640290507215E-3"/>
                  <c:y val="-4.6395871863369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8290640290507215E-3"/>
                  <c:y val="-1.1598967965842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658128058101443E-3"/>
                  <c:y val="2.3197935931684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'RM-PM_DIOH_60'!$AE$48:$AN$48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'RM-PM_DIOH_60'!$AE$51:$AN$51</c:f>
              <c:numCache>
                <c:formatCode>0</c:formatCode>
                <c:ptCount val="10"/>
                <c:pt idx="0">
                  <c:v>2.2285517683572951</c:v>
                </c:pt>
                <c:pt idx="1">
                  <c:v>1.9351845200778186</c:v>
                </c:pt>
                <c:pt idx="2">
                  <c:v>3.3464752829865714</c:v>
                </c:pt>
                <c:pt idx="3">
                  <c:v>1.8733168389165111</c:v>
                </c:pt>
                <c:pt idx="4">
                  <c:v>4.5371988003422139</c:v>
                </c:pt>
                <c:pt idx="5">
                  <c:v>1.6246891599201485</c:v>
                </c:pt>
                <c:pt idx="6">
                  <c:v>1.6497564323510756</c:v>
                </c:pt>
                <c:pt idx="7">
                  <c:v>1.9879743158193612</c:v>
                </c:pt>
                <c:pt idx="8">
                  <c:v>1.5472183370886674</c:v>
                </c:pt>
                <c:pt idx="9">
                  <c:v>1.7592578385819919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'RM-PM_DIOH_60'!$AD$52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'RM-PM_DIOH_60'!$AE$48:$AN$48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'RM-PM_DIOH_60'!$AE$52:$AN$52</c:f>
              <c:numCache>
                <c:formatCode>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 formatCode="General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17792"/>
        <c:axId val="218416256"/>
      </c:lineChart>
      <c:catAx>
        <c:axId val="218388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8389888"/>
        <c:crosses val="autoZero"/>
        <c:auto val="1"/>
        <c:lblAlgn val="ctr"/>
        <c:lblOffset val="100"/>
        <c:noMultiLvlLbl val="0"/>
      </c:catAx>
      <c:valAx>
        <c:axId val="2183898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8388352"/>
        <c:crosses val="autoZero"/>
        <c:crossBetween val="between"/>
      </c:valAx>
      <c:valAx>
        <c:axId val="2184162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18417792"/>
        <c:crosses val="max"/>
        <c:crossBetween val="between"/>
      </c:valAx>
      <c:catAx>
        <c:axId val="21841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416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361347585246625"/>
          <c:y val="3.5662803385531863E-2"/>
          <c:w val="0.80617912556913418"/>
          <c:h val="0.11727195926661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'RM-PM_DIOH_60'!$AD$55</c:f>
              <c:strCache>
                <c:ptCount val="1"/>
                <c:pt idx="0">
                  <c:v>SFG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'RM-PM_DIOH_60'!$AE$54:$AN$54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'RM-PM_DIOH_60'!$AE$55:$AN$55</c:f>
              <c:numCache>
                <c:formatCode>0</c:formatCode>
                <c:ptCount val="10"/>
                <c:pt idx="0">
                  <c:v>2.1442594780000004</c:v>
                </c:pt>
                <c:pt idx="1">
                  <c:v>1.586405396</c:v>
                </c:pt>
                <c:pt idx="2">
                  <c:v>2.683491069</c:v>
                </c:pt>
                <c:pt idx="3">
                  <c:v>0.59423331100000021</c:v>
                </c:pt>
                <c:pt idx="4">
                  <c:v>4.4395703199999987</c:v>
                </c:pt>
                <c:pt idx="5">
                  <c:v>1.0737090529999991</c:v>
                </c:pt>
                <c:pt idx="6">
                  <c:v>0.96734185999999989</c:v>
                </c:pt>
                <c:pt idx="7">
                  <c:v>1.4394269429999991</c:v>
                </c:pt>
                <c:pt idx="8">
                  <c:v>0.84691635200000015</c:v>
                </c:pt>
                <c:pt idx="9">
                  <c:v>0.99842520599999995</c:v>
                </c:pt>
              </c:numCache>
            </c:numRef>
          </c:val>
        </c:ser>
        <c:ser>
          <c:idx val="1"/>
          <c:order val="1"/>
          <c:tx>
            <c:strRef>
              <c:f>'RM-PM_DIOH_60'!$AD$56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'RM-PM_DIOH_60'!$AE$54:$AN$54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'RM-PM_DIOH_60'!$AE$56:$AN$56</c:f>
              <c:numCache>
                <c:formatCode>0</c:formatCode>
                <c:ptCount val="10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36.072236818817714</c:v>
                </c:pt>
                <c:pt idx="5">
                  <c:v>37.918670253839714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29184"/>
        <c:axId val="219251456"/>
      </c:barChart>
      <c:lineChart>
        <c:grouping val="standard"/>
        <c:varyColors val="0"/>
        <c:ser>
          <c:idx val="2"/>
          <c:order val="2"/>
          <c:tx>
            <c:strRef>
              <c:f>'RM-PM_DIOH_60'!$AD$57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'RM-PM_DIOH_60'!$AE$54:$AN$54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'RM-PM_DIOH_60'!$AE$57:$AN$57</c:f>
              <c:numCache>
                <c:formatCode>0</c:formatCode>
                <c:ptCount val="10"/>
                <c:pt idx="0">
                  <c:v>1.7969080213060749</c:v>
                </c:pt>
                <c:pt idx="1">
                  <c:v>1.1328110872467283</c:v>
                </c:pt>
                <c:pt idx="2">
                  <c:v>2.3876544125859192</c:v>
                </c:pt>
                <c:pt idx="3">
                  <c:v>0.53907385044086664</c:v>
                </c:pt>
                <c:pt idx="4">
                  <c:v>3.6922331783572835</c:v>
                </c:pt>
                <c:pt idx="5">
                  <c:v>0.84948315366460414</c:v>
                </c:pt>
                <c:pt idx="6">
                  <c:v>0.80320895050834862</c:v>
                </c:pt>
                <c:pt idx="7">
                  <c:v>1.1813329289479972</c:v>
                </c:pt>
                <c:pt idx="8">
                  <c:v>0.74897617890229617</c:v>
                </c:pt>
                <c:pt idx="9">
                  <c:v>0.93906019632527638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'RM-PM_DIOH_60'!$AD$58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'RM-PM_DIOH_60'!$AE$54:$AN$54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'RM-PM_DIOH_60'!$AE$58:$AN$58</c:f>
              <c:numCache>
                <c:formatCode>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 formatCode="General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71168"/>
        <c:axId val="219252992"/>
      </c:lineChart>
      <c:catAx>
        <c:axId val="219229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9251456"/>
        <c:crosses val="autoZero"/>
        <c:auto val="1"/>
        <c:lblAlgn val="ctr"/>
        <c:lblOffset val="100"/>
        <c:noMultiLvlLbl val="0"/>
      </c:catAx>
      <c:valAx>
        <c:axId val="2192514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9229184"/>
        <c:crosses val="autoZero"/>
        <c:crossBetween val="between"/>
      </c:valAx>
      <c:valAx>
        <c:axId val="219252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19271168"/>
        <c:crosses val="max"/>
        <c:crossBetween val="between"/>
      </c:valAx>
      <c:catAx>
        <c:axId val="21927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92529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834443325722794"/>
          <c:y val="3.5662876731674495E-2"/>
          <c:w val="0.79522329058459629"/>
          <c:h val="0.125398079932373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'RM-PM_DIOH_60'!$AD$73</c:f>
              <c:strCache>
                <c:ptCount val="1"/>
                <c:pt idx="0">
                  <c:v>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'RM-PM_DIOH_60'!$AE$72:$AN$72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'RM-PM_DIOH_60'!$AE$73:$AN$73</c:f>
              <c:numCache>
                <c:formatCode>0</c:formatCode>
                <c:ptCount val="10"/>
                <c:pt idx="0">
                  <c:v>7.0920726470000002</c:v>
                </c:pt>
                <c:pt idx="1">
                  <c:v>11.554082583000003</c:v>
                </c:pt>
                <c:pt idx="2">
                  <c:v>6.7813256299999995</c:v>
                </c:pt>
                <c:pt idx="3">
                  <c:v>12.022503058000002</c:v>
                </c:pt>
                <c:pt idx="4">
                  <c:v>5.3900509879999969</c:v>
                </c:pt>
                <c:pt idx="5">
                  <c:v>9.9478284680000026</c:v>
                </c:pt>
                <c:pt idx="6">
                  <c:v>15.786290186999997</c:v>
                </c:pt>
                <c:pt idx="7">
                  <c:v>6.8240011790000006</c:v>
                </c:pt>
                <c:pt idx="8">
                  <c:v>5.429041251000001</c:v>
                </c:pt>
                <c:pt idx="9">
                  <c:v>8.6836401419999998</c:v>
                </c:pt>
              </c:numCache>
            </c:numRef>
          </c:val>
        </c:ser>
        <c:ser>
          <c:idx val="1"/>
          <c:order val="1"/>
          <c:tx>
            <c:strRef>
              <c:f>'RM-PM_DIOH_60'!$AD$74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0.268139129776195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1.8290640290507215E-3"/>
                  <c:y val="0.270792385205779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0.25649051998675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'RM-PM_DIOH_60'!$AE$72:$AN$72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'RM-PM_DIOH_60'!$AE$74:$AN$74</c:f>
              <c:numCache>
                <c:formatCode>0</c:formatCode>
                <c:ptCount val="10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32.982865914332088</c:v>
                </c:pt>
                <c:pt idx="5">
                  <c:v>34.829299349354088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06720"/>
        <c:axId val="219408256"/>
      </c:barChart>
      <c:lineChart>
        <c:grouping val="standard"/>
        <c:varyColors val="0"/>
        <c:ser>
          <c:idx val="2"/>
          <c:order val="2"/>
          <c:tx>
            <c:strRef>
              <c:f>'RM-PM_DIOH_60'!$AD$75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dLbl>
              <c:idx val="4"/>
              <c:layout>
                <c:manualLayout>
                  <c:x val="-1.8290640290507215E-3"/>
                  <c:y val="2.714944839894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3.102794102736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'RM-PM_DIOH_60'!$AE$72:$AN$72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'RM-PM_DIOH_60'!$AE$75:$AN$75</c:f>
              <c:numCache>
                <c:formatCode>0</c:formatCode>
                <c:ptCount val="10"/>
                <c:pt idx="0">
                  <c:v>5.9432183268072309</c:v>
                </c:pt>
                <c:pt idx="1">
                  <c:v>8.2504717180038654</c:v>
                </c:pt>
                <c:pt idx="2">
                  <c:v>6.0337305574432998</c:v>
                </c:pt>
                <c:pt idx="3">
                  <c:v>10.906519199515479</c:v>
                </c:pt>
                <c:pt idx="4">
                  <c:v>4.9025918505685562</c:v>
                </c:pt>
                <c:pt idx="5">
                  <c:v>8.5685000736466019</c:v>
                </c:pt>
                <c:pt idx="6">
                  <c:v>13.107764791157194</c:v>
                </c:pt>
                <c:pt idx="7">
                  <c:v>5.6004351864717474</c:v>
                </c:pt>
                <c:pt idx="8">
                  <c:v>4.8012091886931971</c:v>
                </c:pt>
                <c:pt idx="9">
                  <c:v>8.1673226672970944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'RM-PM_DIOH_60'!$AD$76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'RM-PM_DIOH_60'!$AE$72:$AN$72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'RM-PM_DIOH_60'!$AE$76:$AN$76</c:f>
              <c:numCache>
                <c:formatCode>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46176"/>
        <c:axId val="219409792"/>
      </c:lineChart>
      <c:catAx>
        <c:axId val="219406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9408256"/>
        <c:crosses val="autoZero"/>
        <c:auto val="1"/>
        <c:lblAlgn val="ctr"/>
        <c:lblOffset val="100"/>
        <c:noMultiLvlLbl val="0"/>
      </c:catAx>
      <c:valAx>
        <c:axId val="2194082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9406720"/>
        <c:crosses val="autoZero"/>
        <c:crossBetween val="between"/>
      </c:valAx>
      <c:valAx>
        <c:axId val="2194097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20546176"/>
        <c:crosses val="max"/>
        <c:crossBetween val="between"/>
      </c:valAx>
      <c:catAx>
        <c:axId val="22054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9409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910066793961841"/>
          <c:y val="3.5662803385531863E-2"/>
          <c:w val="0.80143263240335272"/>
          <c:h val="0.10988410941869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'RM-PM_DIOH_60'!$AD$79</c:f>
              <c:strCache>
                <c:ptCount val="1"/>
                <c:pt idx="0">
                  <c:v>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'RM-PM_DIOH_60'!$AE$78:$AN$78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'RM-PM_DIOH_60'!$AE$79:$AN$79</c:f>
              <c:numCache>
                <c:formatCode>0</c:formatCode>
                <c:ptCount val="10"/>
                <c:pt idx="0">
                  <c:v>3.9614045660000001</c:v>
                </c:pt>
                <c:pt idx="1">
                  <c:v>4.4099270010000025</c:v>
                </c:pt>
                <c:pt idx="2">
                  <c:v>3.6325173630000003</c:v>
                </c:pt>
                <c:pt idx="3">
                  <c:v>11.171991390000002</c:v>
                </c:pt>
                <c:pt idx="4">
                  <c:v>4.4648528839999937</c:v>
                </c:pt>
                <c:pt idx="5">
                  <c:v>8.7661904949999983</c:v>
                </c:pt>
                <c:pt idx="6">
                  <c:v>14.297022956999994</c:v>
                </c:pt>
                <c:pt idx="7">
                  <c:v>5.8363359690000047</c:v>
                </c:pt>
                <c:pt idx="8">
                  <c:v>4.9443905700000021</c:v>
                </c:pt>
                <c:pt idx="9">
                  <c:v>7.9812163890000001</c:v>
                </c:pt>
              </c:numCache>
            </c:numRef>
          </c:val>
        </c:ser>
        <c:ser>
          <c:idx val="1"/>
          <c:order val="1"/>
          <c:tx>
            <c:strRef>
              <c:f>'RM-PM_DIOH_60'!$AD$80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0.287531592918299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0.305249280188415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0.270792385205779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8290640290507215E-3"/>
                  <c:y val="0.25649051998675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'RM-PM_DIOH_60'!$AE$78:$AN$78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'RM-PM_DIOH_60'!$AE$80:$AN$80</c:f>
              <c:numCache>
                <c:formatCode>0</c:formatCode>
                <c:ptCount val="10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36.072236818817714</c:v>
                </c:pt>
                <c:pt idx="5">
                  <c:v>37.918670253839714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67040"/>
        <c:axId val="220568576"/>
      </c:barChart>
      <c:lineChart>
        <c:grouping val="standard"/>
        <c:varyColors val="0"/>
        <c:ser>
          <c:idx val="2"/>
          <c:order val="2"/>
          <c:tx>
            <c:strRef>
              <c:f>'RM-PM_DIOH_60'!$AD$81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dLbl>
              <c:idx val="7"/>
              <c:layout>
                <c:manualLayout>
                  <c:x val="-2.7435960435760822E-2"/>
                  <c:y val="-5.429889679789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'RM-PM_DIOH_60'!$AE$78:$AN$78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'RM-PM_DIOH_60'!$AE$81:$AN$81</c:f>
              <c:numCache>
                <c:formatCode>0</c:formatCode>
                <c:ptCount val="10"/>
                <c:pt idx="0">
                  <c:v>3.3196913495391391</c:v>
                </c:pt>
                <c:pt idx="1">
                  <c:v>3.1490148818691468</c:v>
                </c:pt>
                <c:pt idx="2">
                  <c:v>3.2320570061721781</c:v>
                </c:pt>
                <c:pt idx="3">
                  <c:v>10.134955924238836</c:v>
                </c:pt>
                <c:pt idx="4">
                  <c:v>3.7132597901476614</c:v>
                </c:pt>
                <c:pt idx="5">
                  <c:v>6.9355204992551007</c:v>
                </c:pt>
                <c:pt idx="6">
                  <c:v>11.871187715050119</c:v>
                </c:pt>
                <c:pt idx="7">
                  <c:v>4.7898616168832735</c:v>
                </c:pt>
                <c:pt idx="8">
                  <c:v>4.3726050953839035</c:v>
                </c:pt>
                <c:pt idx="9">
                  <c:v>7.5066640787200383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'RM-PM_DIOH_60'!$AD$82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'RM-PM_DIOH_60'!$AE$78:$AN$78</c:f>
              <c:strCache>
                <c:ptCount val="10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</c:strCache>
            </c:strRef>
          </c:cat>
          <c:val>
            <c:numRef>
              <c:f>'RM-PM_DIOH_60'!$AE$82:$AN$82</c:f>
              <c:numCache>
                <c:formatCode>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4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29248"/>
        <c:axId val="220627712"/>
      </c:lineChart>
      <c:catAx>
        <c:axId val="220567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0568576"/>
        <c:crosses val="autoZero"/>
        <c:auto val="1"/>
        <c:lblAlgn val="ctr"/>
        <c:lblOffset val="100"/>
        <c:noMultiLvlLbl val="0"/>
      </c:catAx>
      <c:valAx>
        <c:axId val="2205685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20567040"/>
        <c:crosses val="autoZero"/>
        <c:crossBetween val="between"/>
      </c:valAx>
      <c:valAx>
        <c:axId val="2206277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20629248"/>
        <c:crosses val="max"/>
        <c:crossBetween val="between"/>
      </c:valAx>
      <c:catAx>
        <c:axId val="22062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0627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270167198079451"/>
          <c:y val="2.1110809693624562E-2"/>
          <c:w val="0.81974182541480511"/>
          <c:h val="0.106005616790269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'RM-PM_DIOH_60'!$AD$94</c:f>
              <c:strCache>
                <c:ptCount val="1"/>
                <c:pt idx="0">
                  <c:v>RM+PM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'RM-PM_DIOH_60'!$AE$93:$AO$93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'RM-PM_DIOH_60'!$AE$94:$AO$94</c:f>
              <c:numCache>
                <c:formatCode>0</c:formatCode>
                <c:ptCount val="11"/>
                <c:pt idx="0">
                  <c:v>17.355232212999994</c:v>
                </c:pt>
                <c:pt idx="1">
                  <c:v>14.858424928000002</c:v>
                </c:pt>
                <c:pt idx="2">
                  <c:v>13.837365760000004</c:v>
                </c:pt>
                <c:pt idx="3">
                  <c:v>14.044713238999998</c:v>
                </c:pt>
                <c:pt idx="4">
                  <c:v>14.819696113999992</c:v>
                </c:pt>
                <c:pt idx="5">
                  <c:v>16.033502952000006</c:v>
                </c:pt>
                <c:pt idx="6">
                  <c:v>15.380825657999996</c:v>
                </c:pt>
                <c:pt idx="7">
                  <c:v>15.007073004999999</c:v>
                </c:pt>
                <c:pt idx="8">
                  <c:v>17.215901505000005</c:v>
                </c:pt>
                <c:pt idx="9">
                  <c:v>19.959033840999989</c:v>
                </c:pt>
                <c:pt idx="10">
                  <c:v>21.003405677</c:v>
                </c:pt>
              </c:numCache>
            </c:numRef>
          </c:val>
        </c:ser>
        <c:ser>
          <c:idx val="1"/>
          <c:order val="1"/>
          <c:tx>
            <c:strRef>
              <c:f>'RM-PM_DIOH_60'!$AD$95</c:f>
              <c:strCache>
                <c:ptCount val="1"/>
                <c:pt idx="0">
                  <c:v>Avg RM+PM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3"/>
              <c:layout>
                <c:manualLayout>
                  <c:x val="0"/>
                  <c:y val="0.405276407228140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0.43248254902241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'RM-PM_DIOH_60'!$AE$93:$AO$93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'RM-PM_DIOH_60'!$AE$95:$AO$95</c:f>
              <c:numCache>
                <c:formatCode>0</c:formatCode>
                <c:ptCount val="11"/>
                <c:pt idx="0">
                  <c:v>14.732762444198171</c:v>
                </c:pt>
                <c:pt idx="1">
                  <c:v>17.502900256856883</c:v>
                </c:pt>
                <c:pt idx="2">
                  <c:v>13.987074970299593</c:v>
                </c:pt>
                <c:pt idx="3">
                  <c:v>15.136126787542016</c:v>
                </c:pt>
                <c:pt idx="4">
                  <c:v>14.542438319780914</c:v>
                </c:pt>
                <c:pt idx="5">
                  <c:v>14.764516189280608</c:v>
                </c:pt>
                <c:pt idx="6">
                  <c:v>15.027234207800115</c:v>
                </c:pt>
                <c:pt idx="7">
                  <c:v>14.232798435229496</c:v>
                </c:pt>
                <c:pt idx="8">
                  <c:v>13.244939822809144</c:v>
                </c:pt>
                <c:pt idx="9">
                  <c:v>13.277317867421894</c:v>
                </c:pt>
                <c:pt idx="10">
                  <c:v>13.222906229008332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54208"/>
        <c:axId val="221159808"/>
      </c:barChart>
      <c:lineChart>
        <c:grouping val="standard"/>
        <c:varyColors val="0"/>
        <c:ser>
          <c:idx val="2"/>
          <c:order val="2"/>
          <c:tx>
            <c:strRef>
              <c:f>'RM-PM_DIOH_60'!$AD$96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'RM-PM_DIOH_60'!$AE$93:$AO$93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'RM-PM_DIOH_60'!$AE$96:$AO$96</c:f>
              <c:numCache>
                <c:formatCode>0</c:formatCode>
                <c:ptCount val="11"/>
                <c:pt idx="0">
                  <c:v>35.340077487982363</c:v>
                </c:pt>
                <c:pt idx="1">
                  <c:v>25.467364910873744</c:v>
                </c:pt>
                <c:pt idx="2">
                  <c:v>29.67889810281817</c:v>
                </c:pt>
                <c:pt idx="3">
                  <c:v>27.83680416292432</c:v>
                </c:pt>
                <c:pt idx="4">
                  <c:v>30.5719628059387</c:v>
                </c:pt>
                <c:pt idx="5">
                  <c:v>32.578452445954269</c:v>
                </c:pt>
                <c:pt idx="6">
                  <c:v>30.705901256299732</c:v>
                </c:pt>
                <c:pt idx="7">
                  <c:v>31.632021783967641</c:v>
                </c:pt>
                <c:pt idx="8">
                  <c:v>38.994291560356785</c:v>
                </c:pt>
                <c:pt idx="9">
                  <c:v>45.097287058192968</c:v>
                </c:pt>
                <c:pt idx="10">
                  <c:v>47.652320858759907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'RM-PM_DIOH_60'!$AD$97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'RM-PM_DIOH_60'!$AE$93:$AO$93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'RM-PM_DIOH_60'!$AE$97:$AO$97</c:f>
              <c:numCache>
                <c:formatCode>0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 formatCode="General">
                  <c:v>25</c:v>
                </c:pt>
                <c:pt idx="5" formatCode="General">
                  <c:v>25</c:v>
                </c:pt>
                <c:pt idx="6" formatCode="General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62880"/>
        <c:axId val="221161344"/>
      </c:lineChart>
      <c:catAx>
        <c:axId val="22065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159808"/>
        <c:crosses val="autoZero"/>
        <c:auto val="1"/>
        <c:lblAlgn val="ctr"/>
        <c:lblOffset val="100"/>
        <c:noMultiLvlLbl val="0"/>
      </c:catAx>
      <c:valAx>
        <c:axId val="2211598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20654208"/>
        <c:crosses val="autoZero"/>
        <c:crossBetween val="between"/>
      </c:valAx>
      <c:valAx>
        <c:axId val="22116134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21162880"/>
        <c:crosses val="max"/>
        <c:crossBetween val="between"/>
      </c:valAx>
      <c:catAx>
        <c:axId val="22116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1161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653662837537924"/>
          <c:y val="8.6581325406656715E-4"/>
          <c:w val="0.77174692321185945"/>
          <c:h val="0.125004680688741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OTIF!$B$28</c:f>
              <c:strCache>
                <c:ptCount val="1"/>
                <c:pt idx="0">
                  <c:v>Prodn-OTIF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OTIF!$C$27:$N$27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OTIF!$C$28:$N$28</c:f>
              <c:numCache>
                <c:formatCode>0%</c:formatCode>
                <c:ptCount val="12"/>
                <c:pt idx="0">
                  <c:v>0.96183206106870234</c:v>
                </c:pt>
                <c:pt idx="1">
                  <c:v>0.99248120300751874</c:v>
                </c:pt>
                <c:pt idx="2">
                  <c:v>0.99</c:v>
                </c:pt>
                <c:pt idx="3">
                  <c:v>0.95945945945945943</c:v>
                </c:pt>
                <c:pt idx="4">
                  <c:v>0.94701986754966883</c:v>
                </c:pt>
                <c:pt idx="5">
                  <c:v>0.98255813953488369</c:v>
                </c:pt>
                <c:pt idx="6">
                  <c:v>0.9859154929577465</c:v>
                </c:pt>
                <c:pt idx="7">
                  <c:v>0.94656488549618323</c:v>
                </c:pt>
                <c:pt idx="8">
                  <c:v>0.98496240601503759</c:v>
                </c:pt>
                <c:pt idx="9">
                  <c:v>0.97037037037037033</c:v>
                </c:pt>
                <c:pt idx="10">
                  <c:v>0.97959183673469385</c:v>
                </c:pt>
                <c:pt idx="11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OTIF!$B$29</c:f>
              <c:strCache>
                <c:ptCount val="1"/>
                <c:pt idx="0">
                  <c:v>Target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OTIF!$C$27:$N$27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OTIF!$C$29:$N$29</c:f>
              <c:numCache>
                <c:formatCode>0%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2000"/>
        <c:axId val="152306432"/>
      </c:lineChart>
      <c:catAx>
        <c:axId val="150912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/>
        </c:spPr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52306432"/>
        <c:crosses val="autoZero"/>
        <c:auto val="0"/>
        <c:lblAlgn val="ctr"/>
        <c:lblOffset val="100"/>
        <c:noMultiLvlLbl val="0"/>
      </c:catAx>
      <c:valAx>
        <c:axId val="152306432"/>
        <c:scaling>
          <c:orientation val="minMax"/>
          <c:min val="0.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50912000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'RM-PM_DIOH_60'!$AD$101</c:f>
              <c:strCache>
                <c:ptCount val="1"/>
                <c:pt idx="0">
                  <c:v>RM+PM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'RM-PM_DIOH_60'!$AE$100:$AO$100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'RM-PM_DIOH_60'!$AE$101:$AO$101</c:f>
              <c:numCache>
                <c:formatCode>0</c:formatCode>
                <c:ptCount val="11"/>
                <c:pt idx="0">
                  <c:v>9.4752031639999963</c:v>
                </c:pt>
                <c:pt idx="1">
                  <c:v>9.6354179990000048</c:v>
                </c:pt>
                <c:pt idx="2">
                  <c:v>7.7187302419999995</c:v>
                </c:pt>
                <c:pt idx="3">
                  <c:v>9.8592545940000011</c:v>
                </c:pt>
                <c:pt idx="4">
                  <c:v>10.535650850999993</c:v>
                </c:pt>
                <c:pt idx="5">
                  <c:v>11.339659417000004</c:v>
                </c:pt>
                <c:pt idx="6">
                  <c:v>10.494855316999997</c:v>
                </c:pt>
                <c:pt idx="7">
                  <c:v>10.529550695999999</c:v>
                </c:pt>
                <c:pt idx="8">
                  <c:v>12.167633068000001</c:v>
                </c:pt>
                <c:pt idx="9">
                  <c:v>15.12324111499999</c:v>
                </c:pt>
                <c:pt idx="10">
                  <c:v>16.038559991</c:v>
                </c:pt>
              </c:numCache>
            </c:numRef>
          </c:val>
        </c:ser>
        <c:ser>
          <c:idx val="1"/>
          <c:order val="1"/>
          <c:tx>
            <c:strRef>
              <c:f>'RM-PM_DIOH_60'!$AD$102</c:f>
              <c:strCache>
                <c:ptCount val="1"/>
                <c:pt idx="0">
                  <c:v>Avg RM+PM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'RM-PM_DIOH_60'!$AE$100:$AO$100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'RM-PM_DIOH_60'!$AE$102:$AO$102</c:f>
              <c:numCache>
                <c:formatCode>0</c:formatCode>
                <c:ptCount val="11"/>
                <c:pt idx="0">
                  <c:v>14.732762444198171</c:v>
                </c:pt>
                <c:pt idx="1">
                  <c:v>17.502900256856883</c:v>
                </c:pt>
                <c:pt idx="2">
                  <c:v>13.987074970299593</c:v>
                </c:pt>
                <c:pt idx="3">
                  <c:v>15.136126787542016</c:v>
                </c:pt>
                <c:pt idx="4">
                  <c:v>14.639563319780914</c:v>
                </c:pt>
                <c:pt idx="5">
                  <c:v>14.86164118928061</c:v>
                </c:pt>
                <c:pt idx="6">
                  <c:v>15.027234207800115</c:v>
                </c:pt>
                <c:pt idx="7">
                  <c:v>14.232798435229496</c:v>
                </c:pt>
                <c:pt idx="8">
                  <c:v>13.244939822809144</c:v>
                </c:pt>
                <c:pt idx="9">
                  <c:v>13.277317867421894</c:v>
                </c:pt>
                <c:pt idx="10">
                  <c:v>13.222906229008332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56032"/>
        <c:axId val="221357568"/>
      </c:barChart>
      <c:lineChart>
        <c:grouping val="standard"/>
        <c:varyColors val="0"/>
        <c:ser>
          <c:idx val="2"/>
          <c:order val="2"/>
          <c:tx>
            <c:strRef>
              <c:f>'RM-PM_DIOH_60'!$AD$103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'RM-PM_DIOH_60'!$AE$100:$AO$100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'RM-PM_DIOH_60'!$AE$103:$AO$103</c:f>
              <c:numCache>
                <c:formatCode>0</c:formatCode>
                <c:ptCount val="11"/>
                <c:pt idx="0">
                  <c:v>19.294147719862355</c:v>
                </c:pt>
                <c:pt idx="1">
                  <c:v>16.515122392745049</c:v>
                </c:pt>
                <c:pt idx="2">
                  <c:v>16.555420468661442</c:v>
                </c:pt>
                <c:pt idx="3">
                  <c:v>19.541170734870143</c:v>
                </c:pt>
                <c:pt idx="4">
                  <c:v>21.590092451933184</c:v>
                </c:pt>
                <c:pt idx="5">
                  <c:v>22.890458609333933</c:v>
                </c:pt>
                <c:pt idx="6">
                  <c:v>20.951670490806251</c:v>
                </c:pt>
                <c:pt idx="7">
                  <c:v>22.194266455576802</c:v>
                </c:pt>
                <c:pt idx="8">
                  <c:v>27.559883013691213</c:v>
                </c:pt>
                <c:pt idx="9">
                  <c:v>34.170849713798091</c:v>
                </c:pt>
                <c:pt idx="10">
                  <c:v>36.388127647342841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'RM-PM_DIOH_60'!$AD$104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'RM-PM_DIOH_60'!$AE$100:$AO$100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'RM-PM_DIOH_60'!$AE$104:$AO$104</c:f>
              <c:numCache>
                <c:formatCode>0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 formatCode="General">
                  <c:v>18</c:v>
                </c:pt>
                <c:pt idx="5" formatCode="General">
                  <c:v>18</c:v>
                </c:pt>
                <c:pt idx="6" formatCode="General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60896"/>
        <c:axId val="221359104"/>
      </c:lineChart>
      <c:catAx>
        <c:axId val="221356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357568"/>
        <c:crosses val="autoZero"/>
        <c:auto val="1"/>
        <c:lblAlgn val="ctr"/>
        <c:lblOffset val="100"/>
        <c:noMultiLvlLbl val="0"/>
      </c:catAx>
      <c:valAx>
        <c:axId val="2213575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21356032"/>
        <c:crosses val="autoZero"/>
        <c:crossBetween val="between"/>
      </c:valAx>
      <c:valAx>
        <c:axId val="2213591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21360896"/>
        <c:crosses val="max"/>
        <c:crossBetween val="between"/>
      </c:valAx>
      <c:catAx>
        <c:axId val="22136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13591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090846887011785"/>
          <c:y val="7.5645875910224157E-4"/>
          <c:w val="0.73884231175867987"/>
          <c:h val="0.11376260204711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'RM-PM_DIOH_60'!$AD$118</c:f>
              <c:strCache>
                <c:ptCount val="1"/>
                <c:pt idx="0">
                  <c:v>SFG+FG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'RM-PM_DIOH_60'!$AE$117:$AO$117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'RM-PM_DIOH_60'!$AE$118:$AO$118</c:f>
              <c:numCache>
                <c:formatCode>0</c:formatCode>
                <c:ptCount val="11"/>
                <c:pt idx="0">
                  <c:v>9.7514148029999994</c:v>
                </c:pt>
                <c:pt idx="1">
                  <c:v>14.264143598000002</c:v>
                </c:pt>
                <c:pt idx="2">
                  <c:v>10.542437995</c:v>
                </c:pt>
                <c:pt idx="3">
                  <c:v>14.087502625000003</c:v>
                </c:pt>
                <c:pt idx="4">
                  <c:v>10.845614641999996</c:v>
                </c:pt>
                <c:pt idx="5">
                  <c:v>12.001363552000001</c:v>
                </c:pt>
                <c:pt idx="6">
                  <c:v>17.773168513999998</c:v>
                </c:pt>
                <c:pt idx="7">
                  <c:v>9.2463020579999995</c:v>
                </c:pt>
                <c:pt idx="8">
                  <c:v>7.1785822200000009</c:v>
                </c:pt>
                <c:pt idx="9">
                  <c:v>10.55411381</c:v>
                </c:pt>
                <c:pt idx="10">
                  <c:v>10.842866919999999</c:v>
                </c:pt>
              </c:numCache>
            </c:numRef>
          </c:val>
        </c:ser>
        <c:ser>
          <c:idx val="1"/>
          <c:order val="1"/>
          <c:tx>
            <c:strRef>
              <c:f>'RM-PM_DIOH_60'!$AD$119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3"/>
              <c:layout>
                <c:manualLayout>
                  <c:x val="-1.8290640290507215E-3"/>
                  <c:y val="0.391711330383237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0.447332545419564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0.401099719954679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'RM-PM_DIOH_60'!$AE$117:$AO$117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'RM-PM_DIOH_60'!$AE$119:$AO$119</c:f>
              <c:numCache>
                <c:formatCode>0</c:formatCode>
                <c:ptCount val="11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32.982865914332088</c:v>
                </c:pt>
                <c:pt idx="5">
                  <c:v>34.829299349354088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  <c:pt idx="10">
                  <c:v>31.580000000000002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26816"/>
        <c:axId val="221428352"/>
      </c:barChart>
      <c:lineChart>
        <c:grouping val="standard"/>
        <c:varyColors val="0"/>
        <c:ser>
          <c:idx val="2"/>
          <c:order val="2"/>
          <c:tx>
            <c:strRef>
              <c:f>'RM-PM_DIOH_60'!$AD$120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dLbl>
              <c:idx val="4"/>
              <c:layout>
                <c:manualLayout>
                  <c:x val="-1.4632512232405772E-2"/>
                  <c:y val="5.042037337340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4871920871521649E-3"/>
                  <c:y val="-6.2055844151878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'RM-PM_DIOH_60'!$AE$117:$AO$117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'RM-PM_DIOH_60'!$AE$120:$AO$120</c:f>
              <c:numCache>
                <c:formatCode>0</c:formatCode>
                <c:ptCount val="11"/>
                <c:pt idx="0">
                  <c:v>8.1717700951645256</c:v>
                </c:pt>
                <c:pt idx="1">
                  <c:v>10.185656238081684</c:v>
                </c:pt>
                <c:pt idx="2">
                  <c:v>9.3802058404298716</c:v>
                </c:pt>
                <c:pt idx="3">
                  <c:v>12.779836038431991</c:v>
                </c:pt>
                <c:pt idx="4">
                  <c:v>9.86477160914683</c:v>
                </c:pt>
                <c:pt idx="5">
                  <c:v>10.33729972425291</c:v>
                </c:pt>
                <c:pt idx="6">
                  <c:v>14.757521223508268</c:v>
                </c:pt>
                <c:pt idx="7">
                  <c:v>7.5884095022911087</c:v>
                </c:pt>
                <c:pt idx="8">
                  <c:v>6.3484275257818643</c:v>
                </c:pt>
                <c:pt idx="9">
                  <c:v>9.9265805058790875</c:v>
                </c:pt>
                <c:pt idx="10">
                  <c:v>10.300380227992399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'RM-PM_DIOH_60'!$AD$121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'RM-PM_DIOH_60'!$AE$117:$AO$117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'RM-PM_DIOH_60'!$AE$121:$AO$121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 formatCode="General">
                  <c:v>6</c:v>
                </c:pt>
                <c:pt idx="5" formatCode="General">
                  <c:v>6</c:v>
                </c:pt>
                <c:pt idx="6" formatCode="General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39872"/>
        <c:axId val="221438336"/>
      </c:lineChart>
      <c:catAx>
        <c:axId val="221426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428352"/>
        <c:crosses val="autoZero"/>
        <c:auto val="1"/>
        <c:lblAlgn val="ctr"/>
        <c:lblOffset val="100"/>
        <c:noMultiLvlLbl val="0"/>
      </c:catAx>
      <c:valAx>
        <c:axId val="2214283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21426816"/>
        <c:crosses val="autoZero"/>
        <c:crossBetween val="between"/>
      </c:valAx>
      <c:valAx>
        <c:axId val="2214383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21439872"/>
        <c:crosses val="max"/>
        <c:crossBetween val="between"/>
      </c:valAx>
      <c:catAx>
        <c:axId val="22143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1438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3.2160274399930182E-2"/>
          <c:y val="3.1784380373006932E-2"/>
          <c:w val="0.83889200773910111"/>
          <c:h val="9.43700812650596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'RM-PM_DIOH_60'!$AD$125</c:f>
              <c:strCache>
                <c:ptCount val="1"/>
                <c:pt idx="0">
                  <c:v>SFG+FG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'RM-PM_DIOH_60'!$AE$124:$AO$124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'RM-PM_DIOH_60'!$AE$125:$AO$125</c:f>
              <c:numCache>
                <c:formatCode>0</c:formatCode>
                <c:ptCount val="11"/>
                <c:pt idx="0">
                  <c:v>6.105664044000001</c:v>
                </c:pt>
                <c:pt idx="1">
                  <c:v>5.9963323970000024</c:v>
                </c:pt>
                <c:pt idx="2">
                  <c:v>6.3160084320000003</c:v>
                </c:pt>
                <c:pt idx="3">
                  <c:v>11.766224701000002</c:v>
                </c:pt>
                <c:pt idx="4">
                  <c:v>8.9044232039999933</c:v>
                </c:pt>
                <c:pt idx="5">
                  <c:v>9.8398995479999982</c:v>
                </c:pt>
                <c:pt idx="6">
                  <c:v>15.264364816999993</c:v>
                </c:pt>
                <c:pt idx="7">
                  <c:v>7.2757629120000038</c:v>
                </c:pt>
                <c:pt idx="8">
                  <c:v>5.7913069220000022</c:v>
                </c:pt>
                <c:pt idx="9">
                  <c:v>8.9796415950000004</c:v>
                </c:pt>
                <c:pt idx="10">
                  <c:v>9.476675942</c:v>
                </c:pt>
              </c:numCache>
            </c:numRef>
          </c:val>
        </c:ser>
        <c:ser>
          <c:idx val="1"/>
          <c:order val="1"/>
          <c:tx>
            <c:strRef>
              <c:f>'RM-PM_DIOH_60'!$AD$126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0.367701643319376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43227942231872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0.519701508946486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'RM-PM_DIOH_60'!$AE$124:$AO$124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'RM-PM_DIOH_60'!$AE$126:$AO$126</c:f>
              <c:numCache>
                <c:formatCode>0</c:formatCode>
                <c:ptCount val="11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36.072236818817714</c:v>
                </c:pt>
                <c:pt idx="5">
                  <c:v>37.918670253839714</c:v>
                </c:pt>
                <c:pt idx="6">
                  <c:v>36.130393942489263</c:v>
                </c:pt>
                <c:pt idx="7">
                  <c:v>36.554308469548211</c:v>
                </c:pt>
                <c:pt idx="8">
                  <c:v>33.922962139112848</c:v>
                </c:pt>
                <c:pt idx="9">
                  <c:v>31.896524096336858</c:v>
                </c:pt>
                <c:pt idx="10">
                  <c:v>31.580000000000002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66816"/>
        <c:axId val="153272704"/>
      </c:barChart>
      <c:lineChart>
        <c:grouping val="standard"/>
        <c:varyColors val="0"/>
        <c:ser>
          <c:idx val="2"/>
          <c:order val="2"/>
          <c:tx>
            <c:strRef>
              <c:f>'RM-PM_DIOH_60'!$AD$127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dLbl>
              <c:idx val="1"/>
              <c:layout>
                <c:manualLayout>
                  <c:x val="-1.8290640290507215E-3"/>
                  <c:y val="-4.6541883113908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1454641660432962E-3"/>
                  <c:y val="-4.2663392854416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939214590452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'RM-PM_DIOH_60'!$AE$124:$AO$124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'RM-PM_DIOH_60'!$AE$127:$AO$127</c:f>
              <c:numCache>
                <c:formatCode>0</c:formatCode>
                <c:ptCount val="11"/>
                <c:pt idx="0">
                  <c:v>5.116599370845214</c:v>
                </c:pt>
                <c:pt idx="1">
                  <c:v>4.2818259691158751</c:v>
                </c:pt>
                <c:pt idx="2">
                  <c:v>5.6197114187580972</c:v>
                </c:pt>
                <c:pt idx="3">
                  <c:v>10.674029774679704</c:v>
                </c:pt>
                <c:pt idx="4">
                  <c:v>7.4054929685049462</c:v>
                </c:pt>
                <c:pt idx="5">
                  <c:v>7.7850036529197046</c:v>
                </c:pt>
                <c:pt idx="6">
                  <c:v>12.674396665558469</c:v>
                </c:pt>
                <c:pt idx="7">
                  <c:v>5.9711945458312714</c:v>
                </c:pt>
                <c:pt idx="8">
                  <c:v>5.121581274286199</c:v>
                </c:pt>
                <c:pt idx="9">
                  <c:v>8.4457242750453148</c:v>
                </c:pt>
                <c:pt idx="10">
                  <c:v>9.0025420601646609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'RM-PM_DIOH_60'!$AD$128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'RM-PM_DIOH_60'!$AE$124:$AO$124</c:f>
              <c:strCache>
                <c:ptCount val="11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Apr' 16</c:v>
                </c:pt>
                <c:pt idx="6">
                  <c:v>Jun' 16</c:v>
                </c:pt>
                <c:pt idx="7">
                  <c:v>Aug' 16</c:v>
                </c:pt>
                <c:pt idx="8">
                  <c:v>Sept' 16</c:v>
                </c:pt>
                <c:pt idx="9">
                  <c:v>Oct' 16</c:v>
                </c:pt>
                <c:pt idx="10">
                  <c:v>Nov' 16</c:v>
                </c:pt>
              </c:strCache>
            </c:strRef>
          </c:cat>
          <c:val>
            <c:numRef>
              <c:f>'RM-PM_DIOH_60'!$AE$128:$AO$128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 formatCode="General">
                  <c:v>6</c:v>
                </c:pt>
                <c:pt idx="5" formatCode="General">
                  <c:v>6</c:v>
                </c:pt>
                <c:pt idx="6" formatCode="General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75776"/>
        <c:axId val="153274240"/>
      </c:lineChart>
      <c:catAx>
        <c:axId val="153266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272704"/>
        <c:crosses val="autoZero"/>
        <c:auto val="1"/>
        <c:lblAlgn val="ctr"/>
        <c:lblOffset val="100"/>
        <c:noMultiLvlLbl val="0"/>
      </c:catAx>
      <c:valAx>
        <c:axId val="1532727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53266816"/>
        <c:crosses val="autoZero"/>
        <c:crossBetween val="between"/>
      </c:valAx>
      <c:valAx>
        <c:axId val="15327424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3275776"/>
        <c:crosses val="max"/>
        <c:crossBetween val="between"/>
      </c:valAx>
      <c:catAx>
        <c:axId val="15327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274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17272862259505E-2"/>
          <c:y val="1.7232407076565058E-2"/>
          <c:w val="0.76574799152178297"/>
          <c:h val="9.82485715245520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'RM-PM_DIOH_90'!$R$5</c:f>
              <c:strCache>
                <c:ptCount val="1"/>
                <c:pt idx="0">
                  <c:v>RM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'RM-PM_DIOH_90'!$S$4:$AD$4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'RM-PM_DIOH_90'!$S$5:$AD$5</c:f>
              <c:numCache>
                <c:formatCode>0</c:formatCode>
                <c:ptCount val="12"/>
                <c:pt idx="0">
                  <c:v>11.494831473999994</c:v>
                </c:pt>
                <c:pt idx="1">
                  <c:v>9.2494520169999976</c:v>
                </c:pt>
                <c:pt idx="2">
                  <c:v>8.058494915999999</c:v>
                </c:pt>
                <c:pt idx="3">
                  <c:v>8.7129112839999987</c:v>
                </c:pt>
                <c:pt idx="4">
                  <c:v>8.6113403159999979</c:v>
                </c:pt>
                <c:pt idx="5">
                  <c:v>8.7633204199999994</c:v>
                </c:pt>
                <c:pt idx="6">
                  <c:v>7.8098287090000031</c:v>
                </c:pt>
                <c:pt idx="7">
                  <c:v>7.4851978019999965</c:v>
                </c:pt>
                <c:pt idx="8">
                  <c:v>9.3401162299999996</c:v>
                </c:pt>
                <c:pt idx="9">
                  <c:v>8.0062667509999983</c:v>
                </c:pt>
                <c:pt idx="10">
                  <c:v>7.7725925449999975</c:v>
                </c:pt>
                <c:pt idx="11">
                  <c:v>9.0058071650000038</c:v>
                </c:pt>
              </c:numCache>
            </c:numRef>
          </c:val>
        </c:ser>
        <c:ser>
          <c:idx val="1"/>
          <c:order val="1"/>
          <c:tx>
            <c:strRef>
              <c:f>'RM-PM_DIOH_90'!$R$6</c:f>
              <c:strCache>
                <c:ptCount val="1"/>
                <c:pt idx="0">
                  <c:v>Avg RM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'RM-PM_DIOH_90'!$S$4:$AD$4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'RM-PM_DIOH_90'!$S$6:$AD$6</c:f>
              <c:numCache>
                <c:formatCode>0</c:formatCode>
                <c:ptCount val="12"/>
                <c:pt idx="0">
                  <c:v>8.5885521208487123</c:v>
                </c:pt>
                <c:pt idx="1">
                  <c:v>8.1641548165749338</c:v>
                </c:pt>
                <c:pt idx="2">
                  <c:v>9.55057487889054</c:v>
                </c:pt>
                <c:pt idx="3">
                  <c:v>10.577400023312814</c:v>
                </c:pt>
                <c:pt idx="4">
                  <c:v>11.25433185093069</c:v>
                </c:pt>
                <c:pt idx="5">
                  <c:v>10.112100531242023</c:v>
                </c:pt>
                <c:pt idx="6">
                  <c:v>8.5575218383507003</c:v>
                </c:pt>
                <c:pt idx="7">
                  <c:v>8.0125800407327059</c:v>
                </c:pt>
                <c:pt idx="8">
                  <c:v>8.0299941050726975</c:v>
                </c:pt>
                <c:pt idx="9">
                  <c:v>8.8829348261393175</c:v>
                </c:pt>
                <c:pt idx="10">
                  <c:v>8.5152498013807776</c:v>
                </c:pt>
                <c:pt idx="11">
                  <c:v>8.4805775767688605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0352"/>
        <c:axId val="153306240"/>
      </c:barChart>
      <c:lineChart>
        <c:grouping val="standard"/>
        <c:varyColors val="0"/>
        <c:ser>
          <c:idx val="2"/>
          <c:order val="2"/>
          <c:tx>
            <c:strRef>
              <c:f>'RM-PM_DIOH_90'!$R$7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'RM-PM_DIOH_90'!$S$4:$AD$4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'RM-PM_DIOH_90'!$S$7:$AD$7</c:f>
              <c:numCache>
                <c:formatCode>0</c:formatCode>
                <c:ptCount val="12"/>
                <c:pt idx="0">
                  <c:v>40.151697208996225</c:v>
                </c:pt>
                <c:pt idx="1">
                  <c:v>33.988032655462447</c:v>
                </c:pt>
                <c:pt idx="2">
                  <c:v>25.313119947820759</c:v>
                </c:pt>
                <c:pt idx="3">
                  <c:v>24.711870397630488</c:v>
                </c:pt>
                <c:pt idx="4">
                  <c:v>22.954735376728401</c:v>
                </c:pt>
                <c:pt idx="5">
                  <c:v>25.998516508786054</c:v>
                </c:pt>
                <c:pt idx="6">
                  <c:v>27.378821310160511</c:v>
                </c:pt>
                <c:pt idx="7">
                  <c:v>28.025421639278314</c:v>
                </c:pt>
                <c:pt idx="8">
                  <c:v>34.894606799647612</c:v>
                </c:pt>
                <c:pt idx="9">
                  <c:v>27.039262049206091</c:v>
                </c:pt>
                <c:pt idx="10">
                  <c:v>27.383550898552539</c:v>
                </c:pt>
                <c:pt idx="11">
                  <c:v>31.85799699422569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9568"/>
        <c:axId val="153307776"/>
      </c:lineChart>
      <c:catAx>
        <c:axId val="153300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306240"/>
        <c:crosses val="autoZero"/>
        <c:auto val="1"/>
        <c:lblAlgn val="ctr"/>
        <c:lblOffset val="100"/>
        <c:noMultiLvlLbl val="0"/>
      </c:catAx>
      <c:valAx>
        <c:axId val="153306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153300352"/>
        <c:crosses val="autoZero"/>
        <c:crossBetween val="between"/>
      </c:valAx>
      <c:valAx>
        <c:axId val="1533077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3309568"/>
        <c:crosses val="max"/>
        <c:crossBetween val="between"/>
      </c:valAx>
      <c:catAx>
        <c:axId val="15330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307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2890606704859059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'RM-PM_DIOH_90'!$R$11</c:f>
              <c:strCache>
                <c:ptCount val="1"/>
                <c:pt idx="0">
                  <c:v>RM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'RM-PM_DIOH_90'!$S$10:$AD$10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'RM-PM_DIOH_90'!$S$11:$AD$11</c:f>
              <c:numCache>
                <c:formatCode>0</c:formatCode>
                <c:ptCount val="12"/>
                <c:pt idx="0">
                  <c:v>7.647995263999996</c:v>
                </c:pt>
                <c:pt idx="1">
                  <c:v>6.005970418999997</c:v>
                </c:pt>
                <c:pt idx="2">
                  <c:v>5.8512972199999993</c:v>
                </c:pt>
                <c:pt idx="3">
                  <c:v>6.0301618349999995</c:v>
                </c:pt>
                <c:pt idx="4">
                  <c:v>5.7165911630000004</c:v>
                </c:pt>
                <c:pt idx="5">
                  <c:v>5.9889149699999997</c:v>
                </c:pt>
                <c:pt idx="6">
                  <c:v>4.6908713440000049</c:v>
                </c:pt>
                <c:pt idx="7">
                  <c:v>4.8744555839999979</c:v>
                </c:pt>
                <c:pt idx="8">
                  <c:v>7.2088882089999995</c:v>
                </c:pt>
                <c:pt idx="9">
                  <c:v>6.0124485099999996</c:v>
                </c:pt>
                <c:pt idx="10">
                  <c:v>6.0878325009999976</c:v>
                </c:pt>
                <c:pt idx="11">
                  <c:v>7.2038890530000046</c:v>
                </c:pt>
              </c:numCache>
            </c:numRef>
          </c:val>
        </c:ser>
        <c:ser>
          <c:idx val="1"/>
          <c:order val="1"/>
          <c:tx>
            <c:strRef>
              <c:f>'RM-PM_DIOH_90'!$R$12</c:f>
              <c:strCache>
                <c:ptCount val="1"/>
                <c:pt idx="0">
                  <c:v>Avg RM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'RM-PM_DIOH_90'!$S$10:$AD$10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'RM-PM_DIOH_90'!$S$12:$AD$12</c:f>
              <c:numCache>
                <c:formatCode>0</c:formatCode>
                <c:ptCount val="12"/>
                <c:pt idx="0">
                  <c:v>8.5885521208487123</c:v>
                </c:pt>
                <c:pt idx="1">
                  <c:v>8.1641548165749338</c:v>
                </c:pt>
                <c:pt idx="2">
                  <c:v>9.55057487889054</c:v>
                </c:pt>
                <c:pt idx="3">
                  <c:v>10.577400023312814</c:v>
                </c:pt>
                <c:pt idx="4">
                  <c:v>11.25433185093069</c:v>
                </c:pt>
                <c:pt idx="5">
                  <c:v>10.112100531242023</c:v>
                </c:pt>
                <c:pt idx="6">
                  <c:v>8.5575218383507003</c:v>
                </c:pt>
                <c:pt idx="7">
                  <c:v>8.0125800407327059</c:v>
                </c:pt>
                <c:pt idx="8">
                  <c:v>8.0299941050726975</c:v>
                </c:pt>
                <c:pt idx="9">
                  <c:v>8.8829348261393175</c:v>
                </c:pt>
                <c:pt idx="10">
                  <c:v>8.5152498013807776</c:v>
                </c:pt>
                <c:pt idx="11">
                  <c:v>8.4805775767688605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86944"/>
        <c:axId val="155588480"/>
      </c:barChart>
      <c:lineChart>
        <c:grouping val="standard"/>
        <c:varyColors val="0"/>
        <c:ser>
          <c:idx val="2"/>
          <c:order val="2"/>
          <c:tx>
            <c:strRef>
              <c:f>'RM-PM_DIOH_90'!$R$13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'RM-PM_DIOH_90'!$S$10:$AD$10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'RM-PM_DIOH_90'!$S$13:$AD$13</c:f>
              <c:numCache>
                <c:formatCode>0</c:formatCode>
                <c:ptCount val="12"/>
                <c:pt idx="0">
                  <c:v>26.71461437173264</c:v>
                </c:pt>
                <c:pt idx="1">
                  <c:v>22.069536482110653</c:v>
                </c:pt>
                <c:pt idx="2">
                  <c:v>18.379931975402908</c:v>
                </c:pt>
                <c:pt idx="3">
                  <c:v>17.102960524446637</c:v>
                </c:pt>
                <c:pt idx="4">
                  <c:v>15.238375512786909</c:v>
                </c:pt>
                <c:pt idx="5">
                  <c:v>17.767569511883824</c:v>
                </c:pt>
                <c:pt idx="6">
                  <c:v>16.444730493042183</c:v>
                </c:pt>
                <c:pt idx="7">
                  <c:v>18.250509421011373</c:v>
                </c:pt>
                <c:pt idx="8">
                  <c:v>26.932354300656375</c:v>
                </c:pt>
                <c:pt idx="9">
                  <c:v>20.305615073210383</c:v>
                </c:pt>
                <c:pt idx="10">
                  <c:v>21.447987938108994</c:v>
                </c:pt>
                <c:pt idx="11">
                  <c:v>25.48372084727059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00000"/>
        <c:axId val="155590016"/>
      </c:lineChart>
      <c:catAx>
        <c:axId val="15558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5588480"/>
        <c:crosses val="autoZero"/>
        <c:auto val="1"/>
        <c:lblAlgn val="ctr"/>
        <c:lblOffset val="100"/>
        <c:noMultiLvlLbl val="0"/>
      </c:catAx>
      <c:valAx>
        <c:axId val="15558848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55586944"/>
        <c:crosses val="autoZero"/>
        <c:crossBetween val="between"/>
      </c:valAx>
      <c:valAx>
        <c:axId val="15559001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5600000"/>
        <c:crosses val="max"/>
        <c:crossBetween val="between"/>
      </c:valAx>
      <c:catAx>
        <c:axId val="155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55900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1121736637132629"/>
          <c:y val="3.5662876731674495E-2"/>
          <c:w val="0.22457579396501043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'RM-PM_DIOH_90'!$R$27</c:f>
              <c:strCache>
                <c:ptCount val="1"/>
                <c:pt idx="0">
                  <c:v>PM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'RM-PM_DIOH_90'!$S$26:$AD$26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'RM-PM_DIOH_90'!$S$27:$AD$27</c:f>
              <c:numCache>
                <c:formatCode>0</c:formatCode>
                <c:ptCount val="12"/>
                <c:pt idx="0">
                  <c:v>5.860400739000001</c:v>
                </c:pt>
                <c:pt idx="1">
                  <c:v>5.4402268440000023</c:v>
                </c:pt>
                <c:pt idx="2">
                  <c:v>6.3725611709999956</c:v>
                </c:pt>
                <c:pt idx="3">
                  <c:v>6.1455136440000029</c:v>
                </c:pt>
                <c:pt idx="4">
                  <c:v>5.3685221310000015</c:v>
                </c:pt>
                <c:pt idx="5">
                  <c:v>6.4668693189999988</c:v>
                </c:pt>
                <c:pt idx="6">
                  <c:v>6.0275370510000013</c:v>
                </c:pt>
                <c:pt idx="7">
                  <c:v>6.3568963750000069</c:v>
                </c:pt>
                <c:pt idx="8">
                  <c:v>6.3239556269999966</c:v>
                </c:pt>
                <c:pt idx="9">
                  <c:v>6.0384464879999999</c:v>
                </c:pt>
                <c:pt idx="10">
                  <c:v>4.8126135679999997</c:v>
                </c:pt>
                <c:pt idx="11">
                  <c:v>5.490667253999999</c:v>
                </c:pt>
              </c:numCache>
            </c:numRef>
          </c:val>
        </c:ser>
        <c:ser>
          <c:idx val="1"/>
          <c:order val="1"/>
          <c:tx>
            <c:strRef>
              <c:f>'RM-PM_DIOH_90'!$R$28</c:f>
              <c:strCache>
                <c:ptCount val="1"/>
                <c:pt idx="0">
                  <c:v>Avg 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'RM-PM_DIOH_90'!$S$26:$AD$26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'RM-PM_DIOH_90'!$S$28:$AD$28</c:f>
              <c:numCache>
                <c:formatCode>0</c:formatCode>
                <c:ptCount val="12"/>
                <c:pt idx="0">
                  <c:v>6.1442103233494576</c:v>
                </c:pt>
                <c:pt idx="1">
                  <c:v>5.7361355374703367</c:v>
                </c:pt>
                <c:pt idx="2">
                  <c:v>6.4660631090145388</c:v>
                </c:pt>
                <c:pt idx="3">
                  <c:v>6.9255002335440663</c:v>
                </c:pt>
                <c:pt idx="4">
                  <c:v>7.0404768905750261</c:v>
                </c:pt>
                <c:pt idx="5">
                  <c:v>6.3032165027335489</c:v>
                </c:pt>
                <c:pt idx="6">
                  <c:v>5.4295531319488903</c:v>
                </c:pt>
                <c:pt idx="7">
                  <c:v>5.4339119776702161</c:v>
                </c:pt>
                <c:pt idx="8">
                  <c:v>5.921439807211911</c:v>
                </c:pt>
                <c:pt idx="9">
                  <c:v>6.2531919614026998</c:v>
                </c:pt>
                <c:pt idx="10">
                  <c:v>5.8023734942284735</c:v>
                </c:pt>
                <c:pt idx="11">
                  <c:v>5.4450325496678289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4672"/>
        <c:axId val="155646208"/>
      </c:barChart>
      <c:lineChart>
        <c:grouping val="standard"/>
        <c:varyColors val="0"/>
        <c:ser>
          <c:idx val="2"/>
          <c:order val="2"/>
          <c:tx>
            <c:strRef>
              <c:f>'RM-PM_DIOH_90'!$R$29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'RM-PM_DIOH_90'!$S$26:$AD$26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'RM-PM_DIOH_90'!$S$29:$AD$29</c:f>
              <c:numCache>
                <c:formatCode>0</c:formatCode>
                <c:ptCount val="12"/>
                <c:pt idx="0">
                  <c:v>28.614258451061257</c:v>
                </c:pt>
                <c:pt idx="1">
                  <c:v>28.452396958523586</c:v>
                </c:pt>
                <c:pt idx="2">
                  <c:v>29.566187633318073</c:v>
                </c:pt>
                <c:pt idx="3">
                  <c:v>26.621240791678183</c:v>
                </c:pt>
                <c:pt idx="4">
                  <c:v>22.87567538863776</c:v>
                </c:pt>
                <c:pt idx="5">
                  <c:v>30.778901452276681</c:v>
                </c:pt>
                <c:pt idx="6">
                  <c:v>33.304050468900023</c:v>
                </c:pt>
                <c:pt idx="7">
                  <c:v>35.095690182998801</c:v>
                </c:pt>
                <c:pt idx="8">
                  <c:v>32.039280139086351</c:v>
                </c:pt>
                <c:pt idx="9">
                  <c:v>28.969747891661417</c:v>
                </c:pt>
                <c:pt idx="10">
                  <c:v>24.882646245301313</c:v>
                </c:pt>
                <c:pt idx="11">
                  <c:v>30.251429374843429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3264"/>
        <c:axId val="155721728"/>
      </c:lineChart>
      <c:catAx>
        <c:axId val="155644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5646208"/>
        <c:crosses val="autoZero"/>
        <c:auto val="1"/>
        <c:lblAlgn val="ctr"/>
        <c:lblOffset val="100"/>
        <c:noMultiLvlLbl val="0"/>
      </c:catAx>
      <c:valAx>
        <c:axId val="155646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155644672"/>
        <c:crosses val="autoZero"/>
        <c:crossBetween val="between"/>
      </c:valAx>
      <c:valAx>
        <c:axId val="1557217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5723264"/>
        <c:crosses val="max"/>
        <c:crossBetween val="between"/>
      </c:valAx>
      <c:catAx>
        <c:axId val="15572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21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4536764331004707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'RM-PM_DIOH_90'!$R$33</c:f>
              <c:strCache>
                <c:ptCount val="1"/>
                <c:pt idx="0">
                  <c:v>PM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'RM-PM_DIOH_90'!$S$32:$AD$32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'RM-PM_DIOH_90'!$S$33:$AD$33</c:f>
              <c:numCache>
                <c:formatCode>0</c:formatCode>
                <c:ptCount val="12"/>
                <c:pt idx="0">
                  <c:v>4.280872071000001</c:v>
                </c:pt>
                <c:pt idx="1">
                  <c:v>4.2677703960000022</c:v>
                </c:pt>
                <c:pt idx="2">
                  <c:v>5.224047159999996</c:v>
                </c:pt>
                <c:pt idx="3">
                  <c:v>4.815199737000003</c:v>
                </c:pt>
                <c:pt idx="4">
                  <c:v>3.7251326740000015</c:v>
                </c:pt>
                <c:pt idx="5">
                  <c:v>4.5195503329999998</c:v>
                </c:pt>
                <c:pt idx="6">
                  <c:v>4.115912787000001</c:v>
                </c:pt>
                <c:pt idx="7">
                  <c:v>4.4113856120000063</c:v>
                </c:pt>
                <c:pt idx="8">
                  <c:v>4.4822285679999982</c:v>
                </c:pt>
                <c:pt idx="9">
                  <c:v>4.4123866150000008</c:v>
                </c:pt>
                <c:pt idx="10">
                  <c:v>3.4298163720000012</c:v>
                </c:pt>
                <c:pt idx="11">
                  <c:v>4.0148236329999971</c:v>
                </c:pt>
              </c:numCache>
            </c:numRef>
          </c:val>
        </c:ser>
        <c:ser>
          <c:idx val="1"/>
          <c:order val="1"/>
          <c:tx>
            <c:strRef>
              <c:f>'RM-PM_DIOH_90'!$R$34</c:f>
              <c:strCache>
                <c:ptCount val="1"/>
                <c:pt idx="0">
                  <c:v>Avg 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'RM-PM_DIOH_90'!$S$32:$AD$32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'RM-PM_DIOH_90'!$S$34:$AD$34</c:f>
              <c:numCache>
                <c:formatCode>0</c:formatCode>
                <c:ptCount val="12"/>
                <c:pt idx="0">
                  <c:v>6.1442103233494576</c:v>
                </c:pt>
                <c:pt idx="1">
                  <c:v>5.7361355374703367</c:v>
                </c:pt>
                <c:pt idx="2">
                  <c:v>6.4660631090145388</c:v>
                </c:pt>
                <c:pt idx="3">
                  <c:v>6.9255002335440663</c:v>
                </c:pt>
                <c:pt idx="4">
                  <c:v>7.0404768905750261</c:v>
                </c:pt>
                <c:pt idx="5">
                  <c:v>6.3032165027335489</c:v>
                </c:pt>
                <c:pt idx="6">
                  <c:v>5.4295531319488903</c:v>
                </c:pt>
                <c:pt idx="7">
                  <c:v>5.4339119776702161</c:v>
                </c:pt>
                <c:pt idx="8">
                  <c:v>5.921439807211911</c:v>
                </c:pt>
                <c:pt idx="9">
                  <c:v>6.2531919614026998</c:v>
                </c:pt>
                <c:pt idx="10">
                  <c:v>5.8023734942284735</c:v>
                </c:pt>
                <c:pt idx="11">
                  <c:v>5.4450325496678289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47456"/>
        <c:axId val="155748992"/>
      </c:barChart>
      <c:lineChart>
        <c:grouping val="standard"/>
        <c:varyColors val="0"/>
        <c:ser>
          <c:idx val="2"/>
          <c:order val="2"/>
          <c:tx>
            <c:strRef>
              <c:f>'RM-PM_DIOH_90'!$R$35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'RM-PM_DIOH_90'!$S$32:$AD$32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'RM-PM_DIOH_90'!$S$35:$AD$35</c:f>
              <c:numCache>
                <c:formatCode>0</c:formatCode>
                <c:ptCount val="12"/>
                <c:pt idx="0">
                  <c:v>20.901980135990808</c:v>
                </c:pt>
                <c:pt idx="1">
                  <c:v>22.320447458684576</c:v>
                </c:pt>
                <c:pt idx="2">
                  <c:v>24.237532507455686</c:v>
                </c:pt>
                <c:pt idx="3">
                  <c:v>20.858564325840181</c:v>
                </c:pt>
                <c:pt idx="4">
                  <c:v>15.873069673675559</c:v>
                </c:pt>
                <c:pt idx="5">
                  <c:v>21.510685842886641</c:v>
                </c:pt>
                <c:pt idx="6">
                  <c:v>22.741721207851761</c:v>
                </c:pt>
                <c:pt idx="7">
                  <c:v>24.35475011443625</c:v>
                </c:pt>
                <c:pt idx="8">
                  <c:v>22.708473178470626</c:v>
                </c:pt>
                <c:pt idx="9">
                  <c:v>21.168644632541678</c:v>
                </c:pt>
                <c:pt idx="10">
                  <c:v>17.733172685685869</c:v>
                </c:pt>
                <c:pt idx="11">
                  <c:v>22.120108170399746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56416"/>
        <c:axId val="155754880"/>
      </c:lineChart>
      <c:catAx>
        <c:axId val="155747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5748992"/>
        <c:crosses val="autoZero"/>
        <c:auto val="1"/>
        <c:lblAlgn val="ctr"/>
        <c:lblOffset val="100"/>
        <c:noMultiLvlLbl val="0"/>
      </c:catAx>
      <c:valAx>
        <c:axId val="15574899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55747456"/>
        <c:crosses val="autoZero"/>
        <c:crossBetween val="between"/>
      </c:valAx>
      <c:valAx>
        <c:axId val="1557548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5756416"/>
        <c:crosses val="max"/>
        <c:crossBetween val="between"/>
      </c:valAx>
      <c:catAx>
        <c:axId val="15575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548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0569441219097175"/>
          <c:y val="2.1110809693624562E-2"/>
          <c:w val="0.23372111411026406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'RM-PM_DIOH_90'!$R$49</c:f>
              <c:strCache>
                <c:ptCount val="1"/>
                <c:pt idx="0">
                  <c:v>SFG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'RM-PM_DIOH_90'!$S$48:$AD$48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'RM-PM_DIOH_90'!$S$49:$AD$49</c:f>
              <c:numCache>
                <c:formatCode>0</c:formatCode>
                <c:ptCount val="12"/>
                <c:pt idx="0">
                  <c:v>2.6593421559999997</c:v>
                </c:pt>
                <c:pt idx="1">
                  <c:v>2.1743415089999996</c:v>
                </c:pt>
                <c:pt idx="2">
                  <c:v>2.7825526899999993</c:v>
                </c:pt>
                <c:pt idx="3">
                  <c:v>2.7100610149999995</c:v>
                </c:pt>
                <c:pt idx="4">
                  <c:v>2.5907808540000001</c:v>
                </c:pt>
                <c:pt idx="5">
                  <c:v>2.1592123790000004</c:v>
                </c:pt>
                <c:pt idx="6">
                  <c:v>3.7611123650000002</c:v>
                </c:pt>
                <c:pt idx="7">
                  <c:v>3.3540087759999997</c:v>
                </c:pt>
                <c:pt idx="8">
                  <c:v>2.9110021910000001</c:v>
                </c:pt>
                <c:pt idx="9">
                  <c:v>2.0649995670000001</c:v>
                </c:pt>
                <c:pt idx="10">
                  <c:v>2.2355830479999996</c:v>
                </c:pt>
                <c:pt idx="11">
                  <c:v>2.6623180420000003</c:v>
                </c:pt>
              </c:numCache>
            </c:numRef>
          </c:val>
        </c:ser>
        <c:ser>
          <c:idx val="1"/>
          <c:order val="1"/>
          <c:tx>
            <c:strRef>
              <c:f>'RM-PM_DIOH_90'!$R$50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'RM-PM_DIOH_90'!$S$48:$AD$48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'RM-PM_DIOH_90'!$S$50:$AD$50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34.204684996585144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74304"/>
        <c:axId val="163875840"/>
      </c:barChart>
      <c:lineChart>
        <c:grouping val="standard"/>
        <c:varyColors val="0"/>
        <c:ser>
          <c:idx val="2"/>
          <c:order val="2"/>
          <c:tx>
            <c:strRef>
              <c:f>'RM-PM_DIOH_90'!$R$51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'RM-PM_DIOH_90'!$S$48:$AD$48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'RM-PM_DIOH_90'!$S$51:$AD$51</c:f>
              <c:numCache>
                <c:formatCode>0</c:formatCode>
                <c:ptCount val="12"/>
                <c:pt idx="0">
                  <c:v>2.2285517683572951</c:v>
                </c:pt>
                <c:pt idx="1">
                  <c:v>1.8362879782638346</c:v>
                </c:pt>
                <c:pt idx="2">
                  <c:v>2.1517507966792904</c:v>
                </c:pt>
                <c:pt idx="3">
                  <c:v>1.9351845200778186</c:v>
                </c:pt>
                <c:pt idx="4">
                  <c:v>1.8006467122458951</c:v>
                </c:pt>
                <c:pt idx="5">
                  <c:v>1.6092931478415609</c:v>
                </c:pt>
                <c:pt idx="6">
                  <c:v>3.3464752829865714</c:v>
                </c:pt>
                <c:pt idx="7">
                  <c:v>3.3472343338626249</c:v>
                </c:pt>
                <c:pt idx="8">
                  <c:v>3.0619570522506443</c:v>
                </c:pt>
                <c:pt idx="9">
                  <c:v>1.8733168389165111</c:v>
                </c:pt>
                <c:pt idx="10">
                  <c:v>2.0490237445417114</c:v>
                </c:pt>
                <c:pt idx="11">
                  <c:v>2.3350468296367546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3264"/>
        <c:axId val="163881728"/>
      </c:lineChart>
      <c:catAx>
        <c:axId val="16387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875840"/>
        <c:crosses val="autoZero"/>
        <c:auto val="1"/>
        <c:lblAlgn val="ctr"/>
        <c:lblOffset val="100"/>
        <c:noMultiLvlLbl val="0"/>
      </c:catAx>
      <c:valAx>
        <c:axId val="163875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3874304"/>
        <c:crosses val="autoZero"/>
        <c:crossBetween val="between"/>
      </c:valAx>
      <c:valAx>
        <c:axId val="1638817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3883264"/>
        <c:crosses val="max"/>
        <c:crossBetween val="between"/>
      </c:valAx>
      <c:catAx>
        <c:axId val="16388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881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2890606704859059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'RM-PM_DIOH_90'!$R$55</c:f>
              <c:strCache>
                <c:ptCount val="1"/>
                <c:pt idx="0">
                  <c:v>SFG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'RM-PM_DIOH_90'!$S$54:$AD$54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'RM-PM_DIOH_90'!$S$55:$AD$55</c:f>
              <c:numCache>
                <c:formatCode>0</c:formatCode>
                <c:ptCount val="12"/>
                <c:pt idx="0">
                  <c:v>2.3686095909999998</c:v>
                </c:pt>
                <c:pt idx="1">
                  <c:v>1.7701448559999997</c:v>
                </c:pt>
                <c:pt idx="2">
                  <c:v>1.5599188149999994</c:v>
                </c:pt>
                <c:pt idx="3">
                  <c:v>1.6176937519999997</c:v>
                </c:pt>
                <c:pt idx="4">
                  <c:v>1.4524490350000001</c:v>
                </c:pt>
                <c:pt idx="5">
                  <c:v>0.99512463900000037</c:v>
                </c:pt>
                <c:pt idx="6">
                  <c:v>2.72984362</c:v>
                </c:pt>
                <c:pt idx="7">
                  <c:v>2.1933406049999995</c:v>
                </c:pt>
                <c:pt idx="8">
                  <c:v>1.6314135580000009</c:v>
                </c:pt>
                <c:pt idx="9">
                  <c:v>0.60379967000000012</c:v>
                </c:pt>
                <c:pt idx="10">
                  <c:v>1.0403799919999996</c:v>
                </c:pt>
                <c:pt idx="11">
                  <c:v>1.5043134570000003</c:v>
                </c:pt>
              </c:numCache>
            </c:numRef>
          </c:val>
        </c:ser>
        <c:ser>
          <c:idx val="1"/>
          <c:order val="1"/>
          <c:tx>
            <c:strRef>
              <c:f>'RM-PM_DIOH_90'!$R$56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'RM-PM_DIOH_90'!$S$54:$AD$54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'RM-PM_DIOH_90'!$S$56:$AD$56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34.204684996585144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8528"/>
        <c:axId val="164040064"/>
      </c:barChart>
      <c:lineChart>
        <c:grouping val="standard"/>
        <c:varyColors val="0"/>
        <c:ser>
          <c:idx val="2"/>
          <c:order val="2"/>
          <c:tx>
            <c:strRef>
              <c:f>'RM-PM_DIOH_90'!$R$57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'RM-PM_DIOH_90'!$S$54:$AD$54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'RM-PM_DIOH_90'!$S$57:$AD$57</c:f>
              <c:numCache>
                <c:formatCode>0</c:formatCode>
                <c:ptCount val="12"/>
                <c:pt idx="0">
                  <c:v>1.9849153598613125</c:v>
                </c:pt>
                <c:pt idx="1">
                  <c:v>1.4949333880643709</c:v>
                </c:pt>
                <c:pt idx="2">
                  <c:v>1.2062867901815957</c:v>
                </c:pt>
                <c:pt idx="3">
                  <c:v>1.1551532935124729</c:v>
                </c:pt>
                <c:pt idx="4">
                  <c:v>1.0094823634116115</c:v>
                </c:pt>
                <c:pt idx="5">
                  <c:v>0.74168121596852299</c:v>
                </c:pt>
                <c:pt idx="6">
                  <c:v>2.4288969097972131</c:v>
                </c:pt>
                <c:pt idx="7">
                  <c:v>2.1889104856984489</c:v>
                </c:pt>
                <c:pt idx="8">
                  <c:v>1.7160132220097728</c:v>
                </c:pt>
                <c:pt idx="9">
                  <c:v>0.54775221613556524</c:v>
                </c:pt>
                <c:pt idx="10">
                  <c:v>0.95356032908785748</c:v>
                </c:pt>
                <c:pt idx="11">
                  <c:v>1.3193924666900321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3872"/>
        <c:axId val="164062336"/>
      </c:lineChart>
      <c:catAx>
        <c:axId val="164038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4040064"/>
        <c:crosses val="autoZero"/>
        <c:auto val="1"/>
        <c:lblAlgn val="ctr"/>
        <c:lblOffset val="100"/>
        <c:noMultiLvlLbl val="0"/>
      </c:catAx>
      <c:valAx>
        <c:axId val="1640400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64038528"/>
        <c:crosses val="autoZero"/>
        <c:crossBetween val="between"/>
      </c:valAx>
      <c:valAx>
        <c:axId val="1640623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4063872"/>
        <c:crosses val="max"/>
        <c:crossBetween val="between"/>
      </c:valAx>
      <c:catAx>
        <c:axId val="16406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62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1121736637132629"/>
          <c:y val="3.5662876731674495E-2"/>
          <c:w val="0.22457579396501043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'RM-PM_DIOH_90'!$R$73</c:f>
              <c:strCache>
                <c:ptCount val="1"/>
                <c:pt idx="0">
                  <c:v>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'RM-PM_DIOH_90'!$S$72:$AD$72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'RM-PM_DIOH_90'!$S$73:$AD$73</c:f>
              <c:numCache>
                <c:formatCode>0</c:formatCode>
                <c:ptCount val="12"/>
                <c:pt idx="0">
                  <c:v>7.0920726470000002</c:v>
                </c:pt>
                <c:pt idx="1">
                  <c:v>8.4679114540000011</c:v>
                </c:pt>
                <c:pt idx="2">
                  <c:v>7.7074465050000001</c:v>
                </c:pt>
                <c:pt idx="3">
                  <c:v>11.554082583000003</c:v>
                </c:pt>
                <c:pt idx="4">
                  <c:v>5.9558785599999977</c:v>
                </c:pt>
                <c:pt idx="5">
                  <c:v>5.5420701700000006</c:v>
                </c:pt>
                <c:pt idx="6">
                  <c:v>6.7813256299999995</c:v>
                </c:pt>
                <c:pt idx="7">
                  <c:v>6.4918286010000017</c:v>
                </c:pt>
                <c:pt idx="8">
                  <c:v>6.3954176099999991</c:v>
                </c:pt>
                <c:pt idx="9">
                  <c:v>12.022503058000002</c:v>
                </c:pt>
                <c:pt idx="10">
                  <c:v>11.254313795999993</c:v>
                </c:pt>
                <c:pt idx="11">
                  <c:v>7.8232432170000044</c:v>
                </c:pt>
              </c:numCache>
            </c:numRef>
          </c:val>
        </c:ser>
        <c:ser>
          <c:idx val="1"/>
          <c:order val="1"/>
          <c:tx>
            <c:strRef>
              <c:f>'RM-PM_DIOH_90'!$R$74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'RM-PM_DIOH_90'!$S$72:$AD$72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'RM-PM_DIOH_90'!$S$74:$AD$74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34.204684996585144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67840"/>
        <c:axId val="166473728"/>
      </c:barChart>
      <c:lineChart>
        <c:grouping val="standard"/>
        <c:varyColors val="0"/>
        <c:ser>
          <c:idx val="2"/>
          <c:order val="2"/>
          <c:tx>
            <c:strRef>
              <c:f>'RM-PM_DIOH_90'!$R$75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'RM-PM_DIOH_90'!$S$72:$AD$72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'RM-PM_DIOH_90'!$S$75:$AD$75</c:f>
              <c:numCache>
                <c:formatCode>0</c:formatCode>
                <c:ptCount val="12"/>
                <c:pt idx="0">
                  <c:v>5.9432183268072309</c:v>
                </c:pt>
                <c:pt idx="1">
                  <c:v>7.1513715484069493</c:v>
                </c:pt>
                <c:pt idx="2">
                  <c:v>5.9601761422518713</c:v>
                </c:pt>
                <c:pt idx="3">
                  <c:v>8.2504717180038654</c:v>
                </c:pt>
                <c:pt idx="4">
                  <c:v>4.1394597814176262</c:v>
                </c:pt>
                <c:pt idx="5">
                  <c:v>4.1305874476176827</c:v>
                </c:pt>
                <c:pt idx="6">
                  <c:v>6.0337305574432998</c:v>
                </c:pt>
                <c:pt idx="7">
                  <c:v>6.4787163761489746</c:v>
                </c:pt>
                <c:pt idx="8">
                  <c:v>6.7270626293484153</c:v>
                </c:pt>
                <c:pt idx="9">
                  <c:v>10.906519199515479</c:v>
                </c:pt>
                <c:pt idx="10">
                  <c:v>10.31514182269258</c:v>
                </c:pt>
                <c:pt idx="11">
                  <c:v>6.8615540980257927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6800"/>
        <c:axId val="166475264"/>
      </c:lineChart>
      <c:catAx>
        <c:axId val="166467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6473728"/>
        <c:crosses val="autoZero"/>
        <c:auto val="1"/>
        <c:lblAlgn val="ctr"/>
        <c:lblOffset val="100"/>
        <c:noMultiLvlLbl val="0"/>
      </c:catAx>
      <c:valAx>
        <c:axId val="166473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6467840"/>
        <c:crosses val="autoZero"/>
        <c:crossBetween val="between"/>
      </c:valAx>
      <c:valAx>
        <c:axId val="1664752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6476800"/>
        <c:crosses val="max"/>
        <c:crossBetween val="between"/>
      </c:valAx>
      <c:catAx>
        <c:axId val="16647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75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4536764331004707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OTIF!$B$32</c:f>
              <c:strCache>
                <c:ptCount val="1"/>
                <c:pt idx="0">
                  <c:v>Proc-OTIF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OTIF!$C$31:$N$31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OTIF!$C$32:$N$32</c:f>
              <c:numCache>
                <c:formatCode>0%</c:formatCode>
                <c:ptCount val="12"/>
                <c:pt idx="0">
                  <c:v>0.94117647058823528</c:v>
                </c:pt>
                <c:pt idx="1">
                  <c:v>0.94409937888198758</c:v>
                </c:pt>
                <c:pt idx="2">
                  <c:v>0.98780487804878048</c:v>
                </c:pt>
                <c:pt idx="3">
                  <c:v>0.95945945945945943</c:v>
                </c:pt>
                <c:pt idx="4">
                  <c:v>0.97350993377483441</c:v>
                </c:pt>
                <c:pt idx="5">
                  <c:v>0.98546511627906974</c:v>
                </c:pt>
                <c:pt idx="6">
                  <c:v>0.95774647887323938</c:v>
                </c:pt>
                <c:pt idx="7">
                  <c:v>0.94656488549618323</c:v>
                </c:pt>
                <c:pt idx="8">
                  <c:v>0.99248120300751874</c:v>
                </c:pt>
                <c:pt idx="9">
                  <c:v>0.94074074074074077</c:v>
                </c:pt>
                <c:pt idx="10">
                  <c:v>0.94557823129251706</c:v>
                </c:pt>
                <c:pt idx="11">
                  <c:v>0.97142857142857142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OTIF!$B$33</c:f>
              <c:strCache>
                <c:ptCount val="1"/>
                <c:pt idx="0">
                  <c:v>Target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OTIF!$C$31:$N$31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OTIF!$C$33:$N$33</c:f>
              <c:numCache>
                <c:formatCode>0%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7408"/>
        <c:axId val="152418944"/>
      </c:lineChart>
      <c:catAx>
        <c:axId val="15241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/>
        </c:spPr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52418944"/>
        <c:crosses val="autoZero"/>
        <c:auto val="0"/>
        <c:lblAlgn val="ctr"/>
        <c:lblOffset val="100"/>
        <c:noMultiLvlLbl val="0"/>
      </c:catAx>
      <c:valAx>
        <c:axId val="152418944"/>
        <c:scaling>
          <c:orientation val="minMax"/>
          <c:min val="0.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52417408"/>
        <c:crosses val="autoZero"/>
        <c:crossBetween val="between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'RM-PM_DIOH_90'!$R$79</c:f>
              <c:strCache>
                <c:ptCount val="1"/>
                <c:pt idx="0">
                  <c:v>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'RM-PM_DIOH_90'!$S$78:$AD$78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'RM-PM_DIOH_90'!$S$79:$AD$79</c:f>
              <c:numCache>
                <c:formatCode>0</c:formatCode>
                <c:ptCount val="12"/>
                <c:pt idx="0">
                  <c:v>6.9410151830000002</c:v>
                </c:pt>
                <c:pt idx="1">
                  <c:v>8.0275029730000025</c:v>
                </c:pt>
                <c:pt idx="2">
                  <c:v>7.2385515769999991</c:v>
                </c:pt>
                <c:pt idx="3">
                  <c:v>11.269519319000004</c:v>
                </c:pt>
                <c:pt idx="4">
                  <c:v>5.3755455469999989</c:v>
                </c:pt>
                <c:pt idx="5">
                  <c:v>4.6091558729999988</c:v>
                </c:pt>
                <c:pt idx="6">
                  <c:v>6.2978970439999991</c:v>
                </c:pt>
                <c:pt idx="7">
                  <c:v>5.6139088910000003</c:v>
                </c:pt>
                <c:pt idx="8">
                  <c:v>5.9304212170000019</c:v>
                </c:pt>
                <c:pt idx="9">
                  <c:v>11.563444241000003</c:v>
                </c:pt>
                <c:pt idx="10">
                  <c:v>10.830807381999991</c:v>
                </c:pt>
                <c:pt idx="11">
                  <c:v>7.4402922530000035</c:v>
                </c:pt>
              </c:numCache>
            </c:numRef>
          </c:val>
        </c:ser>
        <c:ser>
          <c:idx val="1"/>
          <c:order val="1"/>
          <c:tx>
            <c:strRef>
              <c:f>'RM-PM_DIOH_90'!$R$80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'RM-PM_DIOH_90'!$S$78:$AD$78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'RM-PM_DIOH_90'!$S$80:$AD$80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34.204684996585144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7376"/>
        <c:axId val="169345408"/>
      </c:barChart>
      <c:lineChart>
        <c:grouping val="standard"/>
        <c:varyColors val="0"/>
        <c:ser>
          <c:idx val="2"/>
          <c:order val="2"/>
          <c:tx>
            <c:strRef>
              <c:f>'RM-PM_DIOH_90'!$R$81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'RM-PM_DIOH_90'!$S$78:$AD$78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'RM-PM_DIOH_90'!$S$81:$AD$81</c:f>
              <c:numCache>
                <c:formatCode>0</c:formatCode>
                <c:ptCount val="12"/>
                <c:pt idx="0">
                  <c:v>5.8166308631515129</c:v>
                </c:pt>
                <c:pt idx="1">
                  <c:v>6.7794351272705713</c:v>
                </c:pt>
                <c:pt idx="2">
                  <c:v>5.5975792223412988</c:v>
                </c:pt>
                <c:pt idx="3">
                  <c:v>8.0472724466857546</c:v>
                </c:pt>
                <c:pt idx="4">
                  <c:v>3.7361162372298469</c:v>
                </c:pt>
                <c:pt idx="5">
                  <c:v>3.4352725261735757</c:v>
                </c:pt>
                <c:pt idx="6">
                  <c:v>5.6035966882207706</c:v>
                </c:pt>
                <c:pt idx="7">
                  <c:v>5.6025698923609069</c:v>
                </c:pt>
                <c:pt idx="8">
                  <c:v>6.2379530748384804</c:v>
                </c:pt>
                <c:pt idx="9">
                  <c:v>10.490072326750013</c:v>
                </c:pt>
                <c:pt idx="10">
                  <c:v>9.9269769996375619</c:v>
                </c:pt>
                <c:pt idx="11">
                  <c:v>6.5256782108148155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8480"/>
        <c:axId val="169346944"/>
      </c:lineChart>
      <c:catAx>
        <c:axId val="166517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45408"/>
        <c:crosses val="autoZero"/>
        <c:auto val="1"/>
        <c:lblAlgn val="ctr"/>
        <c:lblOffset val="100"/>
        <c:noMultiLvlLbl val="0"/>
      </c:catAx>
      <c:valAx>
        <c:axId val="1693454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66517376"/>
        <c:crosses val="autoZero"/>
        <c:crossBetween val="between"/>
      </c:valAx>
      <c:valAx>
        <c:axId val="16934694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9348480"/>
        <c:crosses val="max"/>
        <c:crossBetween val="between"/>
      </c:valAx>
      <c:catAx>
        <c:axId val="16934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346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0569441219097175"/>
          <c:y val="2.1110809693624562E-2"/>
          <c:w val="0.23372111411026406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'RM-PM_DIOH_90'!$R$94</c:f>
              <c:strCache>
                <c:ptCount val="1"/>
                <c:pt idx="0">
                  <c:v>RM+PM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'RM-PM_DIOH_90'!$S$93:$AD$93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'RM-PM_DIOH_90'!$S$94:$AD$94</c:f>
              <c:numCache>
                <c:formatCode>0</c:formatCode>
                <c:ptCount val="12"/>
                <c:pt idx="0">
                  <c:v>17.355232212999994</c:v>
                </c:pt>
                <c:pt idx="1">
                  <c:v>14.689678861000001</c:v>
                </c:pt>
                <c:pt idx="2">
                  <c:v>14.431056086999995</c:v>
                </c:pt>
                <c:pt idx="3">
                  <c:v>14.858424928000002</c:v>
                </c:pt>
                <c:pt idx="4">
                  <c:v>13.979862446999999</c:v>
                </c:pt>
                <c:pt idx="5">
                  <c:v>15.230189738999998</c:v>
                </c:pt>
                <c:pt idx="6">
                  <c:v>13.837365760000004</c:v>
                </c:pt>
                <c:pt idx="7">
                  <c:v>13.842094177000003</c:v>
                </c:pt>
                <c:pt idx="8">
                  <c:v>15.664071856999996</c:v>
                </c:pt>
                <c:pt idx="9">
                  <c:v>14.044713238999998</c:v>
                </c:pt>
                <c:pt idx="10">
                  <c:v>12.585206112999998</c:v>
                </c:pt>
                <c:pt idx="11">
                  <c:v>14.496474419000002</c:v>
                </c:pt>
              </c:numCache>
            </c:numRef>
          </c:val>
        </c:ser>
        <c:ser>
          <c:idx val="1"/>
          <c:order val="1"/>
          <c:tx>
            <c:strRef>
              <c:f>'RM-PM_DIOH_90'!$R$95</c:f>
              <c:strCache>
                <c:ptCount val="1"/>
                <c:pt idx="0">
                  <c:v>Avg RM+PM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'RM-PM_DIOH_90'!$S$93:$AD$93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'RM-PM_DIOH_90'!$S$95:$AD$95</c:f>
              <c:numCache>
                <c:formatCode>0</c:formatCode>
                <c:ptCount val="12"/>
                <c:pt idx="0">
                  <c:v>14.732762444198171</c:v>
                </c:pt>
                <c:pt idx="1">
                  <c:v>13.900290354045268</c:v>
                </c:pt>
                <c:pt idx="2">
                  <c:v>16.016637987905082</c:v>
                </c:pt>
                <c:pt idx="3">
                  <c:v>17.502900256856883</c:v>
                </c:pt>
                <c:pt idx="4">
                  <c:v>18.294808741505715</c:v>
                </c:pt>
                <c:pt idx="5">
                  <c:v>16.415317033975573</c:v>
                </c:pt>
                <c:pt idx="6">
                  <c:v>13.987074970299593</c:v>
                </c:pt>
                <c:pt idx="7">
                  <c:v>13.446492018402921</c:v>
                </c:pt>
                <c:pt idx="8">
                  <c:v>13.951433912284608</c:v>
                </c:pt>
                <c:pt idx="9">
                  <c:v>15.136126787542016</c:v>
                </c:pt>
                <c:pt idx="10">
                  <c:v>14.317623295609252</c:v>
                </c:pt>
                <c:pt idx="11">
                  <c:v>13.925610126436689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80864"/>
        <c:axId val="171836160"/>
      </c:barChart>
      <c:lineChart>
        <c:grouping val="standard"/>
        <c:varyColors val="0"/>
        <c:ser>
          <c:idx val="2"/>
          <c:order val="2"/>
          <c:tx>
            <c:strRef>
              <c:f>'RM-PM_DIOH_90'!$R$96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'RM-PM_DIOH_90'!$S$93:$AD$93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'RM-PM_DIOH_90'!$S$96:$AD$96</c:f>
              <c:numCache>
                <c:formatCode>0</c:formatCode>
                <c:ptCount val="12"/>
                <c:pt idx="0">
                  <c:v>35.340077487982363</c:v>
                </c:pt>
                <c:pt idx="1">
                  <c:v>31.703680614250633</c:v>
                </c:pt>
                <c:pt idx="2">
                  <c:v>27.030122235198608</c:v>
                </c:pt>
                <c:pt idx="3">
                  <c:v>25.467364910873744</c:v>
                </c:pt>
                <c:pt idx="4">
                  <c:v>22.924310351411879</c:v>
                </c:pt>
                <c:pt idx="5">
                  <c:v>27.834107085737074</c:v>
                </c:pt>
                <c:pt idx="6">
                  <c:v>29.67889810281817</c:v>
                </c:pt>
                <c:pt idx="7">
                  <c:v>30.882614197195061</c:v>
                </c:pt>
                <c:pt idx="8">
                  <c:v>33.682713810242895</c:v>
                </c:pt>
                <c:pt idx="9">
                  <c:v>27.83680416292432</c:v>
                </c:pt>
                <c:pt idx="10">
                  <c:v>26.37003192462705</c:v>
                </c:pt>
                <c:pt idx="11">
                  <c:v>31.229815327400779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3584"/>
        <c:axId val="171837696"/>
      </c:lineChart>
      <c:catAx>
        <c:axId val="169380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1836160"/>
        <c:crosses val="autoZero"/>
        <c:auto val="1"/>
        <c:lblAlgn val="ctr"/>
        <c:lblOffset val="100"/>
        <c:noMultiLvlLbl val="0"/>
      </c:catAx>
      <c:valAx>
        <c:axId val="171836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9380864"/>
        <c:crosses val="autoZero"/>
        <c:crossBetween val="between"/>
      </c:valAx>
      <c:valAx>
        <c:axId val="1718376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71843584"/>
        <c:crosses val="max"/>
        <c:crossBetween val="between"/>
      </c:valAx>
      <c:catAx>
        <c:axId val="17184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37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5283881294464494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'RM-PM_DIOH_90'!$R$101</c:f>
              <c:strCache>
                <c:ptCount val="1"/>
                <c:pt idx="0">
                  <c:v>RM+PM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'RM-PM_DIOH_90'!$S$100:$AD$100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'RM-PM_DIOH_90'!$S$101:$AD$101</c:f>
              <c:numCache>
                <c:formatCode>0</c:formatCode>
                <c:ptCount val="12"/>
                <c:pt idx="0">
                  <c:v>11.928867334999996</c:v>
                </c:pt>
                <c:pt idx="1">
                  <c:v>10.273740815</c:v>
                </c:pt>
                <c:pt idx="2">
                  <c:v>11.075344379999995</c:v>
                </c:pt>
                <c:pt idx="3">
                  <c:v>10.845361572000002</c:v>
                </c:pt>
                <c:pt idx="4">
                  <c:v>9.4417238370000014</c:v>
                </c:pt>
                <c:pt idx="5">
                  <c:v>10.508465302999999</c:v>
                </c:pt>
                <c:pt idx="6">
                  <c:v>8.8067841310000059</c:v>
                </c:pt>
                <c:pt idx="7">
                  <c:v>9.2858411960000034</c:v>
                </c:pt>
                <c:pt idx="8">
                  <c:v>11.691116776999998</c:v>
                </c:pt>
                <c:pt idx="9">
                  <c:v>10.424835125000001</c:v>
                </c:pt>
                <c:pt idx="10">
                  <c:v>9.5176488729999988</c:v>
                </c:pt>
                <c:pt idx="11">
                  <c:v>11.218712686000002</c:v>
                </c:pt>
              </c:numCache>
            </c:numRef>
          </c:val>
        </c:ser>
        <c:ser>
          <c:idx val="1"/>
          <c:order val="1"/>
          <c:tx>
            <c:strRef>
              <c:f>'RM-PM_DIOH_90'!$R$102</c:f>
              <c:strCache>
                <c:ptCount val="1"/>
                <c:pt idx="0">
                  <c:v>Avg RM+PM Consum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'RM-PM_DIOH_90'!$S$100:$AD$100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'RM-PM_DIOH_90'!$S$102:$AD$102</c:f>
              <c:numCache>
                <c:formatCode>0</c:formatCode>
                <c:ptCount val="12"/>
                <c:pt idx="0">
                  <c:v>14.732762444198171</c:v>
                </c:pt>
                <c:pt idx="1">
                  <c:v>13.900290354045268</c:v>
                </c:pt>
                <c:pt idx="2">
                  <c:v>16.016637987905082</c:v>
                </c:pt>
                <c:pt idx="3">
                  <c:v>17.502900256856883</c:v>
                </c:pt>
                <c:pt idx="4">
                  <c:v>18.294808741505715</c:v>
                </c:pt>
                <c:pt idx="5">
                  <c:v>16.415317033975573</c:v>
                </c:pt>
                <c:pt idx="6">
                  <c:v>13.987074970299593</c:v>
                </c:pt>
                <c:pt idx="7">
                  <c:v>13.446492018402921</c:v>
                </c:pt>
                <c:pt idx="8">
                  <c:v>13.951433912284608</c:v>
                </c:pt>
                <c:pt idx="9">
                  <c:v>15.136126787542016</c:v>
                </c:pt>
                <c:pt idx="10">
                  <c:v>14.317623295609252</c:v>
                </c:pt>
                <c:pt idx="11">
                  <c:v>13.925610126436689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75712"/>
        <c:axId val="171885696"/>
      </c:barChart>
      <c:lineChart>
        <c:grouping val="standard"/>
        <c:varyColors val="0"/>
        <c:ser>
          <c:idx val="2"/>
          <c:order val="2"/>
          <c:tx>
            <c:strRef>
              <c:f>'RM-PM_DIOH_90'!$R$103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'RM-PM_DIOH_90'!$S$100:$AD$100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'RM-PM_DIOH_90'!$S$103:$AD$103</c:f>
              <c:numCache>
                <c:formatCode>0</c:formatCode>
                <c:ptCount val="12"/>
                <c:pt idx="0">
                  <c:v>24.29049008327214</c:v>
                </c:pt>
                <c:pt idx="1">
                  <c:v>22.173078158781337</c:v>
                </c:pt>
                <c:pt idx="2">
                  <c:v>20.744698834481078</c:v>
                </c:pt>
                <c:pt idx="3">
                  <c:v>18.588967678801556</c:v>
                </c:pt>
                <c:pt idx="4">
                  <c:v>15.482627837884005</c:v>
                </c:pt>
                <c:pt idx="5">
                  <c:v>19.204865701801779</c:v>
                </c:pt>
                <c:pt idx="6">
                  <c:v>18.889119025315495</c:v>
                </c:pt>
                <c:pt idx="7">
                  <c:v>20.717316865896393</c:v>
                </c:pt>
                <c:pt idx="8">
                  <c:v>25.139602532265144</c:v>
                </c:pt>
                <c:pt idx="9">
                  <c:v>20.662158697521537</c:v>
                </c:pt>
                <c:pt idx="10">
                  <c:v>19.942518412086073</c:v>
                </c:pt>
                <c:pt idx="11">
                  <c:v>24.168519549535887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7216"/>
        <c:axId val="171887232"/>
      </c:lineChart>
      <c:catAx>
        <c:axId val="171875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1885696"/>
        <c:crosses val="autoZero"/>
        <c:auto val="1"/>
        <c:lblAlgn val="ctr"/>
        <c:lblOffset val="100"/>
        <c:noMultiLvlLbl val="0"/>
      </c:catAx>
      <c:valAx>
        <c:axId val="17188569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1875712"/>
        <c:crosses val="autoZero"/>
        <c:crossBetween val="between"/>
      </c:valAx>
      <c:valAx>
        <c:axId val="17188723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71897216"/>
        <c:crosses val="max"/>
        <c:crossBetween val="between"/>
      </c:valAx>
      <c:catAx>
        <c:axId val="17189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7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1121736637132629"/>
          <c:y val="3.5662876731674495E-2"/>
          <c:w val="0.27060036242750762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'RM-PM_DIOH_90'!$R$118</c:f>
              <c:strCache>
                <c:ptCount val="1"/>
                <c:pt idx="0">
                  <c:v>SFG+FG Total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'RM-PM_DIOH_90'!$S$117:$AD$117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'RM-PM_DIOH_90'!$S$118:$AD$118</c:f>
              <c:numCache>
                <c:formatCode>0</c:formatCode>
                <c:ptCount val="12"/>
                <c:pt idx="0">
                  <c:v>9.7514148029999994</c:v>
                </c:pt>
                <c:pt idx="1">
                  <c:v>10.642252963000001</c:v>
                </c:pt>
                <c:pt idx="2">
                  <c:v>10.489999194999999</c:v>
                </c:pt>
                <c:pt idx="3">
                  <c:v>14.264143598000002</c:v>
                </c:pt>
                <c:pt idx="4">
                  <c:v>8.546659413999997</c:v>
                </c:pt>
                <c:pt idx="5">
                  <c:v>7.701282549000001</c:v>
                </c:pt>
                <c:pt idx="6">
                  <c:v>10.542437995</c:v>
                </c:pt>
                <c:pt idx="7">
                  <c:v>9.8458373770000023</c:v>
                </c:pt>
                <c:pt idx="8">
                  <c:v>9.3064198009999988</c:v>
                </c:pt>
                <c:pt idx="9">
                  <c:v>14.087502625000003</c:v>
                </c:pt>
                <c:pt idx="10">
                  <c:v>13.489896843999993</c:v>
                </c:pt>
                <c:pt idx="11">
                  <c:v>10.485561259000004</c:v>
                </c:pt>
              </c:numCache>
            </c:numRef>
          </c:val>
        </c:ser>
        <c:ser>
          <c:idx val="1"/>
          <c:order val="1"/>
          <c:tx>
            <c:strRef>
              <c:f>'RM-PM_DIOH_90'!$R$119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'RM-PM_DIOH_90'!$S$117:$AD$117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'RM-PM_DIOH_90'!$S$119:$AD$119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34.204684996585144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34400"/>
        <c:axId val="172135936"/>
      </c:barChart>
      <c:lineChart>
        <c:grouping val="standard"/>
        <c:varyColors val="0"/>
        <c:ser>
          <c:idx val="2"/>
          <c:order val="2"/>
          <c:tx>
            <c:strRef>
              <c:f>'RM-PM_DIOH_90'!$R$120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'RM-PM_DIOH_90'!$S$117:$AD$117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'RM-PM_DIOH_90'!$S$120:$AD$120</c:f>
              <c:numCache>
                <c:formatCode>0</c:formatCode>
                <c:ptCount val="12"/>
                <c:pt idx="0">
                  <c:v>8.1717700951645256</c:v>
                </c:pt>
                <c:pt idx="1">
                  <c:v>8.9876595266707842</c:v>
                </c:pt>
                <c:pt idx="2">
                  <c:v>8.1119269389311626</c:v>
                </c:pt>
                <c:pt idx="3">
                  <c:v>10.185656238081684</c:v>
                </c:pt>
                <c:pt idx="4">
                  <c:v>5.9401064936635208</c:v>
                </c:pt>
                <c:pt idx="5">
                  <c:v>5.739880595459244</c:v>
                </c:pt>
                <c:pt idx="6">
                  <c:v>9.3802058404298716</c:v>
                </c:pt>
                <c:pt idx="7">
                  <c:v>9.8259507100116004</c:v>
                </c:pt>
                <c:pt idx="8">
                  <c:v>9.7890196815990596</c:v>
                </c:pt>
                <c:pt idx="9">
                  <c:v>12.779836038431991</c:v>
                </c:pt>
                <c:pt idx="10">
                  <c:v>12.364165567234291</c:v>
                </c:pt>
                <c:pt idx="11">
                  <c:v>9.196600927662546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3360"/>
        <c:axId val="172137472"/>
      </c:lineChart>
      <c:catAx>
        <c:axId val="172134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135936"/>
        <c:crosses val="autoZero"/>
        <c:auto val="1"/>
        <c:lblAlgn val="ctr"/>
        <c:lblOffset val="100"/>
        <c:noMultiLvlLbl val="0"/>
      </c:catAx>
      <c:valAx>
        <c:axId val="1721359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2134400"/>
        <c:crosses val="autoZero"/>
        <c:crossBetween val="between"/>
      </c:valAx>
      <c:valAx>
        <c:axId val="1721374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72143360"/>
        <c:crosses val="max"/>
        <c:crossBetween val="between"/>
      </c:valAx>
      <c:catAx>
        <c:axId val="17214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137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4552871498969771"/>
          <c:y val="3.5662803385531863E-2"/>
          <c:w val="0.28771025277735013"/>
          <c:h val="0.197357825875351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'RM-PM_DIOH_90'!$R$125</c:f>
              <c:strCache>
                <c:ptCount val="1"/>
                <c:pt idx="0">
                  <c:v>SFG+FG Moving 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'RM-PM_DIOH_90'!$S$124:$AD$124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'RM-PM_DIOH_90'!$S$125:$AD$125</c:f>
              <c:numCache>
                <c:formatCode>0</c:formatCode>
                <c:ptCount val="12"/>
                <c:pt idx="0">
                  <c:v>9.3096247739999995</c:v>
                </c:pt>
                <c:pt idx="1">
                  <c:v>9.7976478290000024</c:v>
                </c:pt>
                <c:pt idx="2">
                  <c:v>8.7984703919999987</c:v>
                </c:pt>
                <c:pt idx="3">
                  <c:v>12.887213071000003</c:v>
                </c:pt>
                <c:pt idx="4">
                  <c:v>6.8279945819999988</c:v>
                </c:pt>
                <c:pt idx="5">
                  <c:v>5.604280511999999</c:v>
                </c:pt>
                <c:pt idx="6">
                  <c:v>9.0277406639999995</c:v>
                </c:pt>
                <c:pt idx="7">
                  <c:v>7.8072494959999998</c:v>
                </c:pt>
                <c:pt idx="8">
                  <c:v>7.561834775000003</c:v>
                </c:pt>
                <c:pt idx="9">
                  <c:v>12.167243911000003</c:v>
                </c:pt>
                <c:pt idx="10">
                  <c:v>11.871187373999991</c:v>
                </c:pt>
                <c:pt idx="11">
                  <c:v>8.9446057100000047</c:v>
                </c:pt>
              </c:numCache>
            </c:numRef>
          </c:val>
        </c:ser>
        <c:ser>
          <c:idx val="1"/>
          <c:order val="1"/>
          <c:tx>
            <c:strRef>
              <c:f>'RM-PM_DIOH_90'!$R$126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'RM-PM_DIOH_90'!$S$124:$AD$124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'RM-PM_DIOH_90'!$S$126:$AD$126</c:f>
              <c:numCache>
                <c:formatCode>0</c:formatCode>
                <c:ptCount val="12"/>
                <c:pt idx="0">
                  <c:v>35.799152531604612</c:v>
                </c:pt>
                <c:pt idx="1">
                  <c:v>35.522884232828005</c:v>
                </c:pt>
                <c:pt idx="2">
                  <c:v>38.794725127475722</c:v>
                </c:pt>
                <c:pt idx="3">
                  <c:v>42.01244357139165</c:v>
                </c:pt>
                <c:pt idx="4">
                  <c:v>43.164172678302783</c:v>
                </c:pt>
                <c:pt idx="5">
                  <c:v>40.251442974749686</c:v>
                </c:pt>
                <c:pt idx="6">
                  <c:v>33.717078839232165</c:v>
                </c:pt>
                <c:pt idx="7">
                  <c:v>30.060716772072158</c:v>
                </c:pt>
                <c:pt idx="8">
                  <c:v>28.520996290855674</c:v>
                </c:pt>
                <c:pt idx="9">
                  <c:v>33.069679257156857</c:v>
                </c:pt>
                <c:pt idx="10">
                  <c:v>32.731436918999897</c:v>
                </c:pt>
                <c:pt idx="11">
                  <c:v>33.396213650732335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4496"/>
        <c:axId val="172636032"/>
      </c:barChart>
      <c:lineChart>
        <c:grouping val="standard"/>
        <c:varyColors val="0"/>
        <c:ser>
          <c:idx val="2"/>
          <c:order val="2"/>
          <c:tx>
            <c:strRef>
              <c:f>'RM-PM_DIOH_90'!$R$127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'RM-PM_DIOH_90'!$S$124:$AD$124</c:f>
              <c:strCache>
                <c:ptCount val="12"/>
                <c:pt idx="0">
                  <c:v>Mar' 15</c:v>
                </c:pt>
                <c:pt idx="1">
                  <c:v>Apr' 15</c:v>
                </c:pt>
                <c:pt idx="2">
                  <c:v>May' 15</c:v>
                </c:pt>
                <c:pt idx="3">
                  <c:v>Jun' 15</c:v>
                </c:pt>
                <c:pt idx="4">
                  <c:v>July' 15</c:v>
                </c:pt>
                <c:pt idx="5">
                  <c:v>Aug' 15</c:v>
                </c:pt>
                <c:pt idx="6">
                  <c:v>Sept' 15</c:v>
                </c:pt>
                <c:pt idx="7">
                  <c:v>Oct' 15</c:v>
                </c:pt>
                <c:pt idx="8">
                  <c:v>Nov' 15</c:v>
                </c:pt>
                <c:pt idx="9">
                  <c:v>Dec' 15</c:v>
                </c:pt>
                <c:pt idx="10">
                  <c:v>Jan' 16</c:v>
                </c:pt>
                <c:pt idx="11">
                  <c:v>Feb' 16</c:v>
                </c:pt>
              </c:strCache>
            </c:strRef>
          </c:cat>
          <c:val>
            <c:numRef>
              <c:f>'RM-PM_DIOH_90'!$S$127:$AD$127</c:f>
              <c:numCache>
                <c:formatCode>0</c:formatCode>
                <c:ptCount val="12"/>
                <c:pt idx="0">
                  <c:v>7.8015462230128261</c:v>
                </c:pt>
                <c:pt idx="1">
                  <c:v>8.2743685153349418</c:v>
                </c:pt>
                <c:pt idx="2">
                  <c:v>6.8038660125228931</c:v>
                </c:pt>
                <c:pt idx="3">
                  <c:v>9.2024257401982297</c:v>
                </c:pt>
                <c:pt idx="4">
                  <c:v>4.7455986006414586</c:v>
                </c:pt>
                <c:pt idx="5">
                  <c:v>4.1769537421420981</c:v>
                </c:pt>
                <c:pt idx="6">
                  <c:v>8.0324935980179841</c:v>
                </c:pt>
                <c:pt idx="7">
                  <c:v>7.7914803780593562</c:v>
                </c:pt>
                <c:pt idx="8">
                  <c:v>7.9539662968482538</c:v>
                </c:pt>
                <c:pt idx="9">
                  <c:v>11.037824542885579</c:v>
                </c:pt>
                <c:pt idx="10">
                  <c:v>10.880537328725421</c:v>
                </c:pt>
                <c:pt idx="11">
                  <c:v>8.0349878613893644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7552"/>
        <c:axId val="172637568"/>
      </c:lineChart>
      <c:catAx>
        <c:axId val="172634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636032"/>
        <c:crosses val="autoZero"/>
        <c:auto val="1"/>
        <c:lblAlgn val="ctr"/>
        <c:lblOffset val="100"/>
        <c:noMultiLvlLbl val="0"/>
      </c:catAx>
      <c:valAx>
        <c:axId val="17263603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2634496"/>
        <c:crosses val="autoZero"/>
        <c:crossBetween val="between"/>
      </c:valAx>
      <c:valAx>
        <c:axId val="1726375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72647552"/>
        <c:crosses val="max"/>
        <c:crossBetween val="between"/>
      </c:valAx>
      <c:catAx>
        <c:axId val="17264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37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0569441219097175"/>
          <c:y val="2.1110809693624562E-2"/>
          <c:w val="0.27790472195118837"/>
          <c:h val="0.20317880208794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31772788166753E-2"/>
          <c:y val="4.4994985204518452E-2"/>
          <c:w val="0.88058396586406629"/>
          <c:h val="0.7883312745494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'Inventoy-DIOH'!$H$1</c:f>
              <c:strCache>
                <c:ptCount val="1"/>
                <c:pt idx="0">
                  <c:v>Inventory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'Inventoy-DIOH'!$G$2:$G$14</c:f>
              <c:strCache>
                <c:ptCount val="13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Jun' 16</c:v>
                </c:pt>
                <c:pt idx="6">
                  <c:v>Sept' 16</c:v>
                </c:pt>
                <c:pt idx="7">
                  <c:v>Oct' 16</c:v>
                </c:pt>
                <c:pt idx="8">
                  <c:v>Nov' 16</c:v>
                </c:pt>
                <c:pt idx="9">
                  <c:v>Dec' 16</c:v>
                </c:pt>
                <c:pt idx="10">
                  <c:v>Jan' 17</c:v>
                </c:pt>
                <c:pt idx="11">
                  <c:v>Feb' 17</c:v>
                </c:pt>
                <c:pt idx="12">
                  <c:v>Mar' 17</c:v>
                </c:pt>
              </c:strCache>
            </c:strRef>
          </c:cat>
          <c:val>
            <c:numRef>
              <c:f>'Inventoy-DIOH'!$H$2:$H$14</c:f>
              <c:numCache>
                <c:formatCode>0</c:formatCode>
                <c:ptCount val="13"/>
                <c:pt idx="0">
                  <c:v>56.096892969999992</c:v>
                </c:pt>
                <c:pt idx="1">
                  <c:v>51.578394978000013</c:v>
                </c:pt>
                <c:pt idx="2">
                  <c:v>48.997062833000008</c:v>
                </c:pt>
                <c:pt idx="3">
                  <c:v>47.800973722000002</c:v>
                </c:pt>
                <c:pt idx="4">
                  <c:v>50.740736715999986</c:v>
                </c:pt>
                <c:pt idx="5">
                  <c:v>57.817936441999983</c:v>
                </c:pt>
                <c:pt idx="6">
                  <c:v>43.392173477000007</c:v>
                </c:pt>
                <c:pt idx="7">
                  <c:v>50.303243387000002</c:v>
                </c:pt>
                <c:pt idx="8">
                  <c:v>62.281702901999999</c:v>
                </c:pt>
                <c:pt idx="9">
                  <c:v>64</c:v>
                </c:pt>
                <c:pt idx="10">
                  <c:v>57.89</c:v>
                </c:pt>
                <c:pt idx="11">
                  <c:v>50.18</c:v>
                </c:pt>
                <c:pt idx="12">
                  <c:v>51.875933828000001</c:v>
                </c:pt>
              </c:numCache>
            </c:numRef>
          </c:val>
        </c:ser>
        <c:ser>
          <c:idx val="1"/>
          <c:order val="1"/>
          <c:tx>
            <c:strRef>
              <c:f>'Inventoy-DIOH'!$I$1</c:f>
              <c:strCache>
                <c:ptCount val="1"/>
                <c:pt idx="0">
                  <c:v>Avg CoGS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'Inventoy-DIOH'!$G$2:$G$14</c:f>
              <c:strCache>
                <c:ptCount val="13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Jun' 16</c:v>
                </c:pt>
                <c:pt idx="6">
                  <c:v>Sept' 16</c:v>
                </c:pt>
                <c:pt idx="7">
                  <c:v>Oct' 16</c:v>
                </c:pt>
                <c:pt idx="8">
                  <c:v>Nov' 16</c:v>
                </c:pt>
                <c:pt idx="9">
                  <c:v>Dec' 16</c:v>
                </c:pt>
                <c:pt idx="10">
                  <c:v>Jan' 17</c:v>
                </c:pt>
                <c:pt idx="11">
                  <c:v>Feb' 17</c:v>
                </c:pt>
                <c:pt idx="12">
                  <c:v>Mar' 17</c:v>
                </c:pt>
              </c:strCache>
            </c:strRef>
          </c:cat>
          <c:val>
            <c:numRef>
              <c:f>'Inventoy-DIOH'!$I$2:$I$14</c:f>
              <c:numCache>
                <c:formatCode>0</c:formatCode>
                <c:ptCount val="13"/>
                <c:pt idx="0">
                  <c:v>35.799152531604612</c:v>
                </c:pt>
                <c:pt idx="1">
                  <c:v>42.01244357139165</c:v>
                </c:pt>
                <c:pt idx="2">
                  <c:v>33.717078839232165</c:v>
                </c:pt>
                <c:pt idx="3">
                  <c:v>33.069679257156857</c:v>
                </c:pt>
                <c:pt idx="4">
                  <c:v>36.072236818817728</c:v>
                </c:pt>
                <c:pt idx="5">
                  <c:v>36.130393942489263</c:v>
                </c:pt>
                <c:pt idx="6">
                  <c:v>33.922962139112848</c:v>
                </c:pt>
                <c:pt idx="7">
                  <c:v>31.896524096336858</c:v>
                </c:pt>
                <c:pt idx="8">
                  <c:v>31.580000000000002</c:v>
                </c:pt>
                <c:pt idx="9">
                  <c:v>31.766666666666666</c:v>
                </c:pt>
                <c:pt idx="10">
                  <c:v>34.21</c:v>
                </c:pt>
                <c:pt idx="11">
                  <c:v>37.423333333333339</c:v>
                </c:pt>
                <c:pt idx="12">
                  <c:v>40.563333333333333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35904"/>
        <c:axId val="173037440"/>
      </c:barChart>
      <c:lineChart>
        <c:grouping val="standard"/>
        <c:varyColors val="0"/>
        <c:ser>
          <c:idx val="2"/>
          <c:order val="2"/>
          <c:tx>
            <c:strRef>
              <c:f>'Inventoy-DIOH'!$J$1</c:f>
              <c:strCache>
                <c:ptCount val="1"/>
                <c:pt idx="0">
                  <c:v>DIOH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 cap="flat">
                <a:solidFill>
                  <a:srgbClr val="FF0000"/>
                </a:solidFill>
                <a:round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'Inventoy-DIOH'!$G$2:$G$14</c:f>
              <c:strCache>
                <c:ptCount val="13"/>
                <c:pt idx="0">
                  <c:v>Mar' 15</c:v>
                </c:pt>
                <c:pt idx="1">
                  <c:v>Jun' 15</c:v>
                </c:pt>
                <c:pt idx="2">
                  <c:v>Sept' 15</c:v>
                </c:pt>
                <c:pt idx="3">
                  <c:v>Dec' 15</c:v>
                </c:pt>
                <c:pt idx="4">
                  <c:v>Mar' 16</c:v>
                </c:pt>
                <c:pt idx="5">
                  <c:v>Jun' 16</c:v>
                </c:pt>
                <c:pt idx="6">
                  <c:v>Sept' 16</c:v>
                </c:pt>
                <c:pt idx="7">
                  <c:v>Oct' 16</c:v>
                </c:pt>
                <c:pt idx="8">
                  <c:v>Nov' 16</c:v>
                </c:pt>
                <c:pt idx="9">
                  <c:v>Dec' 16</c:v>
                </c:pt>
                <c:pt idx="10">
                  <c:v>Jan' 17</c:v>
                </c:pt>
                <c:pt idx="11">
                  <c:v>Feb' 17</c:v>
                </c:pt>
                <c:pt idx="12">
                  <c:v>Mar' 17</c:v>
                </c:pt>
              </c:strCache>
            </c:strRef>
          </c:cat>
          <c:val>
            <c:numRef>
              <c:f>'Inventoy-DIOH'!$J$2:$J$14</c:f>
              <c:numCache>
                <c:formatCode>0</c:formatCode>
                <c:ptCount val="13"/>
                <c:pt idx="0">
                  <c:v>47.009682355309302</c:v>
                </c:pt>
                <c:pt idx="1">
                  <c:v>36.830798634947023</c:v>
                </c:pt>
                <c:pt idx="2">
                  <c:v>43.595469583790148</c:v>
                </c:pt>
                <c:pt idx="3">
                  <c:v>43.363868167836891</c:v>
                </c:pt>
                <c:pt idx="4">
                  <c:v>42.199271121604113</c:v>
                </c:pt>
                <c:pt idx="5">
                  <c:v>48.007727123622267</c:v>
                </c:pt>
                <c:pt idx="6">
                  <c:v>38.374160810947508</c:v>
                </c:pt>
                <c:pt idx="7">
                  <c:v>47.312280706577425</c:v>
                </c:pt>
                <c:pt idx="8">
                  <c:v>59.165645568714375</c:v>
                </c:pt>
                <c:pt idx="9">
                  <c:v>60.440713536201471</c:v>
                </c:pt>
                <c:pt idx="10">
                  <c:v>50.765857936275943</c:v>
                </c:pt>
                <c:pt idx="11">
                  <c:v>40.226240313529878</c:v>
                </c:pt>
                <c:pt idx="12">
                  <c:v>38.36662046610239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5904"/>
        <c:axId val="173037440"/>
      </c:lineChart>
      <c:catAx>
        <c:axId val="173035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3037440"/>
        <c:crosses val="autoZero"/>
        <c:auto val="1"/>
        <c:lblAlgn val="ctr"/>
        <c:lblOffset val="100"/>
        <c:noMultiLvlLbl val="0"/>
      </c:catAx>
      <c:valAx>
        <c:axId val="17303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303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396065317713058"/>
          <c:y val="3.5662803385531863E-2"/>
          <c:w val="0.70271475517410487"/>
          <c:h val="9.7637822322266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OTIF!$B$36</c:f>
              <c:strCache>
                <c:ptCount val="1"/>
                <c:pt idx="0">
                  <c:v>CPD-Mktg OTIF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OTIF!$C$35:$N$35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OTIF!$C$36:$N$36</c:f>
              <c:numCache>
                <c:formatCode>0%</c:formatCode>
                <c:ptCount val="12"/>
                <c:pt idx="0">
                  <c:v>0.8928571428571429</c:v>
                </c:pt>
                <c:pt idx="1">
                  <c:v>0.95238095238095233</c:v>
                </c:pt>
                <c:pt idx="2">
                  <c:v>0.95238095238095233</c:v>
                </c:pt>
                <c:pt idx="3">
                  <c:v>0.95348837209302328</c:v>
                </c:pt>
                <c:pt idx="4">
                  <c:v>0.97647058823529409</c:v>
                </c:pt>
                <c:pt idx="5">
                  <c:v>0.96808510638297873</c:v>
                </c:pt>
                <c:pt idx="6">
                  <c:v>0.96341463414634143</c:v>
                </c:pt>
                <c:pt idx="7">
                  <c:v>0.96969696969696972</c:v>
                </c:pt>
                <c:pt idx="8">
                  <c:v>0.98611111111111116</c:v>
                </c:pt>
                <c:pt idx="9">
                  <c:v>0.94827586206896552</c:v>
                </c:pt>
                <c:pt idx="10">
                  <c:v>0.92</c:v>
                </c:pt>
                <c:pt idx="11">
                  <c:v>0.95454545454545459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OTIF!$B$37</c:f>
              <c:strCache>
                <c:ptCount val="1"/>
                <c:pt idx="0">
                  <c:v>Target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OTIF!$C$35:$N$35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OTIF!$C$37:$N$37</c:f>
              <c:numCache>
                <c:formatCode>0%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72288"/>
        <c:axId val="152974080"/>
      </c:lineChart>
      <c:catAx>
        <c:axId val="152972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/>
        </c:spPr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52974080"/>
        <c:crosses val="autoZero"/>
        <c:auto val="0"/>
        <c:lblAlgn val="ctr"/>
        <c:lblOffset val="100"/>
        <c:noMultiLvlLbl val="0"/>
      </c:catAx>
      <c:valAx>
        <c:axId val="152974080"/>
        <c:scaling>
          <c:orientation val="minMax"/>
          <c:min val="0.8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52972288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OTIF!$B$40</c:f>
              <c:strCache>
                <c:ptCount val="1"/>
                <c:pt idx="0">
                  <c:v>CMB-Mktg OTIF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OTIF!$C$39:$N$39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OTIF!$C$40:$N$40</c:f>
              <c:numCache>
                <c:formatCode>0%</c:formatCode>
                <c:ptCount val="12"/>
                <c:pt idx="0">
                  <c:v>0.83333333333333337</c:v>
                </c:pt>
                <c:pt idx="1">
                  <c:v>0.86896551724137927</c:v>
                </c:pt>
                <c:pt idx="2">
                  <c:v>0.86896551724137927</c:v>
                </c:pt>
                <c:pt idx="3">
                  <c:v>0.95161290322580649</c:v>
                </c:pt>
                <c:pt idx="4">
                  <c:v>0.80303030303030298</c:v>
                </c:pt>
                <c:pt idx="5">
                  <c:v>0.78846153846153844</c:v>
                </c:pt>
                <c:pt idx="6">
                  <c:v>0.8</c:v>
                </c:pt>
                <c:pt idx="7">
                  <c:v>0.89230769230769236</c:v>
                </c:pt>
                <c:pt idx="8">
                  <c:v>0.85245901639344257</c:v>
                </c:pt>
                <c:pt idx="9">
                  <c:v>0.96103896103896103</c:v>
                </c:pt>
                <c:pt idx="10">
                  <c:v>0.76388888888888884</c:v>
                </c:pt>
                <c:pt idx="11">
                  <c:v>0.93243243243243246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OTIF!$B$41</c:f>
              <c:strCache>
                <c:ptCount val="1"/>
                <c:pt idx="0">
                  <c:v>Target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OTIF!$C$39:$N$39</c:f>
              <c:strCache>
                <c:ptCount val="12"/>
                <c:pt idx="0">
                  <c:v>Apr' 16</c:v>
                </c:pt>
                <c:pt idx="1">
                  <c:v>May' 16</c:v>
                </c:pt>
                <c:pt idx="2">
                  <c:v>Jun' 16</c:v>
                </c:pt>
                <c:pt idx="3">
                  <c:v>July' 16</c:v>
                </c:pt>
                <c:pt idx="4">
                  <c:v>Aug' 16</c:v>
                </c:pt>
                <c:pt idx="5">
                  <c:v>Sept' 16</c:v>
                </c:pt>
                <c:pt idx="6">
                  <c:v>Oct' 16</c:v>
                </c:pt>
                <c:pt idx="7">
                  <c:v>Nov' 16</c:v>
                </c:pt>
                <c:pt idx="8">
                  <c:v>Dec' 16</c:v>
                </c:pt>
                <c:pt idx="9">
                  <c:v>Jan' 17</c:v>
                </c:pt>
                <c:pt idx="10">
                  <c:v>Feb' 17</c:v>
                </c:pt>
                <c:pt idx="11">
                  <c:v>Mar' 17</c:v>
                </c:pt>
              </c:strCache>
            </c:strRef>
          </c:cat>
          <c:val>
            <c:numRef>
              <c:f>OTIF!$C$41:$N$41</c:f>
              <c:numCache>
                <c:formatCode>0%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80480"/>
        <c:axId val="152990464"/>
      </c:lineChart>
      <c:catAx>
        <c:axId val="152980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/>
        </c:spPr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152990464"/>
        <c:crosses val="autoZero"/>
        <c:auto val="0"/>
        <c:lblAlgn val="ctr"/>
        <c:lblOffset val="100"/>
        <c:noMultiLvlLbl val="0"/>
      </c:catAx>
      <c:valAx>
        <c:axId val="152990464"/>
        <c:scaling>
          <c:orientation val="minMax"/>
          <c:min val="0.5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5298048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 sz="1000"/>
              <a:t>RM : SMOG</a:t>
            </a:r>
            <a:r>
              <a:rPr lang="en-IN" sz="1000" baseline="0"/>
              <a:t> ( &gt; 180 days )</a:t>
            </a:r>
            <a:endParaRPr lang="en-IN" sz="1000"/>
          </a:p>
        </c:rich>
      </c:tx>
      <c:layout>
        <c:manualLayout>
          <c:xMode val="edge"/>
          <c:yMode val="edge"/>
          <c:x val="0.29903428491360556"/>
          <c:y val="7.7562326869806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'SMOG-180'!$L$3:$L$24</c:f>
              <c:strCache>
                <c:ptCount val="4"/>
                <c:pt idx="0">
                  <c:v>Mar' 16</c:v>
                </c:pt>
                <c:pt idx="1">
                  <c:v>Jun' 16</c:v>
                </c:pt>
                <c:pt idx="2">
                  <c:v>Sept' 16</c:v>
                </c:pt>
                <c:pt idx="3">
                  <c:v>Dec' 16</c:v>
                </c:pt>
              </c:strCache>
            </c:strRef>
          </c:cat>
          <c:val>
            <c:numRef>
              <c:f>'SMOG-180'!$M$3:$M$24</c:f>
              <c:numCache>
                <c:formatCode>0</c:formatCode>
                <c:ptCount val="4"/>
                <c:pt idx="0">
                  <c:v>124.88821220000008</c:v>
                </c:pt>
                <c:pt idx="1">
                  <c:v>127.80310829999998</c:v>
                </c:pt>
                <c:pt idx="2">
                  <c:v>95.704213900000028</c:v>
                </c:pt>
                <c:pt idx="3">
                  <c:v>120.30769289999999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792064"/>
        <c:axId val="192793600"/>
      </c:lineChart>
      <c:catAx>
        <c:axId val="192792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2793600"/>
        <c:crosses val="autoZero"/>
        <c:auto val="1"/>
        <c:lblAlgn val="ctr"/>
        <c:lblOffset val="100"/>
        <c:noMultiLvlLbl val="0"/>
      </c:catAx>
      <c:valAx>
        <c:axId val="19279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79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 sz="1000"/>
              <a:t>PM : SMOG</a:t>
            </a:r>
            <a:r>
              <a:rPr lang="en-IN" sz="1000" baseline="0"/>
              <a:t> ( &gt; 180 days )</a:t>
            </a:r>
            <a:endParaRPr lang="en-IN" sz="1000"/>
          </a:p>
        </c:rich>
      </c:tx>
      <c:layout>
        <c:manualLayout>
          <c:xMode val="edge"/>
          <c:yMode val="edge"/>
          <c:x val="0.29903428491360556"/>
          <c:y val="7.7562326869806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'SMOG-180'!$N$3:$N$24</c:f>
              <c:strCache>
                <c:ptCount val="4"/>
                <c:pt idx="0">
                  <c:v>Mar' 16</c:v>
                </c:pt>
                <c:pt idx="1">
                  <c:v>Jun' 16</c:v>
                </c:pt>
                <c:pt idx="2">
                  <c:v>Sept' 16</c:v>
                </c:pt>
                <c:pt idx="3">
                  <c:v>Dec' 16</c:v>
                </c:pt>
              </c:strCache>
            </c:strRef>
          </c:cat>
          <c:val>
            <c:numRef>
              <c:f>'SMOG-180'!$O$3:$O$24</c:f>
              <c:numCache>
                <c:formatCode>0</c:formatCode>
                <c:ptCount val="4"/>
                <c:pt idx="0">
                  <c:v>97.078985499999973</c:v>
                </c:pt>
                <c:pt idx="1">
                  <c:v>103.45631020000003</c:v>
                </c:pt>
                <c:pt idx="2">
                  <c:v>121.77566079999993</c:v>
                </c:pt>
                <c:pt idx="3">
                  <c:v>94.279320999999939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91904"/>
        <c:axId val="192893696"/>
      </c:lineChart>
      <c:catAx>
        <c:axId val="192891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2893696"/>
        <c:crosses val="autoZero"/>
        <c:auto val="1"/>
        <c:lblAlgn val="ctr"/>
        <c:lblOffset val="100"/>
        <c:noMultiLvlLbl val="0"/>
      </c:catAx>
      <c:valAx>
        <c:axId val="192893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89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 sz="1000"/>
              <a:t>Total : SMOG</a:t>
            </a:r>
            <a:r>
              <a:rPr lang="en-IN" sz="1000" baseline="0"/>
              <a:t> ( &gt; 180 days )</a:t>
            </a:r>
            <a:endParaRPr lang="en-IN" sz="1000"/>
          </a:p>
        </c:rich>
      </c:tx>
      <c:layout>
        <c:manualLayout>
          <c:xMode val="edge"/>
          <c:yMode val="edge"/>
          <c:x val="0.29903428491360556"/>
          <c:y val="7.7562326869806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'SMOG-180'!$T$3:$T$24</c:f>
              <c:strCache>
                <c:ptCount val="4"/>
                <c:pt idx="0">
                  <c:v>Mar' 16</c:v>
                </c:pt>
                <c:pt idx="1">
                  <c:v>Jun' 16</c:v>
                </c:pt>
                <c:pt idx="2">
                  <c:v>Sept' 16</c:v>
                </c:pt>
                <c:pt idx="3">
                  <c:v>Dec' 16</c:v>
                </c:pt>
              </c:strCache>
            </c:strRef>
          </c:cat>
          <c:val>
            <c:numRef>
              <c:f>'SMOG-180'!$U$3:$U$24</c:f>
              <c:numCache>
                <c:formatCode>0</c:formatCode>
                <c:ptCount val="4"/>
                <c:pt idx="0">
                  <c:v>355.60146109999994</c:v>
                </c:pt>
                <c:pt idx="1">
                  <c:v>380.18620419999985</c:v>
                </c:pt>
                <c:pt idx="2">
                  <c:v>350.40279729999986</c:v>
                </c:pt>
                <c:pt idx="3">
                  <c:v>268.29140669999981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926848"/>
        <c:axId val="192928384"/>
      </c:lineChart>
      <c:catAx>
        <c:axId val="192926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2928384"/>
        <c:crosses val="autoZero"/>
        <c:auto val="1"/>
        <c:lblAlgn val="ctr"/>
        <c:lblOffset val="100"/>
        <c:noMultiLvlLbl val="0"/>
      </c:catAx>
      <c:valAx>
        <c:axId val="1929283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92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 sz="1000"/>
              <a:t>Noodles : SMOG</a:t>
            </a:r>
            <a:r>
              <a:rPr lang="en-IN" sz="1000" baseline="0"/>
              <a:t> ( &gt; 180 days )</a:t>
            </a:r>
            <a:endParaRPr lang="en-IN" sz="1000"/>
          </a:p>
        </c:rich>
      </c:tx>
      <c:layout>
        <c:manualLayout>
          <c:xMode val="edge"/>
          <c:yMode val="edge"/>
          <c:x val="0.29903428491360556"/>
          <c:y val="7.75623268698060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'SMOG-180'!$P$3:$P$24</c:f>
              <c:strCache>
                <c:ptCount val="4"/>
                <c:pt idx="0">
                  <c:v>Mar' 16</c:v>
                </c:pt>
                <c:pt idx="1">
                  <c:v>Jun' 16</c:v>
                </c:pt>
                <c:pt idx="2">
                  <c:v>Sept' 16</c:v>
                </c:pt>
                <c:pt idx="3">
                  <c:v>Dec' 16</c:v>
                </c:pt>
              </c:strCache>
            </c:strRef>
          </c:cat>
          <c:val>
            <c:numRef>
              <c:f>'SMOG-180'!$Q$3:$Q$24</c:f>
              <c:numCache>
                <c:formatCode>0</c:formatCode>
                <c:ptCount val="4"/>
                <c:pt idx="0">
                  <c:v>21.434136399999996</c:v>
                </c:pt>
                <c:pt idx="1">
                  <c:v>25.3216921</c:v>
                </c:pt>
                <c:pt idx="2">
                  <c:v>13.9643145</c:v>
                </c:pt>
                <c:pt idx="3">
                  <c:v>7.5874717999999994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43456"/>
        <c:axId val="193045248"/>
      </c:lineChart>
      <c:catAx>
        <c:axId val="193043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045248"/>
        <c:crosses val="autoZero"/>
        <c:auto val="1"/>
        <c:lblAlgn val="ctr"/>
        <c:lblOffset val="100"/>
        <c:noMultiLvlLbl val="0"/>
      </c:catAx>
      <c:valAx>
        <c:axId val="193045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04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8</xdr:row>
      <xdr:rowOff>41276</xdr:rowOff>
    </xdr:from>
    <xdr:to>
      <xdr:col>3</xdr:col>
      <xdr:colOff>358775</xdr:colOff>
      <xdr:row>8</xdr:row>
      <xdr:rowOff>295276</xdr:rowOff>
    </xdr:to>
    <xdr:sp macro="" textlink="">
      <xdr:nvSpPr>
        <xdr:cNvPr id="2" name="Oval 1"/>
        <xdr:cNvSpPr/>
      </xdr:nvSpPr>
      <xdr:spPr>
        <a:xfrm>
          <a:off x="1901824" y="7004051"/>
          <a:ext cx="285751" cy="25400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654049</xdr:colOff>
      <xdr:row>8</xdr:row>
      <xdr:rowOff>66676</xdr:rowOff>
    </xdr:from>
    <xdr:to>
      <xdr:col>4</xdr:col>
      <xdr:colOff>939800</xdr:colOff>
      <xdr:row>8</xdr:row>
      <xdr:rowOff>320676</xdr:rowOff>
    </xdr:to>
    <xdr:sp macro="" textlink="">
      <xdr:nvSpPr>
        <xdr:cNvPr id="3" name="Oval 2"/>
        <xdr:cNvSpPr/>
      </xdr:nvSpPr>
      <xdr:spPr>
        <a:xfrm>
          <a:off x="6791325" y="7029451"/>
          <a:ext cx="0" cy="254000"/>
        </a:xfrm>
        <a:prstGeom prst="ellipse">
          <a:avLst/>
        </a:prstGeom>
        <a:solidFill>
          <a:srgbClr val="FF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2838449</xdr:colOff>
      <xdr:row>8</xdr:row>
      <xdr:rowOff>60326</xdr:rowOff>
    </xdr:from>
    <xdr:to>
      <xdr:col>3</xdr:col>
      <xdr:colOff>3124200</xdr:colOff>
      <xdr:row>8</xdr:row>
      <xdr:rowOff>314326</xdr:rowOff>
    </xdr:to>
    <xdr:sp macro="" textlink="">
      <xdr:nvSpPr>
        <xdr:cNvPr id="4" name="Oval 3"/>
        <xdr:cNvSpPr/>
      </xdr:nvSpPr>
      <xdr:spPr>
        <a:xfrm>
          <a:off x="4667249" y="7023101"/>
          <a:ext cx="285751" cy="2540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3476625</xdr:colOff>
      <xdr:row>8</xdr:row>
      <xdr:rowOff>63500</xdr:rowOff>
    </xdr:from>
    <xdr:to>
      <xdr:col>3</xdr:col>
      <xdr:colOff>3698875</xdr:colOff>
      <xdr:row>8</xdr:row>
      <xdr:rowOff>285750</xdr:rowOff>
    </xdr:to>
    <xdr:sp macro="" textlink="">
      <xdr:nvSpPr>
        <xdr:cNvPr id="5" name="Isosceles Triangle 4"/>
        <xdr:cNvSpPr/>
      </xdr:nvSpPr>
      <xdr:spPr>
        <a:xfrm>
          <a:off x="5286375" y="5349875"/>
          <a:ext cx="222250" cy="222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79375</xdr:colOff>
      <xdr:row>8</xdr:row>
      <xdr:rowOff>57150</xdr:rowOff>
    </xdr:from>
    <xdr:to>
      <xdr:col>7</xdr:col>
      <xdr:colOff>301625</xdr:colOff>
      <xdr:row>8</xdr:row>
      <xdr:rowOff>269875</xdr:rowOff>
    </xdr:to>
    <xdr:sp macro="" textlink="">
      <xdr:nvSpPr>
        <xdr:cNvPr id="6" name="Isosceles Triangle 5"/>
        <xdr:cNvSpPr/>
      </xdr:nvSpPr>
      <xdr:spPr>
        <a:xfrm>
          <a:off x="7445375" y="5343525"/>
          <a:ext cx="222250" cy="21272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1190625</xdr:colOff>
      <xdr:row>0</xdr:row>
      <xdr:rowOff>15875</xdr:rowOff>
    </xdr:from>
    <xdr:to>
      <xdr:col>20</xdr:col>
      <xdr:colOff>1158875</xdr:colOff>
      <xdr:row>5</xdr:row>
      <xdr:rowOff>762001</xdr:rowOff>
    </xdr:to>
    <xdr:sp macro="" textlink="">
      <xdr:nvSpPr>
        <xdr:cNvPr id="7" name="Rounded Rectangle 6"/>
        <xdr:cNvSpPr/>
      </xdr:nvSpPr>
      <xdr:spPr>
        <a:xfrm>
          <a:off x="15414625" y="15875"/>
          <a:ext cx="1174750" cy="4921251"/>
        </a:xfrm>
        <a:prstGeom prst="roundRect">
          <a:avLst/>
        </a:prstGeom>
        <a:noFill/>
        <a:ln w="66675" cap="rnd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498474</xdr:colOff>
      <xdr:row>8</xdr:row>
      <xdr:rowOff>53976</xdr:rowOff>
    </xdr:from>
    <xdr:to>
      <xdr:col>5</xdr:col>
      <xdr:colOff>784225</xdr:colOff>
      <xdr:row>8</xdr:row>
      <xdr:rowOff>307976</xdr:rowOff>
    </xdr:to>
    <xdr:sp macro="" textlink="">
      <xdr:nvSpPr>
        <xdr:cNvPr id="9" name="Oval 8"/>
        <xdr:cNvSpPr/>
      </xdr:nvSpPr>
      <xdr:spPr>
        <a:xfrm>
          <a:off x="6848474" y="5340351"/>
          <a:ext cx="285751" cy="254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684801</xdr:colOff>
      <xdr:row>51</xdr:row>
      <xdr:rowOff>180664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3886200"/>
          <a:ext cx="8000001" cy="2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94838</xdr:colOff>
      <xdr:row>75</xdr:row>
      <xdr:rowOff>47148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6638925"/>
          <a:ext cx="3295238" cy="3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11</xdr:col>
      <xdr:colOff>37096</xdr:colOff>
      <xdr:row>95</xdr:row>
      <xdr:rowOff>28231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10687050"/>
          <a:ext cx="8038096" cy="2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65</xdr:row>
      <xdr:rowOff>19050</xdr:rowOff>
    </xdr:from>
    <xdr:to>
      <xdr:col>14</xdr:col>
      <xdr:colOff>190074</xdr:colOff>
      <xdr:row>83</xdr:row>
      <xdr:rowOff>142388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49850" y="7953375"/>
          <a:ext cx="3409524" cy="38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48</xdr:row>
      <xdr:rowOff>171450</xdr:rowOff>
    </xdr:from>
    <xdr:to>
      <xdr:col>19</xdr:col>
      <xdr:colOff>232697</xdr:colOff>
      <xdr:row>63</xdr:row>
      <xdr:rowOff>142486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6825" y="10877550"/>
          <a:ext cx="5323810" cy="3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111</xdr:row>
      <xdr:rowOff>133351</xdr:rowOff>
    </xdr:from>
    <xdr:to>
      <xdr:col>9</xdr:col>
      <xdr:colOff>156573</xdr:colOff>
      <xdr:row>113</xdr:row>
      <xdr:rowOff>118349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24041101"/>
          <a:ext cx="6766923" cy="40409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113</xdr:row>
      <xdr:rowOff>114300</xdr:rowOff>
    </xdr:from>
    <xdr:to>
      <xdr:col>9</xdr:col>
      <xdr:colOff>152400</xdr:colOff>
      <xdr:row>115</xdr:row>
      <xdr:rowOff>44505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24441150"/>
          <a:ext cx="6753225" cy="3493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9</xdr:col>
      <xdr:colOff>66675</xdr:colOff>
      <xdr:row>108</xdr:row>
      <xdr:rowOff>110583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22650450"/>
          <a:ext cx="6696075" cy="73923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108</xdr:row>
      <xdr:rowOff>123826</xdr:rowOff>
    </xdr:from>
    <xdr:to>
      <xdr:col>9</xdr:col>
      <xdr:colOff>95250</xdr:colOff>
      <xdr:row>111</xdr:row>
      <xdr:rowOff>166586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" y="23402926"/>
          <a:ext cx="6705600" cy="671410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111</xdr:row>
      <xdr:rowOff>180975</xdr:rowOff>
    </xdr:from>
    <xdr:to>
      <xdr:col>2</xdr:col>
      <xdr:colOff>552261</xdr:colOff>
      <xdr:row>112</xdr:row>
      <xdr:rowOff>142854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7775" y="24088725"/>
          <a:ext cx="1514286" cy="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9</xdr:row>
      <xdr:rowOff>41276</xdr:rowOff>
    </xdr:from>
    <xdr:to>
      <xdr:col>3</xdr:col>
      <xdr:colOff>358775</xdr:colOff>
      <xdr:row>9</xdr:row>
      <xdr:rowOff>295276</xdr:rowOff>
    </xdr:to>
    <xdr:sp macro="" textlink="">
      <xdr:nvSpPr>
        <xdr:cNvPr id="3" name="Oval 2"/>
        <xdr:cNvSpPr/>
      </xdr:nvSpPr>
      <xdr:spPr>
        <a:xfrm>
          <a:off x="1882774" y="7645401"/>
          <a:ext cx="285751" cy="25400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654049</xdr:colOff>
      <xdr:row>9</xdr:row>
      <xdr:rowOff>66676</xdr:rowOff>
    </xdr:from>
    <xdr:to>
      <xdr:col>4</xdr:col>
      <xdr:colOff>939800</xdr:colOff>
      <xdr:row>9</xdr:row>
      <xdr:rowOff>320676</xdr:rowOff>
    </xdr:to>
    <xdr:sp macro="" textlink="">
      <xdr:nvSpPr>
        <xdr:cNvPr id="7" name="Oval 6"/>
        <xdr:cNvSpPr/>
      </xdr:nvSpPr>
      <xdr:spPr>
        <a:xfrm>
          <a:off x="7432674" y="8305801"/>
          <a:ext cx="285751" cy="254000"/>
        </a:xfrm>
        <a:prstGeom prst="ellipse">
          <a:avLst/>
        </a:prstGeom>
        <a:solidFill>
          <a:srgbClr val="FF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2838449</xdr:colOff>
      <xdr:row>9</xdr:row>
      <xdr:rowOff>60326</xdr:rowOff>
    </xdr:from>
    <xdr:to>
      <xdr:col>3</xdr:col>
      <xdr:colOff>3124200</xdr:colOff>
      <xdr:row>9</xdr:row>
      <xdr:rowOff>314326</xdr:rowOff>
    </xdr:to>
    <xdr:sp macro="" textlink="">
      <xdr:nvSpPr>
        <xdr:cNvPr id="8" name="Oval 7"/>
        <xdr:cNvSpPr/>
      </xdr:nvSpPr>
      <xdr:spPr>
        <a:xfrm>
          <a:off x="4648199" y="6997701"/>
          <a:ext cx="285751" cy="2540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3286125</xdr:colOff>
      <xdr:row>9</xdr:row>
      <xdr:rowOff>63500</xdr:rowOff>
    </xdr:from>
    <xdr:to>
      <xdr:col>3</xdr:col>
      <xdr:colOff>3508375</xdr:colOff>
      <xdr:row>9</xdr:row>
      <xdr:rowOff>285750</xdr:rowOff>
    </xdr:to>
    <xdr:sp macro="" textlink="">
      <xdr:nvSpPr>
        <xdr:cNvPr id="9" name="Isosceles Triangle 8"/>
        <xdr:cNvSpPr/>
      </xdr:nvSpPr>
      <xdr:spPr>
        <a:xfrm>
          <a:off x="5095875" y="8302625"/>
          <a:ext cx="222250" cy="222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936625</xdr:colOff>
      <xdr:row>9</xdr:row>
      <xdr:rowOff>41275</xdr:rowOff>
    </xdr:from>
    <xdr:to>
      <xdr:col>5</xdr:col>
      <xdr:colOff>1136650</xdr:colOff>
      <xdr:row>9</xdr:row>
      <xdr:rowOff>263525</xdr:rowOff>
    </xdr:to>
    <xdr:sp macro="" textlink="">
      <xdr:nvSpPr>
        <xdr:cNvPr id="10" name="Isosceles Triangle 9"/>
        <xdr:cNvSpPr/>
      </xdr:nvSpPr>
      <xdr:spPr>
        <a:xfrm>
          <a:off x="7715250" y="6978650"/>
          <a:ext cx="200025" cy="222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31750</xdr:colOff>
      <xdr:row>0</xdr:row>
      <xdr:rowOff>126999</xdr:rowOff>
    </xdr:from>
    <xdr:to>
      <xdr:col>18</xdr:col>
      <xdr:colOff>15875</xdr:colOff>
      <xdr:row>7</xdr:row>
      <xdr:rowOff>730250</xdr:rowOff>
    </xdr:to>
    <xdr:sp macro="" textlink="">
      <xdr:nvSpPr>
        <xdr:cNvPr id="12" name="Rounded Rectangle 11"/>
        <xdr:cNvSpPr/>
      </xdr:nvSpPr>
      <xdr:spPr>
        <a:xfrm>
          <a:off x="16462375" y="126999"/>
          <a:ext cx="1190625" cy="6429376"/>
        </a:xfrm>
        <a:prstGeom prst="roundRect">
          <a:avLst/>
        </a:prstGeom>
        <a:noFill/>
        <a:ln w="66675" cap="rnd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2838449</xdr:colOff>
      <xdr:row>13</xdr:row>
      <xdr:rowOff>139701</xdr:rowOff>
    </xdr:from>
    <xdr:to>
      <xdr:col>3</xdr:col>
      <xdr:colOff>3124200</xdr:colOff>
      <xdr:row>14</xdr:row>
      <xdr:rowOff>107951</xdr:rowOff>
    </xdr:to>
    <xdr:sp macro="" textlink="">
      <xdr:nvSpPr>
        <xdr:cNvPr id="11" name="Oval 10"/>
        <xdr:cNvSpPr/>
      </xdr:nvSpPr>
      <xdr:spPr>
        <a:xfrm>
          <a:off x="4648199" y="8299451"/>
          <a:ext cx="285751" cy="2540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498474</xdr:colOff>
      <xdr:row>9</xdr:row>
      <xdr:rowOff>38101</xdr:rowOff>
    </xdr:from>
    <xdr:to>
      <xdr:col>5</xdr:col>
      <xdr:colOff>784225</xdr:colOff>
      <xdr:row>9</xdr:row>
      <xdr:rowOff>292101</xdr:rowOff>
    </xdr:to>
    <xdr:sp macro="" textlink="">
      <xdr:nvSpPr>
        <xdr:cNvPr id="13" name="Oval 12"/>
        <xdr:cNvSpPr/>
      </xdr:nvSpPr>
      <xdr:spPr>
        <a:xfrm>
          <a:off x="7277099" y="6975476"/>
          <a:ext cx="285751" cy="254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638173</xdr:colOff>
      <xdr:row>11</xdr:row>
      <xdr:rowOff>200027</xdr:rowOff>
    </xdr:from>
    <xdr:to>
      <xdr:col>22</xdr:col>
      <xdr:colOff>962025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638175</xdr:colOff>
      <xdr:row>2</xdr:row>
      <xdr:rowOff>19051</xdr:rowOff>
    </xdr:from>
    <xdr:to>
      <xdr:col>19</xdr:col>
      <xdr:colOff>695325</xdr:colOff>
      <xdr:row>11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714376</xdr:colOff>
      <xdr:row>2</xdr:row>
      <xdr:rowOff>19051</xdr:rowOff>
    </xdr:from>
    <xdr:to>
      <xdr:col>22</xdr:col>
      <xdr:colOff>962025</xdr:colOff>
      <xdr:row>11</xdr:row>
      <xdr:rowOff>200026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628650</xdr:colOff>
      <xdr:row>20</xdr:row>
      <xdr:rowOff>9525</xdr:rowOff>
    </xdr:from>
    <xdr:to>
      <xdr:col>19</xdr:col>
      <xdr:colOff>771525</xdr:colOff>
      <xdr:row>30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781050</xdr:colOff>
      <xdr:row>20</xdr:row>
      <xdr:rowOff>9525</xdr:rowOff>
    </xdr:from>
    <xdr:to>
      <xdr:col>22</xdr:col>
      <xdr:colOff>971550</xdr:colOff>
      <xdr:row>30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</xdr:colOff>
      <xdr:row>29</xdr:row>
      <xdr:rowOff>41276</xdr:rowOff>
    </xdr:from>
    <xdr:to>
      <xdr:col>0</xdr:col>
      <xdr:colOff>243418</xdr:colOff>
      <xdr:row>29</xdr:row>
      <xdr:rowOff>222250</xdr:rowOff>
    </xdr:to>
    <xdr:sp macro="" textlink="">
      <xdr:nvSpPr>
        <xdr:cNvPr id="2" name="Oval 1"/>
        <xdr:cNvSpPr/>
      </xdr:nvSpPr>
      <xdr:spPr>
        <a:xfrm>
          <a:off x="51894" y="5015443"/>
          <a:ext cx="191524" cy="180974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2838449</xdr:colOff>
      <xdr:row>29</xdr:row>
      <xdr:rowOff>60326</xdr:rowOff>
    </xdr:from>
    <xdr:to>
      <xdr:col>1</xdr:col>
      <xdr:colOff>3124200</xdr:colOff>
      <xdr:row>29</xdr:row>
      <xdr:rowOff>314326</xdr:rowOff>
    </xdr:to>
    <xdr:sp macro="" textlink="">
      <xdr:nvSpPr>
        <xdr:cNvPr id="4" name="Oval 3"/>
        <xdr:cNvSpPr/>
      </xdr:nvSpPr>
      <xdr:spPr>
        <a:xfrm>
          <a:off x="4667249" y="5365751"/>
          <a:ext cx="285751" cy="2540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608539</xdr:colOff>
      <xdr:row>29</xdr:row>
      <xdr:rowOff>57149</xdr:rowOff>
    </xdr:from>
    <xdr:to>
      <xdr:col>1</xdr:col>
      <xdr:colOff>783163</xdr:colOff>
      <xdr:row>29</xdr:row>
      <xdr:rowOff>232832</xdr:rowOff>
    </xdr:to>
    <xdr:sp macro="" textlink="">
      <xdr:nvSpPr>
        <xdr:cNvPr id="6" name="Isosceles Triangle 5"/>
        <xdr:cNvSpPr/>
      </xdr:nvSpPr>
      <xdr:spPr>
        <a:xfrm>
          <a:off x="1719789" y="5031316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595878</xdr:colOff>
      <xdr:row>29</xdr:row>
      <xdr:rowOff>66676</xdr:rowOff>
    </xdr:from>
    <xdr:to>
      <xdr:col>4</xdr:col>
      <xdr:colOff>4235</xdr:colOff>
      <xdr:row>29</xdr:row>
      <xdr:rowOff>247650</xdr:rowOff>
    </xdr:to>
    <xdr:sp macro="" textlink="">
      <xdr:nvSpPr>
        <xdr:cNvPr id="9" name="Oval 8"/>
        <xdr:cNvSpPr/>
      </xdr:nvSpPr>
      <xdr:spPr>
        <a:xfrm>
          <a:off x="3400461" y="5040843"/>
          <a:ext cx="191524" cy="180974"/>
        </a:xfrm>
        <a:prstGeom prst="ellipse">
          <a:avLst/>
        </a:prstGeom>
        <a:solidFill>
          <a:srgbClr val="FF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832944</xdr:colOff>
      <xdr:row>29</xdr:row>
      <xdr:rowOff>39160</xdr:rowOff>
    </xdr:from>
    <xdr:to>
      <xdr:col>2</xdr:col>
      <xdr:colOff>114301</xdr:colOff>
      <xdr:row>29</xdr:row>
      <xdr:rowOff>220134</xdr:rowOff>
    </xdr:to>
    <xdr:sp macro="" textlink="">
      <xdr:nvSpPr>
        <xdr:cNvPr id="10" name="Oval 9"/>
        <xdr:cNvSpPr/>
      </xdr:nvSpPr>
      <xdr:spPr>
        <a:xfrm>
          <a:off x="1944194" y="5013327"/>
          <a:ext cx="191524" cy="180974"/>
        </a:xfrm>
        <a:prstGeom prst="ellipse">
          <a:avLst/>
        </a:prstGeom>
        <a:solidFill>
          <a:srgbClr val="FFFF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379940</xdr:colOff>
      <xdr:row>29</xdr:row>
      <xdr:rowOff>61382</xdr:rowOff>
    </xdr:from>
    <xdr:to>
      <xdr:col>3</xdr:col>
      <xdr:colOff>554564</xdr:colOff>
      <xdr:row>29</xdr:row>
      <xdr:rowOff>237065</xdr:rowOff>
    </xdr:to>
    <xdr:sp macro="" textlink="">
      <xdr:nvSpPr>
        <xdr:cNvPr id="11" name="Isosceles Triangle 10"/>
        <xdr:cNvSpPr/>
      </xdr:nvSpPr>
      <xdr:spPr>
        <a:xfrm>
          <a:off x="3184523" y="5035549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164041</xdr:colOff>
      <xdr:row>28</xdr:row>
      <xdr:rowOff>110067</xdr:rowOff>
    </xdr:from>
    <xdr:to>
      <xdr:col>16</xdr:col>
      <xdr:colOff>349251</xdr:colOff>
      <xdr:row>37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560918</xdr:colOff>
      <xdr:row>28</xdr:row>
      <xdr:rowOff>105834</xdr:rowOff>
    </xdr:from>
    <xdr:to>
      <xdr:col>27</xdr:col>
      <xdr:colOff>132294</xdr:colOff>
      <xdr:row>37</xdr:row>
      <xdr:rowOff>16934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359834</xdr:colOff>
      <xdr:row>37</xdr:row>
      <xdr:rowOff>21168</xdr:rowOff>
    </xdr:from>
    <xdr:to>
      <xdr:col>21</xdr:col>
      <xdr:colOff>545043</xdr:colOff>
      <xdr:row>45</xdr:row>
      <xdr:rowOff>196851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179916</xdr:colOff>
      <xdr:row>45</xdr:row>
      <xdr:rowOff>222250</xdr:rowOff>
    </xdr:from>
    <xdr:to>
      <xdr:col>16</xdr:col>
      <xdr:colOff>365126</xdr:colOff>
      <xdr:row>54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560917</xdr:colOff>
      <xdr:row>45</xdr:row>
      <xdr:rowOff>201084</xdr:rowOff>
    </xdr:from>
    <xdr:to>
      <xdr:col>27</xdr:col>
      <xdr:colOff>132293</xdr:colOff>
      <xdr:row>54</xdr:row>
      <xdr:rowOff>112184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84664</xdr:colOff>
      <xdr:row>30</xdr:row>
      <xdr:rowOff>33865</xdr:rowOff>
    </xdr:from>
    <xdr:to>
      <xdr:col>0</xdr:col>
      <xdr:colOff>276188</xdr:colOff>
      <xdr:row>30</xdr:row>
      <xdr:rowOff>214839</xdr:rowOff>
    </xdr:to>
    <xdr:sp macro="" textlink="">
      <xdr:nvSpPr>
        <xdr:cNvPr id="10" name="Oval 9"/>
        <xdr:cNvSpPr/>
      </xdr:nvSpPr>
      <xdr:spPr>
        <a:xfrm>
          <a:off x="84664" y="4806948"/>
          <a:ext cx="191524" cy="180974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556645</xdr:colOff>
      <xdr:row>30</xdr:row>
      <xdr:rowOff>49738</xdr:rowOff>
    </xdr:from>
    <xdr:to>
      <xdr:col>1</xdr:col>
      <xdr:colOff>731269</xdr:colOff>
      <xdr:row>30</xdr:row>
      <xdr:rowOff>225421</xdr:rowOff>
    </xdr:to>
    <xdr:sp macro="" textlink="">
      <xdr:nvSpPr>
        <xdr:cNvPr id="11" name="Isosceles Triangle 10"/>
        <xdr:cNvSpPr/>
      </xdr:nvSpPr>
      <xdr:spPr>
        <a:xfrm>
          <a:off x="1667895" y="4822821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543984</xdr:colOff>
      <xdr:row>30</xdr:row>
      <xdr:rowOff>38099</xdr:rowOff>
    </xdr:from>
    <xdr:to>
      <xdr:col>3</xdr:col>
      <xdr:colOff>735508</xdr:colOff>
      <xdr:row>30</xdr:row>
      <xdr:rowOff>219073</xdr:rowOff>
    </xdr:to>
    <xdr:sp macro="" textlink="">
      <xdr:nvSpPr>
        <xdr:cNvPr id="12" name="Oval 11"/>
        <xdr:cNvSpPr/>
      </xdr:nvSpPr>
      <xdr:spPr>
        <a:xfrm>
          <a:off x="3348567" y="4811182"/>
          <a:ext cx="191524" cy="180974"/>
        </a:xfrm>
        <a:prstGeom prst="ellipse">
          <a:avLst/>
        </a:prstGeom>
        <a:solidFill>
          <a:srgbClr val="FF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781050</xdr:colOff>
      <xdr:row>30</xdr:row>
      <xdr:rowOff>31749</xdr:rowOff>
    </xdr:from>
    <xdr:to>
      <xdr:col>2</xdr:col>
      <xdr:colOff>62407</xdr:colOff>
      <xdr:row>30</xdr:row>
      <xdr:rowOff>212723</xdr:rowOff>
    </xdr:to>
    <xdr:sp macro="" textlink="">
      <xdr:nvSpPr>
        <xdr:cNvPr id="13" name="Oval 12"/>
        <xdr:cNvSpPr/>
      </xdr:nvSpPr>
      <xdr:spPr>
        <a:xfrm>
          <a:off x="1892300" y="4804832"/>
          <a:ext cx="191524" cy="180974"/>
        </a:xfrm>
        <a:prstGeom prst="ellipse">
          <a:avLst/>
        </a:prstGeom>
        <a:solidFill>
          <a:srgbClr val="FFFF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328046</xdr:colOff>
      <xdr:row>30</xdr:row>
      <xdr:rowOff>43388</xdr:rowOff>
    </xdr:from>
    <xdr:to>
      <xdr:col>3</xdr:col>
      <xdr:colOff>502670</xdr:colOff>
      <xdr:row>30</xdr:row>
      <xdr:rowOff>219071</xdr:rowOff>
    </xdr:to>
    <xdr:sp macro="" textlink="">
      <xdr:nvSpPr>
        <xdr:cNvPr id="14" name="Isosceles Triangle 13"/>
        <xdr:cNvSpPr/>
      </xdr:nvSpPr>
      <xdr:spPr>
        <a:xfrm>
          <a:off x="3132629" y="4816471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84664</xdr:colOff>
      <xdr:row>30</xdr:row>
      <xdr:rowOff>33865</xdr:rowOff>
    </xdr:from>
    <xdr:to>
      <xdr:col>0</xdr:col>
      <xdr:colOff>276188</xdr:colOff>
      <xdr:row>30</xdr:row>
      <xdr:rowOff>214839</xdr:rowOff>
    </xdr:to>
    <xdr:sp macro="" textlink="">
      <xdr:nvSpPr>
        <xdr:cNvPr id="2" name="Oval 1"/>
        <xdr:cNvSpPr/>
      </xdr:nvSpPr>
      <xdr:spPr>
        <a:xfrm>
          <a:off x="84664" y="4834465"/>
          <a:ext cx="191524" cy="180974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556645</xdr:colOff>
      <xdr:row>30</xdr:row>
      <xdr:rowOff>49738</xdr:rowOff>
    </xdr:from>
    <xdr:to>
      <xdr:col>1</xdr:col>
      <xdr:colOff>731269</xdr:colOff>
      <xdr:row>30</xdr:row>
      <xdr:rowOff>225421</xdr:rowOff>
    </xdr:to>
    <xdr:sp macro="" textlink="">
      <xdr:nvSpPr>
        <xdr:cNvPr id="3" name="Isosceles Triangle 2"/>
        <xdr:cNvSpPr/>
      </xdr:nvSpPr>
      <xdr:spPr>
        <a:xfrm>
          <a:off x="1671070" y="4850338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543984</xdr:colOff>
      <xdr:row>30</xdr:row>
      <xdr:rowOff>38099</xdr:rowOff>
    </xdr:from>
    <xdr:to>
      <xdr:col>3</xdr:col>
      <xdr:colOff>735508</xdr:colOff>
      <xdr:row>30</xdr:row>
      <xdr:rowOff>219073</xdr:rowOff>
    </xdr:to>
    <xdr:sp macro="" textlink="">
      <xdr:nvSpPr>
        <xdr:cNvPr id="4" name="Oval 3"/>
        <xdr:cNvSpPr/>
      </xdr:nvSpPr>
      <xdr:spPr>
        <a:xfrm>
          <a:off x="3344334" y="4838699"/>
          <a:ext cx="191524" cy="180974"/>
        </a:xfrm>
        <a:prstGeom prst="ellipse">
          <a:avLst/>
        </a:prstGeom>
        <a:solidFill>
          <a:srgbClr val="FF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781050</xdr:colOff>
      <xdr:row>30</xdr:row>
      <xdr:rowOff>31749</xdr:rowOff>
    </xdr:from>
    <xdr:to>
      <xdr:col>2</xdr:col>
      <xdr:colOff>62407</xdr:colOff>
      <xdr:row>30</xdr:row>
      <xdr:rowOff>212723</xdr:rowOff>
    </xdr:to>
    <xdr:sp macro="" textlink="">
      <xdr:nvSpPr>
        <xdr:cNvPr id="5" name="Oval 4"/>
        <xdr:cNvSpPr/>
      </xdr:nvSpPr>
      <xdr:spPr>
        <a:xfrm>
          <a:off x="1895475" y="4832349"/>
          <a:ext cx="186232" cy="180974"/>
        </a:xfrm>
        <a:prstGeom prst="ellipse">
          <a:avLst/>
        </a:prstGeom>
        <a:solidFill>
          <a:srgbClr val="FFFF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328046</xdr:colOff>
      <xdr:row>30</xdr:row>
      <xdr:rowOff>43388</xdr:rowOff>
    </xdr:from>
    <xdr:to>
      <xdr:col>3</xdr:col>
      <xdr:colOff>502670</xdr:colOff>
      <xdr:row>30</xdr:row>
      <xdr:rowOff>219071</xdr:rowOff>
    </xdr:to>
    <xdr:sp macro="" textlink="">
      <xdr:nvSpPr>
        <xdr:cNvPr id="6" name="Isosceles Triangle 5"/>
        <xdr:cNvSpPr/>
      </xdr:nvSpPr>
      <xdr:spPr>
        <a:xfrm>
          <a:off x="3128396" y="4843988"/>
          <a:ext cx="174624" cy="175683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11905</xdr:colOff>
      <xdr:row>1</xdr:row>
      <xdr:rowOff>7144</xdr:rowOff>
    </xdr:from>
    <xdr:to>
      <xdr:col>57</xdr:col>
      <xdr:colOff>230981</xdr:colOff>
      <xdr:row>21</xdr:row>
      <xdr:rowOff>164307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309562</xdr:colOff>
      <xdr:row>0</xdr:row>
      <xdr:rowOff>164306</xdr:rowOff>
    </xdr:from>
    <xdr:to>
      <xdr:col>68</xdr:col>
      <xdr:colOff>528638</xdr:colOff>
      <xdr:row>21</xdr:row>
      <xdr:rowOff>154781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11906</xdr:colOff>
      <xdr:row>22</xdr:row>
      <xdr:rowOff>80964</xdr:rowOff>
    </xdr:from>
    <xdr:to>
      <xdr:col>57</xdr:col>
      <xdr:colOff>230982</xdr:colOff>
      <xdr:row>43</xdr:row>
      <xdr:rowOff>71439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309564</xdr:colOff>
      <xdr:row>22</xdr:row>
      <xdr:rowOff>83344</xdr:rowOff>
    </xdr:from>
    <xdr:to>
      <xdr:col>68</xdr:col>
      <xdr:colOff>528640</xdr:colOff>
      <xdr:row>43</xdr:row>
      <xdr:rowOff>73819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47</xdr:row>
      <xdr:rowOff>0</xdr:rowOff>
    </xdr:from>
    <xdr:to>
      <xdr:col>57</xdr:col>
      <xdr:colOff>219076</xdr:colOff>
      <xdr:row>68</xdr:row>
      <xdr:rowOff>782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297657</xdr:colOff>
      <xdr:row>47</xdr:row>
      <xdr:rowOff>781</xdr:rowOff>
    </xdr:from>
    <xdr:to>
      <xdr:col>68</xdr:col>
      <xdr:colOff>516733</xdr:colOff>
      <xdr:row>67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</xdr:colOff>
      <xdr:row>68</xdr:row>
      <xdr:rowOff>73819</xdr:rowOff>
    </xdr:from>
    <xdr:to>
      <xdr:col>57</xdr:col>
      <xdr:colOff>219077</xdr:colOff>
      <xdr:row>89</xdr:row>
      <xdr:rowOff>64295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297659</xdr:colOff>
      <xdr:row>68</xdr:row>
      <xdr:rowOff>76199</xdr:rowOff>
    </xdr:from>
    <xdr:to>
      <xdr:col>68</xdr:col>
      <xdr:colOff>516735</xdr:colOff>
      <xdr:row>89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92</xdr:row>
      <xdr:rowOff>0</xdr:rowOff>
    </xdr:from>
    <xdr:to>
      <xdr:col>57</xdr:col>
      <xdr:colOff>219076</xdr:colOff>
      <xdr:row>113</xdr:row>
      <xdr:rowOff>781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297657</xdr:colOff>
      <xdr:row>92</xdr:row>
      <xdr:rowOff>781</xdr:rowOff>
    </xdr:from>
    <xdr:to>
      <xdr:col>68</xdr:col>
      <xdr:colOff>516733</xdr:colOff>
      <xdr:row>112</xdr:row>
      <xdr:rowOff>147637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1</xdr:colOff>
      <xdr:row>113</xdr:row>
      <xdr:rowOff>73818</xdr:rowOff>
    </xdr:from>
    <xdr:to>
      <xdr:col>57</xdr:col>
      <xdr:colOff>219077</xdr:colOff>
      <xdr:row>134</xdr:row>
      <xdr:rowOff>64295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297659</xdr:colOff>
      <xdr:row>113</xdr:row>
      <xdr:rowOff>76198</xdr:rowOff>
    </xdr:from>
    <xdr:to>
      <xdr:col>68</xdr:col>
      <xdr:colOff>516735</xdr:colOff>
      <xdr:row>134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11905</xdr:colOff>
      <xdr:row>1</xdr:row>
      <xdr:rowOff>7144</xdr:rowOff>
    </xdr:from>
    <xdr:to>
      <xdr:col>43</xdr:col>
      <xdr:colOff>230981</xdr:colOff>
      <xdr:row>21</xdr:row>
      <xdr:rowOff>164307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309562</xdr:colOff>
      <xdr:row>0</xdr:row>
      <xdr:rowOff>164306</xdr:rowOff>
    </xdr:from>
    <xdr:to>
      <xdr:col>54</xdr:col>
      <xdr:colOff>528638</xdr:colOff>
      <xdr:row>21</xdr:row>
      <xdr:rowOff>154781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11906</xdr:colOff>
      <xdr:row>22</xdr:row>
      <xdr:rowOff>80964</xdr:rowOff>
    </xdr:from>
    <xdr:to>
      <xdr:col>43</xdr:col>
      <xdr:colOff>230982</xdr:colOff>
      <xdr:row>43</xdr:row>
      <xdr:rowOff>71439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309564</xdr:colOff>
      <xdr:row>22</xdr:row>
      <xdr:rowOff>83344</xdr:rowOff>
    </xdr:from>
    <xdr:to>
      <xdr:col>54</xdr:col>
      <xdr:colOff>528640</xdr:colOff>
      <xdr:row>43</xdr:row>
      <xdr:rowOff>73819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43</xdr:col>
      <xdr:colOff>219076</xdr:colOff>
      <xdr:row>68</xdr:row>
      <xdr:rowOff>782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297657</xdr:colOff>
      <xdr:row>47</xdr:row>
      <xdr:rowOff>781</xdr:rowOff>
    </xdr:from>
    <xdr:to>
      <xdr:col>54</xdr:col>
      <xdr:colOff>516733</xdr:colOff>
      <xdr:row>67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</xdr:colOff>
      <xdr:row>68</xdr:row>
      <xdr:rowOff>73819</xdr:rowOff>
    </xdr:from>
    <xdr:to>
      <xdr:col>43</xdr:col>
      <xdr:colOff>219077</xdr:colOff>
      <xdr:row>89</xdr:row>
      <xdr:rowOff>64295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297659</xdr:colOff>
      <xdr:row>68</xdr:row>
      <xdr:rowOff>76199</xdr:rowOff>
    </xdr:from>
    <xdr:to>
      <xdr:col>54</xdr:col>
      <xdr:colOff>516735</xdr:colOff>
      <xdr:row>89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43</xdr:col>
      <xdr:colOff>219076</xdr:colOff>
      <xdr:row>113</xdr:row>
      <xdr:rowOff>781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297657</xdr:colOff>
      <xdr:row>92</xdr:row>
      <xdr:rowOff>781</xdr:rowOff>
    </xdr:from>
    <xdr:to>
      <xdr:col>54</xdr:col>
      <xdr:colOff>516733</xdr:colOff>
      <xdr:row>112</xdr:row>
      <xdr:rowOff>147637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</xdr:colOff>
      <xdr:row>113</xdr:row>
      <xdr:rowOff>73818</xdr:rowOff>
    </xdr:from>
    <xdr:to>
      <xdr:col>43</xdr:col>
      <xdr:colOff>219077</xdr:colOff>
      <xdr:row>134</xdr:row>
      <xdr:rowOff>64295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297659</xdr:colOff>
      <xdr:row>113</xdr:row>
      <xdr:rowOff>76198</xdr:rowOff>
    </xdr:from>
    <xdr:to>
      <xdr:col>54</xdr:col>
      <xdr:colOff>516735</xdr:colOff>
      <xdr:row>134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322791</xdr:colOff>
      <xdr:row>0</xdr:row>
      <xdr:rowOff>123825</xdr:rowOff>
    </xdr:from>
    <xdr:to>
      <xdr:col>21</xdr:col>
      <xdr:colOff>541867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15877</xdr:colOff>
      <xdr:row>7</xdr:row>
      <xdr:rowOff>94189</xdr:rowOff>
    </xdr:from>
    <xdr:to>
      <xdr:col>21</xdr:col>
      <xdr:colOff>248710</xdr:colOff>
      <xdr:row>8</xdr:row>
      <xdr:rowOff>148164</xdr:rowOff>
    </xdr:to>
    <xdr:sp macro="" textlink="">
      <xdr:nvSpPr>
        <xdr:cNvPr id="3" name="Oval 2"/>
        <xdr:cNvSpPr/>
      </xdr:nvSpPr>
      <xdr:spPr>
        <a:xfrm>
          <a:off x="13520210" y="1374772"/>
          <a:ext cx="232833" cy="2127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esh Gosavi" refreshedDate="42741.917048263887" createdVersion="4" refreshedVersion="4" minRefreshableVersion="3" recordCount="905">
  <cacheSource type="worksheet">
    <worksheetSource ref="A1:R1253" sheet="Plan Cancellation data"/>
  </cacheSource>
  <cacheFields count="19">
    <cacheField name="Month" numFmtId="0">
      <sharedItems containsBlank="1" count="19">
        <m/>
        <s v="Dec' 16"/>
        <s v="Nov' 16"/>
        <s v="Oct' 16"/>
        <s v="Sept' 16"/>
        <s v="Aug' 16"/>
        <s v="July' 16"/>
        <s v="Jun' 16"/>
        <s v="May' 16"/>
        <s v="Apr' 16"/>
        <s v="Mar' 16"/>
        <s v="Feb' 16"/>
        <s v="Jan' 16"/>
        <s v="Dec' 15"/>
        <s v="Nov' 15"/>
        <s v="Oct' 15"/>
        <s v="Sept' 15"/>
        <s v="Aug' 15"/>
        <s v="July' 15"/>
      </sharedItems>
    </cacheField>
    <cacheField name="Customer" numFmtId="0">
      <sharedItems containsBlank="1" count="17">
        <m/>
        <s v="Amway"/>
        <s v="J&amp;J"/>
        <s v="Nivea"/>
        <s v="CPD"/>
        <s v="Piramal"/>
        <s v="Oriflame"/>
        <s v="ITC"/>
        <s v="H&amp;H"/>
        <s v="D Mart"/>
        <s v="RBI"/>
        <s v="Glenmark"/>
        <s v="Pfizer"/>
        <s v="Marya Day"/>
        <s v="MHS Pharma"/>
        <s v="Reckitt"/>
        <s v="MSH Pharma" u="1"/>
      </sharedItems>
    </cacheField>
    <cacheField name="Code" numFmtId="0">
      <sharedItems containsBlank="1" containsMixedTypes="1" containsNumber="1" containsInteger="1" minValue="1600027" maxValue="1680061"/>
    </cacheField>
    <cacheField name="Name and SKU of Customer" numFmtId="0">
      <sharedItems containsBlank="1"/>
    </cacheField>
    <cacheField name="Plan Cancellation " numFmtId="0">
      <sharedItems containsString="0" containsBlank="1" containsNumber="1" minValue="3.0000000000000003E-4" maxValue="1509216"/>
    </cacheField>
    <cacheField name="RM" numFmtId="0">
      <sharedItems containsString="0" containsBlank="1" containsNumber="1" minValue="0" maxValue="1509216"/>
    </cacheField>
    <cacheField name="PM" numFmtId="0">
      <sharedItems containsString="0" containsBlank="1" containsNumber="1" minValue="0" maxValue="1509216"/>
    </cacheField>
    <cacheField name="Remarks" numFmtId="0">
      <sharedItems containsBlank="1" count="46">
        <m/>
        <s v="Plan cancelled for Nov'16"/>
        <s v="LL license &amp; artwork not available"/>
        <s v="Plan hold due to price negotiations"/>
        <s v="Plan Postponed in May'16."/>
        <s v="Plan Postponed till further Notice."/>
        <s v="Plan in May'16."/>
        <s v="3MT Plan in May'16."/>
        <s v="5MT Plan in May'16"/>
        <s v="Plans in April'16."/>
        <s v="25MT Plan in April'16."/>
        <s v="April Plan out of S&amp;OP."/>
        <s v="No Plan in April'16."/>
        <s v="No Plans in April'16."/>
        <s v="Plans in March"/>
        <s v="No Plans in March."/>
        <s v="Plans in March Out of S&amp;OP."/>
        <s v="No Plans in March.CFB, Banding Tape -  exclusive for JO 100Gm + Ultra Offer and RM and PM for Bactershield Ultra to be considered for Cancellation."/>
        <s v="Plans in March."/>
        <s v="Plan in Feb'16"/>
        <s v="No Plan in Feb'16"/>
        <s v="5MT Plan in Feb'16"/>
        <s v="12MT Plan in Feb'16."/>
        <s v="Plan in Jan'16."/>
        <s v="No Plan in Jan'16."/>
        <s v="Plan cancelled "/>
        <s v="Plans available in Dec'15"/>
        <s v="No Plans in Dec'15."/>
        <s v="Not able to produce"/>
        <s v="Plan in Nov'15."/>
        <s v="Pan in Nov'15. Plan being cancelled since last 2 Months."/>
        <s v="30MT plan in Nov'15."/>
        <s v="10MT Plan in Nov'15."/>
        <s v="No Plan in Nov'15."/>
        <s v="1MT plan in Oct. "/>
        <s v="Plans in Oct. "/>
        <s v="Plan in Oct.."/>
        <s v="Plan in Oct"/>
        <s v="No Plans in Oct. "/>
        <s v="Plans in Oct."/>
        <s v="No Plans in Oct"/>
        <s v="6MT plan in Oct"/>
        <s v="5400 Plan in Oct. Balance RM/PM to be considered as plan Cancellation."/>
        <s v="No Plans in Oct. Balance RM/PM to be considered as plan Cancellation."/>
        <s v="6400 Plan in Oct. Balance RM/PM to be considered as plan Cancellation."/>
        <s v="38000 Plan in Oct Balance RM/PM to be considered as plan Cancellation."/>
      </sharedItems>
    </cacheField>
    <cacheField name="Caustic Price" numFmtId="0">
      <sharedItems containsString="0" containsBlank="1" containsNumber="1" containsInteger="1" minValue="5250" maxValue="5250"/>
    </cacheField>
    <cacheField name="Noodles" numFmtId="0">
      <sharedItems containsString="0" containsBlank="1" containsNumber="1" minValue="-5250" maxValue="443289"/>
    </cacheField>
    <cacheField name="RM2" numFmtId="0">
      <sharedItems containsString="0" containsBlank="1" containsNumber="1" minValue="0" maxValue="109353.98439"/>
    </cacheField>
    <cacheField name="PM2" numFmtId="0">
      <sharedItems containsString="0" containsBlank="1" containsNumber="1" minValue="0" maxValue="353990.11790000001"/>
    </cacheField>
    <cacheField name="CoGS" numFmtId="0">
      <sharedItems containsString="0" containsBlank="1" containsNumber="1" minValue="9.1750707467964769" maxValue="540000"/>
    </cacheField>
    <cacheField name="Noodles Value" numFmtId="0">
      <sharedItems containsString="0" containsBlank="1" containsNumber="1" minValue="-0.73499999999999999" maxValue="159.58403999999996"/>
    </cacheField>
    <cacheField name="RM Value" numFmtId="0">
      <sharedItems containsString="0" containsBlank="1" containsNumber="1" minValue="0" maxValue="54.618120994490504"/>
    </cacheField>
    <cacheField name="PM Value" numFmtId="0">
      <sharedItems containsString="0" containsBlank="1" containsNumber="1" minValue="0" maxValue="73.616318549999988"/>
    </cacheField>
    <cacheField name="RM+PM Value" numFmtId="0">
      <sharedItems containsString="0" containsBlank="1" containsNumber="1" minValue="0" maxValue="101.16798430679998"/>
    </cacheField>
    <cacheField name="Reason" numFmtId="0">
      <sharedItems containsBlank="1" count="4">
        <m/>
        <s v="Cancel"/>
        <s v="Not produced" u="1"/>
        <s v="Plan cancelled" u="1"/>
      </sharedItems>
    </cacheField>
    <cacheField name="Average / Month" numFmtId="0" formula="AVERAGE(Month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5">
  <r>
    <x v="0"/>
    <x v="0"/>
    <m/>
    <m/>
    <m/>
    <m/>
    <m/>
    <x v="0"/>
    <m/>
    <m/>
    <m/>
    <m/>
    <m/>
    <m/>
    <m/>
    <m/>
    <m/>
    <x v="0"/>
  </r>
  <r>
    <x v="1"/>
    <x v="1"/>
    <n v="1680061"/>
    <s v="PERSONA SOAP 75GX3 NEW OFFER NV"/>
    <n v="54"/>
    <n v="54"/>
    <n v="54"/>
    <x v="0"/>
    <n v="5250"/>
    <n v="32380.89661308522"/>
    <n v="18299.332000000002"/>
    <n v="12385.288700000001"/>
    <n v="72530.344744424292"/>
    <n v="17.485684171066019"/>
    <n v="9.8816392799999999"/>
    <n v="6.6880558980000009"/>
    <n v="16.569695178"/>
    <x v="1"/>
  </r>
  <r>
    <x v="1"/>
    <x v="2"/>
    <n v="1601302"/>
    <s v="JOHNSON'S BABY SOAP 25GM(11+1) - DTV - B"/>
    <n v="94"/>
    <n v="94"/>
    <n v="94"/>
    <x v="0"/>
    <n v="5250"/>
    <n v="52974.0794035078"/>
    <n v="18406.298269999999"/>
    <n v="32243.659999999996"/>
    <n v="125883.46114435655"/>
    <n v="49.795634639297333"/>
    <n v="17.301920373799998"/>
    <n v="30.309040399999997"/>
    <n v="47.610960773799995"/>
    <x v="1"/>
  </r>
  <r>
    <x v="1"/>
    <x v="2"/>
    <n v="1601303"/>
    <s v="JOHNSON'S BABY SOAP 50GM - DTV - B"/>
    <n v="24.000000000000007"/>
    <n v="24.000000000000007"/>
    <n v="24.000000000000007"/>
    <x v="0"/>
    <n v="5250"/>
    <n v="52974.0794035078"/>
    <n v="18406.298269999999"/>
    <n v="17872.850900000001"/>
    <n v="145811.57567956997"/>
    <n v="12.713779056841876"/>
    <n v="4.4175115848000006"/>
    <n v="4.2894842160000017"/>
    <n v="8.7069958008000015"/>
    <x v="1"/>
  </r>
  <r>
    <x v="1"/>
    <x v="2"/>
    <n v="1601304"/>
    <s v="JOHNSON'S BABY SOAP 75GM - DTV - B"/>
    <n v="90"/>
    <n v="90"/>
    <n v="90"/>
    <x v="0"/>
    <n v="5250"/>
    <n v="52974.0794035078"/>
    <n v="18406.298269999999"/>
    <n v="16461.5635"/>
    <n v="126230.44660807593"/>
    <n v="47.676671463157021"/>
    <n v="16.565668443"/>
    <n v="14.81540715"/>
    <n v="31.381075592999998"/>
    <x v="1"/>
  </r>
  <r>
    <x v="1"/>
    <x v="2"/>
    <n v="1601362"/>
    <s v="JOHNSON'S BABY SOAP 75GM (CSD) - DTV - B"/>
    <n v="36"/>
    <n v="36"/>
    <n v="36"/>
    <x v="0"/>
    <n v="5250"/>
    <n v="52974.0794035078"/>
    <n v="18406.298269999999"/>
    <n v="16461.5635"/>
    <n v="126230.44660807593"/>
    <n v="19.070668585262808"/>
    <n v="6.6262673771999996"/>
    <n v="5.9261628599999998"/>
    <n v="12.552430237199999"/>
    <x v="1"/>
  </r>
  <r>
    <x v="1"/>
    <x v="2"/>
    <n v="1601377"/>
    <s v="JOHNSON'S BABY SOAP 100G 3+1 OFFER-DTV"/>
    <n v="24"/>
    <n v="24"/>
    <n v="24"/>
    <x v="0"/>
    <n v="5250"/>
    <n v="47048.061894801787"/>
    <n v="18493.15727"/>
    <n v="7753.3557999999994"/>
    <n v="97096.646281340771"/>
    <n v="11.291534854752429"/>
    <n v="4.4383577448000002"/>
    <n v="1.8608053920000001"/>
    <n v="6.2991631368000007"/>
    <x v="1"/>
  </r>
  <r>
    <x v="1"/>
    <x v="2"/>
    <n v="1601307"/>
    <s v="JOHNSON'S BABY SOAP 150GM - DTV - B"/>
    <n v="72"/>
    <n v="22.999999999999986"/>
    <n v="72"/>
    <x v="0"/>
    <n v="5250"/>
    <n v="52974.0794035078"/>
    <n v="18406.298269999999"/>
    <n v="11382.333299999998"/>
    <n v="115967"/>
    <n v="12.184038262806785"/>
    <n v="4.2334486020999975"/>
    <n v="8.1952799759999984"/>
    <n v="12.428728578099996"/>
    <x v="1"/>
  </r>
  <r>
    <x v="1"/>
    <x v="2"/>
    <n v="1601312"/>
    <s v="JOHNSON'S BABY BLOSSOM SOAP 75 GM – DTV"/>
    <n v="34"/>
    <n v="34"/>
    <n v="34"/>
    <x v="0"/>
    <n v="5250"/>
    <n v="52671.604082956779"/>
    <n v="33869.885374999998"/>
    <n v="16384.9391"/>
    <n v="141284.10193173139"/>
    <n v="17.908345388205305"/>
    <n v="11.515761027499998"/>
    <n v="5.570879294"/>
    <n v="17.086640321499999"/>
    <x v="1"/>
  </r>
  <r>
    <x v="1"/>
    <x v="2"/>
    <n v="1601259"/>
    <s v="JOHNSON'S TOP TO TOE BAR 75G B"/>
    <n v="35.999999999999993"/>
    <n v="35.999999999999993"/>
    <n v="35.999999999999993"/>
    <x v="0"/>
    <m/>
    <n v="443289"/>
    <n v="38323"/>
    <n v="28588"/>
    <n v="540000"/>
    <n v="159.58403999999996"/>
    <n v="13.796279999999998"/>
    <n v="10.291679999999998"/>
    <n v="24.087959999999995"/>
    <x v="1"/>
  </r>
  <r>
    <x v="1"/>
    <x v="3"/>
    <n v="1600751"/>
    <s v="NIVEA CREME SOFT SOAP 75GX2 CT NEW"/>
    <n v="5.4"/>
    <m/>
    <n v="5.4"/>
    <x v="0"/>
    <n v="5250"/>
    <n v="45575.008071466567"/>
    <n v="27130.814000000002"/>
    <n v="36356.500899999999"/>
    <n v="121069.96913792202"/>
    <n v="0"/>
    <n v="0"/>
    <n v="1.9632510486000001"/>
    <n v="1.9632510486000001"/>
    <x v="1"/>
  </r>
  <r>
    <x v="1"/>
    <x v="3"/>
    <n v="1600756"/>
    <s v="NIVEA CREME SOFT SOAP 125GX2CTNEW"/>
    <n v="3.25"/>
    <m/>
    <n v="3.25"/>
    <x v="0"/>
    <n v="5250"/>
    <n v="45575.008071466567"/>
    <n v="27130.814000000002"/>
    <n v="23844.879699999998"/>
    <n v="108918.89362559767"/>
    <n v="0"/>
    <n v="0"/>
    <n v="0.77495859025000002"/>
    <n v="0.77495859025000002"/>
    <x v="1"/>
  </r>
  <r>
    <x v="1"/>
    <x v="3"/>
    <n v="1600757"/>
    <s v="NIVEA CREME SOFT SOAP 125GX4CTNEW"/>
    <n v="5.5"/>
    <m/>
    <n v="5.5"/>
    <x v="0"/>
    <n v="5250"/>
    <n v="45575.008071466567"/>
    <n v="27130.814000000002"/>
    <n v="25211.188099999999"/>
    <n v="107597.21541428882"/>
    <n v="0"/>
    <n v="0"/>
    <n v="1.3866153454999999"/>
    <n v="1.3866153454999999"/>
    <x v="1"/>
  </r>
  <r>
    <x v="1"/>
    <x v="3"/>
    <n v="1601227"/>
    <s v="NIVEA CREME CARE SOAP 125GX2 CT"/>
    <n v="1.375"/>
    <m/>
    <n v="1.375"/>
    <x v="0"/>
    <n v="5250"/>
    <n v="45109.731118662014"/>
    <n v="28646.3033"/>
    <n v="27145.780299999999"/>
    <n v="101716.98694497749"/>
    <n v="0"/>
    <n v="0"/>
    <n v="0.37325447912499998"/>
    <n v="0.37325447912499998"/>
    <x v="1"/>
  </r>
  <r>
    <x v="1"/>
    <x v="4"/>
    <n v="1601007"/>
    <s v="JO NEEM&amp;TULSI MINI SOAP 30GM WP"/>
    <n v="15"/>
    <n v="15"/>
    <n v="15"/>
    <x v="0"/>
    <n v="5250"/>
    <n v="22419.988991859394"/>
    <n v="14315.707"/>
    <n v="8998.5203999999994"/>
    <n v="50214.286393819311"/>
    <n v="3.3629983487789095"/>
    <n v="2.14735605"/>
    <n v="1.3497780599999998"/>
    <n v="3.4971341099999997"/>
    <x v="1"/>
  </r>
  <r>
    <x v="1"/>
    <x v="4"/>
    <n v="1601299"/>
    <s v="JO NEEM&amp;TULSI SOAP 50GMX3WP+2 JO50G FREE"/>
    <n v="15"/>
    <n v="15"/>
    <n v="15"/>
    <x v="0"/>
    <n v="5250"/>
    <n v="39297.865413515625"/>
    <n v="12054.80384"/>
    <n v="6448.1352000000006"/>
    <n v="62657.527746231492"/>
    <n v="5.894679812027344"/>
    <n v="1.8082205760000001"/>
    <n v="0.96722028000000004"/>
    <n v="2.7754408560000003"/>
    <x v="1"/>
  </r>
  <r>
    <x v="1"/>
    <x v="4"/>
    <n v="1600939"/>
    <s v="JO NEEM&amp;TULSI SOAP 100GMX8 WP"/>
    <n v="2"/>
    <n v="2"/>
    <n v="2"/>
    <x v="0"/>
    <n v="5250"/>
    <n v="39654.505427713069"/>
    <n v="12791.45285"/>
    <n v="5937.9168"/>
    <n v="63278.800506305299"/>
    <n v="0.79309010855426143"/>
    <n v="0.25582905699999997"/>
    <n v="0.11875833600000001"/>
    <n v="0.37458739299999999"/>
    <x v="1"/>
  </r>
  <r>
    <x v="1"/>
    <x v="4"/>
    <n v="1601295"/>
    <s v="JO SANDAL SOAP 50GMX3WP+2 JO50GM FREE"/>
    <n v="10"/>
    <n v="10"/>
    <n v="10"/>
    <x v="0"/>
    <n v="5250"/>
    <n v="32307.195626852772"/>
    <n v="12122.710200000001"/>
    <n v="6270.3196000000007"/>
    <n v="55991.372481848834"/>
    <n v="3.2307195626852772"/>
    <n v="1.2122710200000002"/>
    <n v="0.62703196000000005"/>
    <n v="1.8393029800000003"/>
    <x v="1"/>
  </r>
  <r>
    <x v="1"/>
    <x v="4"/>
    <n v="1600792"/>
    <s v="JO PEACH&amp;CREAM SOAP 100GMX4 WP"/>
    <n v="10"/>
    <n v="10"/>
    <n v="10"/>
    <x v="0"/>
    <n v="5250"/>
    <n v="39654.505427713069"/>
    <n v="12791.45285"/>
    <n v="5937.9168"/>
    <n v="63278.800506305299"/>
    <n v="3.9654505427713072"/>
    <n v="1.279145285"/>
    <n v="0.59379167999999993"/>
    <n v="1.8729369650000001"/>
    <x v="1"/>
  </r>
  <r>
    <x v="1"/>
    <x v="4"/>
    <n v="1601297"/>
    <s v="JO COCONUT&amp;OLIVE SOAP 50GX3WP+2JO50G FRE"/>
    <n v="15"/>
    <m/>
    <n v="15"/>
    <x v="0"/>
    <n v="5250"/>
    <n v="39293.793172329992"/>
    <n v="13862.49231"/>
    <n v="13341.492"/>
    <n v="71354.064569614886"/>
    <n v="0"/>
    <n v="0"/>
    <n v="2.0012238"/>
    <n v="2.0012238"/>
    <x v="1"/>
  </r>
  <r>
    <x v="1"/>
    <x v="4"/>
    <n v="1600826"/>
    <s v="DOY CARE MILK CRÈAM SOAP 50 GM CT"/>
    <n v="12"/>
    <n v="12"/>
    <n v="12"/>
    <x v="0"/>
    <n v="5250"/>
    <n v="46556.493091635806"/>
    <n v="15965.345000000001"/>
    <n v="23145.275900000001"/>
    <n v="90679.37883495295"/>
    <n v="5.5867791709962962"/>
    <n v="1.9158414000000001"/>
    <n v="2.7774331079999999"/>
    <n v="4.693274508"/>
    <x v="1"/>
  </r>
  <r>
    <x v="1"/>
    <x v="4"/>
    <n v="1600830"/>
    <s v="DOY CARE MILK CRÈAM SOAP 125GMX4 CT MRP 120 /-"/>
    <n v="15"/>
    <n v="15"/>
    <n v="15"/>
    <x v="0"/>
    <n v="5250"/>
    <n v="34995.049078855947"/>
    <n v="15960.117000000002"/>
    <n v="23222.842499999999"/>
    <n v="80008.727649363704"/>
    <n v="5.2492573618283922"/>
    <n v="2.3940175500000005"/>
    <n v="3.4834263749999996"/>
    <n v="5.8774439249999997"/>
    <x v="1"/>
  </r>
  <r>
    <x v="1"/>
    <x v="4"/>
    <n v="1601204"/>
    <s v="DOY CARE MILK CRÈAM SOAP 125GMX4 WM-MCT(MRP-120) For Dmart"/>
    <n v="5"/>
    <n v="5"/>
    <n v="5"/>
    <x v="0"/>
    <n v="5250"/>
    <n v="34995.049078855947"/>
    <n v="15960.117000000002"/>
    <n v="23222.842499999999"/>
    <n v="80008.727649363704"/>
    <n v="1.7497524539427975"/>
    <n v="0.79800585000000002"/>
    <n v="1.161142125"/>
    <n v="1.959147975"/>
    <x v="1"/>
  </r>
  <r>
    <x v="1"/>
    <x v="4"/>
    <n v="1600827"/>
    <s v="DOY CARE MILK CRÈAM SOAP 75GMX4 CT"/>
    <n v="8"/>
    <n v="2.375"/>
    <n v="8"/>
    <x v="0"/>
    <n v="5250"/>
    <n v="34995.049078855947"/>
    <n v="15960.117000000002"/>
    <n v="15822.6684"/>
    <n v="72696.14689759491"/>
    <n v="0.83113241562282869"/>
    <n v="0.3790527787500001"/>
    <n v="1.2658134720000001"/>
    <n v="1.6448662507500003"/>
    <x v="1"/>
  </r>
  <r>
    <x v="1"/>
    <x v="4"/>
    <n v="1600478"/>
    <s v="DOY CARE ALOEVERA SOAP 50GM CT"/>
    <n v="4"/>
    <n v="4"/>
    <n v="4"/>
    <x v="0"/>
    <n v="5250"/>
    <n v="41412.947150439475"/>
    <n v="16766.112624000001"/>
    <n v="21860.431199999999"/>
    <n v="85717.884114185799"/>
    <n v="1.6565178860175791"/>
    <n v="0.67064450496000005"/>
    <n v="0.87441724799999998"/>
    <n v="1.5450617529600001"/>
    <x v="1"/>
  </r>
  <r>
    <x v="1"/>
    <x v="4"/>
    <n v="1601314"/>
    <s v="DOY CARE ALOEVERA SOAP 125Gx4 CT CO-FW50"/>
    <n v="25"/>
    <n v="25"/>
    <n v="25"/>
    <x v="0"/>
    <n v="5250"/>
    <n v="41412.947150439475"/>
    <n v="16766.112624000001"/>
    <n v="24971.833000000002"/>
    <n v="88829.285914185806"/>
    <n v="10.35323678760987"/>
    <n v="4.1915281560000004"/>
    <n v="6.2429582500000009"/>
    <n v="10.434486406000001"/>
    <x v="1"/>
  </r>
  <r>
    <x v="1"/>
    <x v="4"/>
    <n v="1600891"/>
    <s v="DOY PURE&amp;MILD TRANSPARENT SOAP 75GM CT"/>
    <n v="8"/>
    <n v="8"/>
    <n v="8"/>
    <x v="0"/>
    <m/>
    <n v="0"/>
    <n v="102865.09420000002"/>
    <n v="26175.903899999994"/>
    <n v="153976.31045082287"/>
    <n v="0"/>
    <n v="8.2292075360000023"/>
    <n v="2.0940723119999993"/>
    <n v="10.323279848000002"/>
    <x v="1"/>
  </r>
  <r>
    <x v="1"/>
    <x v="4"/>
    <n v="1600892"/>
    <s v="DOY PURE&amp;MILD TRANSPARENT SOAP 125GMX3MC"/>
    <n v="13"/>
    <n v="2"/>
    <n v="13"/>
    <x v="0"/>
    <m/>
    <n v="0"/>
    <n v="84697.840002199999"/>
    <n v="31353.311200000004"/>
    <n v="140986.46355302286"/>
    <n v="0"/>
    <n v="1.693956800044"/>
    <n v="4.0759304560000009"/>
    <n v="5.7698872560440009"/>
    <x v="1"/>
  </r>
  <r>
    <x v="1"/>
    <x v="4"/>
    <n v="1600894"/>
    <s v="DOY CLEAR&amp;NATURAL TRANP SOAP 75GM CT"/>
    <n v="2"/>
    <n v="2"/>
    <n v="2"/>
    <x v="0"/>
    <m/>
    <n v="0"/>
    <n v="87202.891999999993"/>
    <n v="25840.550599999999"/>
    <n v="137978.75495082285"/>
    <n v="0"/>
    <n v="1.7440578399999997"/>
    <n v="0.51681101200000001"/>
    <n v="2.2608688519999998"/>
    <x v="1"/>
  </r>
  <r>
    <x v="1"/>
    <x v="4"/>
    <n v="1600896"/>
    <s v="DOY CLEAR&amp;NATURAL TRANP SOAP 125GMX3MC"/>
    <n v="2.5"/>
    <n v="2.5"/>
    <n v="2.5"/>
    <x v="0"/>
    <m/>
    <n v="0"/>
    <n v="87202.891999999993"/>
    <n v="31098.911800000002"/>
    <n v="143237.11615082284"/>
    <n v="0"/>
    <n v="2.1800723"/>
    <n v="0.77747279499999999"/>
    <n v="2.957545095"/>
    <x v="1"/>
  </r>
  <r>
    <x v="1"/>
    <x v="4"/>
    <n v="1600893"/>
    <s v="DOY GENTEL&amp;MOISTURIZING TRANP SOAP 75GM"/>
    <n v="1"/>
    <n v="1"/>
    <n v="1"/>
    <x v="0"/>
    <m/>
    <n v="0"/>
    <n v="84816.485579999993"/>
    <n v="25840.550599999999"/>
    <n v="135592.34853082284"/>
    <n v="0"/>
    <n v="0.84816485579999989"/>
    <n v="0.25840550600000001"/>
    <n v="1.1065703617999998"/>
    <x v="1"/>
  </r>
  <r>
    <x v="1"/>
    <x v="4"/>
    <n v="1600895"/>
    <s v="DOY GENTEL&amp;MOISTURIZING TRAN SOAP125X3G"/>
    <n v="2"/>
    <n v="2"/>
    <n v="2"/>
    <x v="0"/>
    <m/>
    <n v="0"/>
    <n v="85945.477580000006"/>
    <n v="31081.248100000001"/>
    <n v="117114.31902823121"/>
    <n v="0"/>
    <n v="1.7189095516000001"/>
    <n v="0.62162496200000006"/>
    <n v="2.3405345136000002"/>
    <x v="1"/>
  </r>
  <r>
    <x v="1"/>
    <x v="2"/>
    <n v="1601207"/>
    <s v="JOHNSON BABY POWDER 100G BT CRANBY 1PC"/>
    <n v="30"/>
    <n v="30"/>
    <n v="30"/>
    <x v="0"/>
    <m/>
    <n v="0"/>
    <n v="19739.583599999998"/>
    <n v="52206.436999999998"/>
    <n v="89898.871319318423"/>
    <n v="0"/>
    <n v="5.9218750799999995"/>
    <n v="15.661931099999999"/>
    <n v="21.583806179999996"/>
    <x v="1"/>
  </r>
  <r>
    <x v="1"/>
    <x v="2"/>
    <n v="1601208"/>
    <s v="JOHNSON BABY POWDER 200G BT CRANBY-1PC"/>
    <n v="24"/>
    <n v="24"/>
    <n v="24"/>
    <x v="0"/>
    <m/>
    <n v="0"/>
    <n v="19739.583599999998"/>
    <n v="31850.345000000001"/>
    <n v="59583.290711292721"/>
    <n v="0"/>
    <n v="4.7375000639999998"/>
    <n v="7.6440828000000005"/>
    <n v="12.381582864"/>
    <x v="1"/>
  </r>
  <r>
    <x v="1"/>
    <x v="2"/>
    <n v="1601209"/>
    <s v="JOHNSON BABY POWDER 400G BT CRANBY- 1PC"/>
    <n v="38"/>
    <n v="15.22"/>
    <n v="38"/>
    <x v="0"/>
    <m/>
    <n v="0"/>
    <n v="19739.583599999998"/>
    <n v="25622.179"/>
    <n v="52037.701771055654"/>
    <n v="0"/>
    <n v="3.0043646239199995"/>
    <n v="9.73642802"/>
    <n v="12.740792643919999"/>
    <x v="1"/>
  </r>
  <r>
    <x v="1"/>
    <x v="4"/>
    <n v="1600560"/>
    <s v="BACTERSHIELD HW 215ML BOTTLE+1 REFILFREE KIT"/>
    <n v="1.9908999999999999"/>
    <n v="1.9908999999999999"/>
    <n v="1.9908999999999999"/>
    <x v="0"/>
    <m/>
    <n v="0"/>
    <n v="32376.742599999998"/>
    <n v="37485.000399999997"/>
    <n v="87925.698228974652"/>
    <n v="0"/>
    <n v="0.64458856842339995"/>
    <n v="0.74628887296359991"/>
    <n v="1.390877441387"/>
    <x v="1"/>
  </r>
  <r>
    <x v="1"/>
    <x v="4"/>
    <n v="1600561"/>
    <s v="BACTERSHIELD HW 185MLx2 REFILL+1 FREE KIT"/>
    <n v="1.78118"/>
    <n v="1.78118"/>
    <n v="1.78118"/>
    <x v="0"/>
    <m/>
    <n v="0"/>
    <n v="32376.742599999998"/>
    <n v="13425.9835"/>
    <n v="63534.924594972923"/>
    <n v="0"/>
    <n v="0.57668806384268001"/>
    <n v="0.2391409329053"/>
    <n v="0.81582899674798004"/>
    <x v="1"/>
  </r>
  <r>
    <x v="1"/>
    <x v="4"/>
    <n v="1601137"/>
    <s v="BACTERSHIELD HW 800ML POUCH"/>
    <n v="6.5839999999999996"/>
    <n v="6.5839999999999996"/>
    <n v="6.5839999999999996"/>
    <x v="0"/>
    <m/>
    <n v="0"/>
    <n v="31634.667800000003"/>
    <n v="11795.961500000001"/>
    <n v="60972.913685572341"/>
    <n v="0"/>
    <n v="2.0828265279520002"/>
    <n v="0.77664610515999999"/>
    <n v="2.8594726331120004"/>
    <x v="1"/>
  </r>
  <r>
    <x v="1"/>
    <x v="4"/>
    <n v="1600742"/>
    <s v="BACTERSHIELD HW 215ML+1BOTTLE 215ML FREE"/>
    <n v="0.28079000000000004"/>
    <n v="0.28079000000000004"/>
    <n v="0.28079000000000004"/>
    <x v="0"/>
    <m/>
    <n v="0"/>
    <n v="32376.742599999998"/>
    <n v="54464.549100000004"/>
    <n v="104901.96463840263"/>
    <n v="0"/>
    <n v="9.0910655546540001E-2"/>
    <n v="0.15293100741789004"/>
    <n v="0.24384166296443005"/>
    <x v="1"/>
  </r>
  <r>
    <x v="1"/>
    <x v="4"/>
    <n v="1601087"/>
    <s v="BACTERSHIELD Prf SURGI-AID  HANDRUB500ML"/>
    <n v="0.8"/>
    <n v="0.8"/>
    <n v="0.8"/>
    <x v="0"/>
    <m/>
    <m/>
    <n v="54747.253988492623"/>
    <n v="14404.766500000002"/>
    <n v="78262"/>
    <n v="0"/>
    <n v="0.43797803190794105"/>
    <n v="0.11523813200000002"/>
    <n v="0.55321616390794104"/>
    <x v="1"/>
  </r>
  <r>
    <x v="1"/>
    <x v="4"/>
    <n v="1600847"/>
    <s v="DOY CARE ALOEVERA FACEWASH 50ML 1 + 1 FREE"/>
    <n v="0.37810000000000005"/>
    <n v="0.37810000000000005"/>
    <n v="0.37810000000000005"/>
    <x v="0"/>
    <m/>
    <n v="0"/>
    <n v="90078.310339999996"/>
    <n v="353990.11790000001"/>
    <n v="461075.50433514506"/>
    <n v="0"/>
    <n v="0.34058609139554008"/>
    <n v="1.3384366357799002"/>
    <n v="1.6790227271754403"/>
    <x v="1"/>
  </r>
  <r>
    <x v="1"/>
    <x v="4"/>
    <n v="1600848"/>
    <s v="DOY CARE ALOEVERA FACEWASH 100ML 1 + 1 FREE"/>
    <n v="0.19400000000000001"/>
    <n v="0.19400000000000001"/>
    <n v="0.19400000000000001"/>
    <x v="0"/>
    <m/>
    <n v="0"/>
    <n v="90224.746039999998"/>
    <n v="101998.5831"/>
    <n v="209158.77492001266"/>
    <n v="0"/>
    <n v="0.17503600731760002"/>
    <n v="0.19787725121400002"/>
    <n v="0.37291325853160007"/>
    <x v="1"/>
  </r>
  <r>
    <x v="1"/>
    <x v="4"/>
    <n v="1601130"/>
    <s v="DCH Face wash 100 ml B1G1"/>
    <n v="0.3498"/>
    <n v="0.3498"/>
    <n v="0.3498"/>
    <x v="0"/>
    <m/>
    <n v="0"/>
    <n v="90224.746039999998"/>
    <n v="157544.27800000002"/>
    <n v="264729.82167131908"/>
    <n v="0"/>
    <n v="0.31560616164791999"/>
    <n v="0.55108988444400009"/>
    <n v="0.86669604609192008"/>
    <x v="1"/>
  </r>
  <r>
    <x v="2"/>
    <x v="2"/>
    <n v="1601302"/>
    <s v="JOHNSON'S BABY SOAP 25GM(11+1) - DTV - B"/>
    <n v="103"/>
    <n v="103"/>
    <n v="103"/>
    <x v="1"/>
    <n v="5250"/>
    <n v="58224.0794035078"/>
    <n v="13156.298269999999"/>
    <n v="32243.659999999996"/>
    <n v="125883.46114435655"/>
    <n v="59.970801785613041"/>
    <n v="13.5509872181"/>
    <n v="33.210969799999994"/>
    <n v="46.761957018099992"/>
    <x v="1"/>
  </r>
  <r>
    <x v="2"/>
    <x v="2"/>
    <n v="1601303"/>
    <s v="JOHNSON'S BABY SOAP 50GM - DTV - B"/>
    <n v="24"/>
    <n v="24"/>
    <n v="24"/>
    <x v="1"/>
    <n v="5250"/>
    <n v="52974.0794035078"/>
    <n v="18406.298269999999"/>
    <n v="17872.850900000001"/>
    <n v="145811.57567956997"/>
    <n v="12.71377905684187"/>
    <n v="4.4175115847999997"/>
    <n v="4.289484216"/>
    <n v="8.7069958007999997"/>
    <x v="1"/>
  </r>
  <r>
    <x v="2"/>
    <x v="2"/>
    <n v="1601304"/>
    <s v="JOHNSON'S BABY SOAP 75GM - DTV - B"/>
    <n v="27"/>
    <n v="27"/>
    <n v="27"/>
    <x v="1"/>
    <n v="5250"/>
    <n v="53626.216194615808"/>
    <n v="17271.055800000002"/>
    <n v="16337.905399999998"/>
    <n v="124756.40173436387"/>
    <n v="14.479078372546269"/>
    <n v="4.6631850660000005"/>
    <n v="4.4112344579999991"/>
    <n v="9.0744195239999996"/>
    <x v="1"/>
  </r>
  <r>
    <x v="2"/>
    <x v="2"/>
    <n v="1601387"/>
    <s v="Johnson's Baby Soap 75 gm offer- DTV - B"/>
    <n v="90"/>
    <n v="90"/>
    <n v="90"/>
    <x v="1"/>
    <n v="5250"/>
    <n v="53626.216194615808"/>
    <n v="17271.055800000002"/>
    <n v="16337.905399999998"/>
    <n v="124756.40173436387"/>
    <n v="48.263594575154229"/>
    <n v="15.543950220000001"/>
    <n v="14.704114859999997"/>
    <n v="30.248065079999996"/>
    <x v="1"/>
  </r>
  <r>
    <x v="2"/>
    <x v="2"/>
    <n v="1601306"/>
    <s v="JOHNSON'S BABY SOAP 100GM - DTV - B"/>
    <n v="24"/>
    <n v="24"/>
    <n v="24"/>
    <x v="1"/>
    <n v="5250"/>
    <n v="52974.0794035078"/>
    <n v="18406.298269999999"/>
    <n v="11382.333299999998"/>
    <n v="115967"/>
    <n v="12.71377905684187"/>
    <n v="4.4175115847999997"/>
    <n v="2.7317599919999997"/>
    <n v="7.1492715767999995"/>
    <x v="1"/>
  </r>
  <r>
    <x v="2"/>
    <x v="2"/>
    <n v="1601377"/>
    <s v="JOHNSON'S BABY SOAP 100G 3+1 OFFER-DTV"/>
    <n v="24"/>
    <n v="24"/>
    <n v="24"/>
    <x v="1"/>
    <n v="5250"/>
    <n v="52974.0794035078"/>
    <n v="18406.298269999999"/>
    <n v="11382.333299999998"/>
    <n v="115967"/>
    <n v="12.71377905684187"/>
    <n v="4.4175115847999997"/>
    <n v="2.7317599919999997"/>
    <n v="7.1492715767999995"/>
    <x v="1"/>
  </r>
  <r>
    <x v="2"/>
    <x v="2"/>
    <n v="1601307"/>
    <s v="JOHNSON'S BABY SOAP 150GM - DTV - B"/>
    <n v="14"/>
    <n v="14"/>
    <n v="14"/>
    <x v="1"/>
    <n v="5250"/>
    <n v="52974.0794035078"/>
    <n v="18406.298269999999"/>
    <n v="11382.333299999998"/>
    <n v="115967"/>
    <n v="7.4163711164910913"/>
    <n v="2.5768817577999998"/>
    <n v="1.5935266619999997"/>
    <n v="4.1704084197999993"/>
    <x v="1"/>
  </r>
  <r>
    <x v="2"/>
    <x v="2"/>
    <n v="1601312"/>
    <s v="JOHNSON'S BABY BLOSSOM SOAP 75 GM – DTV"/>
    <n v="36"/>
    <n v="36"/>
    <n v="36"/>
    <x v="1"/>
    <n v="5250"/>
    <n v="52671.604082956779"/>
    <n v="33869.885374999998"/>
    <n v="16384.9391"/>
    <n v="141284.10193173139"/>
    <n v="18.96177746986444"/>
    <n v="12.193158734999999"/>
    <n v="5.8985780759999997"/>
    <n v="18.091736810999997"/>
    <x v="1"/>
  </r>
  <r>
    <x v="2"/>
    <x v="5"/>
    <n v="1601346"/>
    <s v="TETMOSOL SOAP 100G  WP PACK OF 8"/>
    <n v="60"/>
    <n v="60"/>
    <n v="60"/>
    <x v="1"/>
    <n v="5250"/>
    <n v="52385.021231841689"/>
    <n v="26855.039000000001"/>
    <n v="23845.185099999999"/>
    <n v="113283.5768439324"/>
    <n v="31.431012739105014"/>
    <n v="16.113023399999999"/>
    <n v="14.307111059999999"/>
    <n v="30.42013446"/>
    <x v="1"/>
  </r>
  <r>
    <x v="2"/>
    <x v="6"/>
    <n v="1600241"/>
    <s v="ORIFLAME M&amp;H GOLDCREAMY EXP SOAP 100G CT"/>
    <n v="1"/>
    <n v="1"/>
    <n v="1"/>
    <x v="1"/>
    <n v="5250"/>
    <n v="45813.74767096719"/>
    <n v="34750.130000000005"/>
    <n v="20826.11"/>
    <n v="106330.39208642316"/>
    <n v="0.45813747670967192"/>
    <n v="0.34750130000000007"/>
    <n v="0.2082611"/>
    <n v="0.5557624000000001"/>
    <x v="1"/>
  </r>
  <r>
    <x v="2"/>
    <x v="3"/>
    <n v="1600752"/>
    <s v="NIVEA CREME SOFT SOAP 75GX4 CT NEW"/>
    <m/>
    <m/>
    <n v="2"/>
    <x v="1"/>
    <n v="5250"/>
    <n v="45575.008071466567"/>
    <n v="27130.814000000002"/>
    <n v="36356.500899999999"/>
    <n v="121069.96913792202"/>
    <n v="0"/>
    <n v="0"/>
    <n v="0.72713001799999999"/>
    <n v="0.72713001799999999"/>
    <x v="1"/>
  </r>
  <r>
    <x v="2"/>
    <x v="3"/>
    <n v="1600757"/>
    <s v="NIVEA CREME SOFT SOAP 125GX4CTNEW"/>
    <m/>
    <m/>
    <n v="7"/>
    <x v="1"/>
    <n v="5250"/>
    <n v="45575.008071466567"/>
    <n v="27130.814000000002"/>
    <n v="23844.879699999998"/>
    <n v="108918.89362559767"/>
    <n v="0"/>
    <n v="0"/>
    <n v="1.6691415789999999"/>
    <n v="1.6691415789999999"/>
    <x v="1"/>
  </r>
  <r>
    <x v="2"/>
    <x v="4"/>
    <n v="1601261"/>
    <s v="SOFTSENS 75GM SOAP"/>
    <n v="1"/>
    <n v="1"/>
    <n v="1"/>
    <x v="2"/>
    <n v="5250"/>
    <n v="34418.059127904606"/>
    <n v="34720.345000000001"/>
    <n v="18495.236299999997"/>
    <n v="98913.666629392799"/>
    <n v="0.34418059127904604"/>
    <n v="0.34720345000000002"/>
    <n v="0.18495236299999998"/>
    <n v="0.53215581300000003"/>
    <x v="1"/>
  </r>
  <r>
    <x v="2"/>
    <x v="4"/>
    <n v="1601262"/>
    <s v="SOFTSENS 100GMX3 SOAP"/>
    <n v="2"/>
    <n v="2"/>
    <n v="2"/>
    <x v="2"/>
    <n v="5250"/>
    <n v="34418.059127904606"/>
    <n v="34720.345000000001"/>
    <n v="18495.236299999997"/>
    <n v="98913.666629392799"/>
    <n v="0.68836118255809209"/>
    <n v="0.69440690000000005"/>
    <n v="0.36990472599999996"/>
    <n v="1.0643116260000001"/>
    <x v="1"/>
  </r>
  <r>
    <x v="2"/>
    <x v="4"/>
    <n v="1601005"/>
    <s v="JO LIME MINI SOAP 30GM WP"/>
    <n v="50"/>
    <n v="50"/>
    <n v="50"/>
    <x v="1"/>
    <n v="5250"/>
    <n v="22437.089572339501"/>
    <n v="13689.625"/>
    <n v="8732.3014000000003"/>
    <n v="49341.80060857506"/>
    <n v="11.218544786169749"/>
    <n v="6.8448124999999997"/>
    <n v="4.3661507000000004"/>
    <n v="11.2109632"/>
    <x v="1"/>
  </r>
  <r>
    <x v="2"/>
    <x v="4"/>
    <n v="1601293"/>
    <s v="JO LIME SOAP 50GMX3WP+2 JO50GM FREE"/>
    <n v="120"/>
    <n v="120"/>
    <n v="120"/>
    <x v="1"/>
    <n v="5250"/>
    <n v="31785.942383117996"/>
    <n v="12411.274099999999"/>
    <n v="6667.7085999999999"/>
    <n v="55996.259093941015"/>
    <n v="38.143130859741596"/>
    <n v="14.893528919999998"/>
    <n v="8.0012503200000005"/>
    <n v="22.894779239999998"/>
    <x v="1"/>
  </r>
  <r>
    <x v="2"/>
    <x v="4"/>
    <n v="1600859"/>
    <s v="JO LIME SOAP 55GM+10GM EXTRA x 4WP"/>
    <n v="90"/>
    <n v="90"/>
    <n v="90"/>
    <x v="1"/>
    <n v="5250"/>
    <n v="31785.942383117996"/>
    <n v="12411.274099999999"/>
    <n v="6667.7085999999999"/>
    <n v="55996.259093941015"/>
    <n v="28.607348144806195"/>
    <n v="11.170146689999999"/>
    <n v="6.0009377399999995"/>
    <n v="17.171084430000001"/>
    <x v="1"/>
  </r>
  <r>
    <x v="2"/>
    <x v="4"/>
    <s v="JO LIME SOAP 60GMX4 WP"/>
    <s v="JO LIME SOAP 60GMX4 WP"/>
    <n v="40"/>
    <n v="40"/>
    <n v="55"/>
    <x v="1"/>
    <n v="5250"/>
    <n v="31785.942383117996"/>
    <n v="12411.274099999999"/>
    <n v="6667.7085999999999"/>
    <n v="55996.259093941015"/>
    <n v="12.714376953247198"/>
    <n v="4.9645096399999993"/>
    <n v="3.6672397299999999"/>
    <n v="8.6317493699999996"/>
    <x v="1"/>
  </r>
  <r>
    <x v="2"/>
    <x v="4"/>
    <n v="1600029"/>
    <s v="JO LIME SOAP 65GM WP"/>
    <n v="27"/>
    <n v="27"/>
    <n v="27"/>
    <x v="1"/>
    <n v="5250"/>
    <n v="31785.942383117996"/>
    <n v="12411.274099999999"/>
    <n v="6667.7085999999999"/>
    <n v="55996.259093941015"/>
    <n v="8.5822044434418583"/>
    <n v="3.3510440069999996"/>
    <n v="1.800281322"/>
    <n v="5.1513253289999996"/>
    <x v="1"/>
  </r>
  <r>
    <x v="2"/>
    <x v="4"/>
    <n v="1600027"/>
    <s v="JO LIME SOAP 60GMX5 WP"/>
    <n v="3"/>
    <n v="3"/>
    <n v="3"/>
    <x v="1"/>
    <n v="5250"/>
    <n v="31785.942383117996"/>
    <n v="12411.274099999999"/>
    <n v="6667.7085999999999"/>
    <n v="55996.259093941015"/>
    <n v="0.9535782714935398"/>
    <n v="0.37233822300000002"/>
    <n v="0.20003125800000002"/>
    <n v="0.57236948100000007"/>
    <x v="1"/>
  </r>
  <r>
    <x v="2"/>
    <x v="4"/>
    <n v="1600034"/>
    <s v="JO LIME SOAP 100GMX4 WP"/>
    <n v="25"/>
    <n v="25"/>
    <n v="55"/>
    <x v="1"/>
    <n v="5250"/>
    <n v="31523.582193455099"/>
    <n v="12915.539779999999"/>
    <n v="6558.6481600000006"/>
    <n v="56092.754110292837"/>
    <n v="7.8808955483637746"/>
    <n v="3.2288849449999999"/>
    <n v="3.6072564880000004"/>
    <n v="6.8361414329999999"/>
    <x v="1"/>
  </r>
  <r>
    <x v="2"/>
    <x v="4"/>
    <n v="1600864"/>
    <s v="JO LIME SOAP 125GM x 4WP"/>
    <n v="100"/>
    <n v="100"/>
    <n v="100"/>
    <x v="1"/>
    <n v="5250"/>
    <n v="39297.865413515625"/>
    <n v="12054.80384"/>
    <n v="5378.9866999999995"/>
    <n v="61588.379246231489"/>
    <n v="39.297865413515623"/>
    <n v="12.05480384"/>
    <n v="5.3789866999999996"/>
    <n v="17.43379054"/>
    <x v="1"/>
  </r>
  <r>
    <x v="2"/>
    <x v="4"/>
    <n v="1600926"/>
    <s v="JO LIME SOAP 150GM X 4WP"/>
    <n v="15"/>
    <n v="15"/>
    <n v="15"/>
    <x v="1"/>
    <n v="5250"/>
    <n v="39297.865413515625"/>
    <n v="12054.80384"/>
    <n v="5378.9866999999995"/>
    <n v="61588.379246231489"/>
    <n v="5.894679812027344"/>
    <n v="1.8082205760000001"/>
    <n v="0.80684800499999998"/>
    <n v="2.6150685810000001"/>
    <x v="1"/>
  </r>
  <r>
    <x v="2"/>
    <x v="4"/>
    <n v="1601007"/>
    <s v="JO NEEM&amp;TULSI MINI SOAP 30GM WP"/>
    <n v="30"/>
    <n v="30"/>
    <n v="30"/>
    <x v="1"/>
    <n v="5250"/>
    <n v="22419.988991859394"/>
    <n v="14315.707"/>
    <n v="8998.5203999999994"/>
    <n v="50214.286393819311"/>
    <n v="6.7259966975578189"/>
    <n v="4.2947120999999999"/>
    <n v="2.6995561199999996"/>
    <n v="6.9942682199999995"/>
    <x v="1"/>
  </r>
  <r>
    <x v="2"/>
    <x v="4"/>
    <n v="1601299"/>
    <s v="JO NEEM&amp;TULSI SOAP 50GMX3WP+2 JO50G FREE"/>
    <n v="35"/>
    <n v="35"/>
    <n v="35"/>
    <x v="1"/>
    <n v="5250"/>
    <n v="39297.865413515625"/>
    <n v="12054.80384"/>
    <n v="6448.1352000000006"/>
    <n v="62657.527746231492"/>
    <n v="13.754252894730469"/>
    <n v="4.2191813440000008"/>
    <n v="2.2568473200000003"/>
    <n v="6.4760286640000011"/>
    <x v="1"/>
  </r>
  <r>
    <x v="2"/>
    <x v="4"/>
    <n v="1600940"/>
    <s v="JO NEEM&amp;TULSI SOAP 100GMX4 WP"/>
    <n v="8"/>
    <n v="8"/>
    <n v="8"/>
    <x v="1"/>
    <n v="5250"/>
    <n v="31781.414711934449"/>
    <n v="13602.805779999999"/>
    <n v="6459.5489200000002"/>
    <n v="56974.476113402314"/>
    <n v="2.5425131769547558"/>
    <n v="1.0882244623999999"/>
    <n v="0.51676391360000007"/>
    <n v="1.6049883760000001"/>
    <x v="1"/>
  </r>
  <r>
    <x v="2"/>
    <x v="4"/>
    <n v="1601006"/>
    <s v="JO ALMOND MINI SOAP 30GM WP"/>
    <n v="40"/>
    <n v="40"/>
    <n v="40"/>
    <x v="1"/>
    <n v="5250"/>
    <n v="20807.809667416521"/>
    <n v="17750.979500000001"/>
    <n v="8979.4310000000005"/>
    <n v="51762.364514822577"/>
    <n v="8.3231238669666094"/>
    <n v="7.1003918000000006"/>
    <n v="3.5917724"/>
    <n v="10.692164200000001"/>
    <x v="1"/>
  </r>
  <r>
    <x v="2"/>
    <x v="4"/>
    <n v="1601294"/>
    <s v="JO ALMND&amp;CR SOAP 50GMX3WP+2 JO50GM FREE"/>
    <n v="120"/>
    <n v="120"/>
    <n v="120"/>
    <x v="1"/>
    <n v="5250"/>
    <n v="36881.996064350446"/>
    <n v="16282.34167"/>
    <n v="6214.5732000000007"/>
    <n v="63977"/>
    <n v="44.258395277220529"/>
    <n v="19.538810004000002"/>
    <n v="7.4574878400000006"/>
    <n v="26.996297844000004"/>
    <x v="1"/>
  </r>
  <r>
    <x v="2"/>
    <x v="4"/>
    <n v="1600856"/>
    <s v="JO ALMND&amp;CR SOAP 55GM+10GM EXTRA x 4WP"/>
    <n v="30"/>
    <n v="30"/>
    <n v="30"/>
    <x v="1"/>
    <n v="5250"/>
    <n v="36881.996064350446"/>
    <n v="16282.34167"/>
    <n v="6630.2286000000004"/>
    <n v="64308"/>
    <n v="11.064598819305132"/>
    <n v="4.8847025010000005"/>
    <n v="1.9890685800000001"/>
    <n v="6.873771081000001"/>
    <x v="1"/>
  </r>
  <r>
    <x v="2"/>
    <x v="4"/>
    <s v="JO ALMOND&amp;CREAM SOAP 60GMX4 WP"/>
    <s v="JO ALMOND&amp;CREAM SOAP 60GMX4 WP"/>
    <n v="30"/>
    <n v="30"/>
    <n v="30"/>
    <x v="1"/>
    <n v="5250"/>
    <n v="29777.4511301639"/>
    <n v="16271.024580000001"/>
    <n v="6869.4404000000004"/>
    <n v="57858.566778696491"/>
    <n v="8.933235339049169"/>
    <n v="4.8813073740000004"/>
    <n v="2.0608321200000002"/>
    <n v="6.942139494000001"/>
    <x v="1"/>
  </r>
  <r>
    <x v="2"/>
    <x v="4"/>
    <n v="1600040"/>
    <s v="JO ALMOND&amp;CREAM SOAP 65GM WP"/>
    <n v="12"/>
    <n v="12"/>
    <n v="12"/>
    <x v="1"/>
    <n v="5250"/>
    <n v="29777.4511301639"/>
    <n v="16271.024580000001"/>
    <n v="6344.9737999999998"/>
    <n v="57246.506830465281"/>
    <n v="3.5732941356196681"/>
    <n v="1.9525229496000003"/>
    <n v="0.76139685599999996"/>
    <n v="2.7139198056000002"/>
    <x v="1"/>
  </r>
  <r>
    <x v="2"/>
    <x v="4"/>
    <n v="1600039"/>
    <s v="JO ALMOND&amp;CREAM SOAP 60GMX5 WP"/>
    <n v="35"/>
    <n v="35"/>
    <n v="35"/>
    <x v="1"/>
    <n v="5250"/>
    <n v="29777.4511301639"/>
    <n v="16271.024580000001"/>
    <n v="6869.4404000000004"/>
    <n v="57858.566778696491"/>
    <n v="10.422107895557364"/>
    <n v="5.694858603000001"/>
    <n v="2.4043041400000003"/>
    <n v="8.0991627430000008"/>
    <x v="1"/>
  </r>
  <r>
    <x v="2"/>
    <x v="4"/>
    <n v="1600046"/>
    <s v="JO ALMOND&amp;CREAM SOAP 100GMX4 WP"/>
    <n v="35"/>
    <n v="35"/>
    <n v="35"/>
    <x v="1"/>
    <n v="5250"/>
    <n v="36881.996064350446"/>
    <n v="16282.34167"/>
    <n v="5576.9079000000002"/>
    <n v="63339"/>
    <n v="12.908698622522657"/>
    <n v="5.6988195845000007"/>
    <n v="1.9519177650000001"/>
    <n v="7.6507373495000008"/>
    <x v="1"/>
  </r>
  <r>
    <x v="2"/>
    <x v="4"/>
    <n v="1600866"/>
    <s v="JO ALMND&amp;CR SOAP 125GM x 4WP"/>
    <n v="70"/>
    <n v="70"/>
    <n v="70"/>
    <x v="1"/>
    <n v="5250"/>
    <n v="36881.996064350446"/>
    <n v="16282.34167"/>
    <n v="5576.9079000000002"/>
    <n v="63339"/>
    <n v="25.817397245045314"/>
    <n v="11.397639169000001"/>
    <n v="3.9038355300000003"/>
    <n v="15.301474699000002"/>
    <x v="1"/>
  </r>
  <r>
    <x v="2"/>
    <x v="4"/>
    <n v="1600927"/>
    <s v="JO ALMND&amp;CR SOAP 150GM X 4WP"/>
    <n v="23"/>
    <n v="23"/>
    <n v="23"/>
    <x v="1"/>
    <n v="5250"/>
    <n v="29777.4511301639"/>
    <n v="16271.024580000001"/>
    <n v="5478.5725000000002"/>
    <n v="56467.698878696494"/>
    <n v="6.8488137599376975"/>
    <n v="3.7423356534000005"/>
    <n v="1.2600716750000001"/>
    <n v="5.0024073284000004"/>
    <x v="1"/>
  </r>
  <r>
    <x v="2"/>
    <x v="4"/>
    <n v="1601295"/>
    <s v="JO SANDAL SOAP 50GMX3WP+2 JO50GM FREE"/>
    <n v="50"/>
    <n v="50"/>
    <n v="50"/>
    <x v="1"/>
    <n v="5250"/>
    <n v="32307.195626852772"/>
    <n v="12122.710200000001"/>
    <n v="6454.2724500000004"/>
    <n v="56087.731983617625"/>
    <n v="16.153597813426387"/>
    <n v="6.0613551000000001"/>
    <n v="3.2271362250000002"/>
    <n v="9.2884913250000007"/>
    <x v="1"/>
  </r>
  <r>
    <x v="2"/>
    <x v="4"/>
    <n v="1600061"/>
    <s v="JO SANDAL SOAP 60GMX4 WP"/>
    <n v="35"/>
    <n v="35"/>
    <n v="35"/>
    <x v="1"/>
    <n v="5250"/>
    <n v="39297.865413515625"/>
    <n v="12147.700860000001"/>
    <n v="5664.6175135211533"/>
    <n v="56570.39103361762"/>
    <n v="13.754252894730469"/>
    <n v="4.2516953010000007"/>
    <n v="1.9826161297324039"/>
    <n v="6.2343114307324043"/>
    <x v="1"/>
  </r>
  <r>
    <x v="2"/>
    <x v="4"/>
    <n v="1601108"/>
    <s v="JO SANDAL SOAP 125GMX4 WP"/>
    <n v="50"/>
    <n v="50"/>
    <n v="50"/>
    <x v="1"/>
    <n v="5250"/>
    <n v="34732.416089698076"/>
    <n v="13267.922499999999"/>
    <n v="6376.6502"/>
    <n v="57532.267232852457"/>
    <n v="17.366208044849039"/>
    <n v="6.6339612499999987"/>
    <n v="3.1883251000000001"/>
    <n v="9.8222863499999988"/>
    <x v="1"/>
  </r>
  <r>
    <x v="2"/>
    <x v="4"/>
    <n v="1601296"/>
    <s v="JO PEACH&amp;CR SOAP 50GMX3WP+2 JO50GM FREE"/>
    <n v="85"/>
    <n v="85"/>
    <n v="85"/>
    <x v="1"/>
    <n v="5250"/>
    <n v="40265.979426467042"/>
    <n v="17838.146270000001"/>
    <n v="6602.482399999999"/>
    <n v="69667.03266103768"/>
    <n v="34.226082512496987"/>
    <n v="15.1624243295"/>
    <n v="5.6121100399999992"/>
    <n v="20.7745343695"/>
    <x v="1"/>
  </r>
  <r>
    <x v="2"/>
    <x v="4"/>
    <n v="1601297"/>
    <s v="JO COCONUT&amp;OLIVE SOAP 50GX3WP+2JO50G FRE"/>
    <n v="21"/>
    <n v="21"/>
    <n v="66"/>
    <x v="1"/>
    <n v="5250"/>
    <n v="39293.793172329992"/>
    <n v="13862.49231"/>
    <n v="13341.492"/>
    <n v="71354.064569614886"/>
    <n v="8.2516965661892989"/>
    <n v="2.9111233850999998"/>
    <n v="8.8053847200000011"/>
    <n v="11.716508105100001"/>
    <x v="1"/>
  </r>
  <r>
    <x v="2"/>
    <x v="4"/>
    <n v="1601363"/>
    <s v="JO COCONUT&amp;OLIVE SOAP 100GM X 4WP"/>
    <n v="10"/>
    <n v="10"/>
    <n v="10"/>
    <x v="1"/>
    <n v="5250"/>
    <n v="73288"/>
    <n v="19932"/>
    <n v="19633"/>
    <n v="115853"/>
    <n v="7.3288000000000002"/>
    <n v="1.9932000000000001"/>
    <n v="1.9633"/>
    <n v="3.9565000000000001"/>
    <x v="1"/>
  </r>
  <r>
    <x v="2"/>
    <x v="4"/>
    <n v="1600826"/>
    <s v="DOY CARE MILK CRÈAM SOAP 50 GM CT"/>
    <n v="12"/>
    <n v="12"/>
    <n v="12"/>
    <x v="1"/>
    <n v="5250"/>
    <n v="34426.343055057558"/>
    <n v="16748.419000000002"/>
    <n v="21074.663800000002"/>
    <n v="77997.750565653434"/>
    <n v="4.1311611666069066"/>
    <n v="2.0098102800000004"/>
    <n v="2.5289596560000001"/>
    <n v="4.5387699360000004"/>
    <x v="1"/>
  </r>
  <r>
    <x v="2"/>
    <x v="4"/>
    <n v="1600478"/>
    <s v="DOY CARE ALOEVERA SOAP 50GM CT"/>
    <n v="5"/>
    <n v="5"/>
    <n v="5"/>
    <x v="1"/>
    <n v="5250"/>
    <n v="41412.947150439475"/>
    <n v="16766.112624000001"/>
    <n v="21860.431199999999"/>
    <n v="85717.884114185799"/>
    <n v="2.0706473575219739"/>
    <n v="0.83830563120000001"/>
    <n v="1.0930215599999999"/>
    <n v="1.9313271911999998"/>
    <x v="1"/>
  </r>
  <r>
    <x v="2"/>
    <x v="4"/>
    <n v="1600085"/>
    <s v="DOY CARE ALOEVERA SOAP 75GMX4 CT"/>
    <n v="8"/>
    <n v="8"/>
    <n v="8"/>
    <x v="1"/>
    <n v="5250"/>
    <n v="30819.739686306275"/>
    <n v="16791.4512"/>
    <n v="20465.898700000002"/>
    <n v="73983.147417002576"/>
    <n v="2.465579174904502"/>
    <n v="1.3433160959999999"/>
    <n v="1.6372718960000001"/>
    <n v="2.9805879920000002"/>
    <x v="1"/>
  </r>
  <r>
    <x v="2"/>
    <x v="4"/>
    <n v="1600891"/>
    <s v="DOY PURE&amp;MILD TRANSPARENT SOAP 75GM CT"/>
    <n v="8"/>
    <n v="8"/>
    <n v="8"/>
    <x v="1"/>
    <m/>
    <n v="0"/>
    <n v="102865.09420000002"/>
    <n v="26175.903899999994"/>
    <n v="153976.31045082287"/>
    <n v="0"/>
    <n v="8.2292075360000023"/>
    <n v="2.0940723119999993"/>
    <n v="10.323279848000002"/>
    <x v="1"/>
  </r>
  <r>
    <x v="2"/>
    <x v="4"/>
    <n v="1600894"/>
    <s v="DOY CLEAR&amp;NATURAL TRANP SOAP 75GM CT"/>
    <n v="2"/>
    <n v="2"/>
    <n v="2"/>
    <x v="1"/>
    <m/>
    <n v="0"/>
    <n v="87202.891999999993"/>
    <n v="25840.550599999999"/>
    <n v="137978.75495082285"/>
    <n v="0"/>
    <n v="1.7440578399999997"/>
    <n v="0.51681101200000001"/>
    <n v="2.2608688519999998"/>
    <x v="1"/>
  </r>
  <r>
    <x v="2"/>
    <x v="4"/>
    <s v="DOY CARE PURE CRÈME ALOE FRESH 65GM WP"/>
    <s v="DOY CARE PURE CRÈME ALOE FRESH 65GM WP"/>
    <n v="12"/>
    <n v="12"/>
    <n v="12"/>
    <x v="1"/>
    <n v="5250"/>
    <n v="38622.265881874599"/>
    <n v="17083.826999999997"/>
    <n v="7771.7455999999993"/>
    <n v="68262"/>
    <n v="4.6346719058249519"/>
    <n v="2.0500592399999995"/>
    <n v="0.93260947199999999"/>
    <n v="2.9826687119999997"/>
    <x v="1"/>
  </r>
  <r>
    <x v="2"/>
    <x v="2"/>
    <n v="1601207"/>
    <s v="JOHNSON BABY POWDER 100G BT CRANBY 1PC"/>
    <m/>
    <m/>
    <m/>
    <x v="1"/>
    <m/>
    <n v="0"/>
    <n v="19739.583599999998"/>
    <n v="52206.436999999998"/>
    <n v="89898.871319318423"/>
    <n v="0"/>
    <n v="0"/>
    <n v="0"/>
    <n v="0"/>
    <x v="1"/>
  </r>
  <r>
    <x v="2"/>
    <x v="2"/>
    <n v="1601208"/>
    <s v="JOHNSON BABY POWDER 200G BT CRANBY-1PC"/>
    <n v="20.56"/>
    <n v="20.56"/>
    <n v="20.56"/>
    <x v="1"/>
    <m/>
    <n v="0"/>
    <n v="19739.583599999998"/>
    <n v="31850.345000000001"/>
    <n v="59583.290711292721"/>
    <n v="0"/>
    <n v="4.0584583881599992"/>
    <n v="6.5484309319999996"/>
    <n v="10.606889320159999"/>
    <x v="1"/>
  </r>
  <r>
    <x v="2"/>
    <x v="2"/>
    <n v="1601209"/>
    <s v="JOHNSON BABY POWDER 400G BT CRANBY- 1PC"/>
    <m/>
    <m/>
    <n v="48"/>
    <x v="1"/>
    <m/>
    <n v="0"/>
    <n v="19739.583599999998"/>
    <n v="25622.179"/>
    <n v="52037.701771055654"/>
    <n v="0"/>
    <n v="0"/>
    <n v="12.29864592"/>
    <n v="12.29864592"/>
    <x v="1"/>
  </r>
  <r>
    <x v="2"/>
    <x v="2"/>
    <n v="1600994"/>
    <s v="JOHNSON BABY POWDER 700G BT CRANBY"/>
    <n v="26"/>
    <n v="26"/>
    <n v="26"/>
    <x v="1"/>
    <m/>
    <n v="0"/>
    <n v="19739.583599999998"/>
    <n v="27333.391599999995"/>
    <n v="52229.768191002309"/>
    <n v="0"/>
    <n v="5.132291736"/>
    <n v="7.1066818159999992"/>
    <n v="12.238973551999999"/>
    <x v="1"/>
  </r>
  <r>
    <x v="2"/>
    <x v="7"/>
    <s v="ITC 85:15"/>
    <s v="ITC 85:15"/>
    <n v="200"/>
    <n v="200"/>
    <m/>
    <x v="3"/>
    <n v="5250"/>
    <n v="46900"/>
    <n v="5250"/>
    <n v="0"/>
    <n v="60908.45190863288"/>
    <n v="93.8"/>
    <n v="10.5"/>
    <n v="0"/>
    <n v="10.5"/>
    <x v="1"/>
  </r>
  <r>
    <x v="2"/>
    <x v="4"/>
    <n v="1600560"/>
    <s v="BACTERSHIELD HW 215ML BOTTLE+1 REFILFREE KIT"/>
    <n v="0.99544999999999995"/>
    <n v="0.99544999999999995"/>
    <n v="0.99544999999999995"/>
    <x v="1"/>
    <m/>
    <n v="0"/>
    <n v="32376.742599999998"/>
    <n v="37485.000399999997"/>
    <n v="87925.698228974652"/>
    <n v="0"/>
    <n v="0.32229428421169998"/>
    <n v="0.37314443648179996"/>
    <n v="0.69543872069349999"/>
    <x v="1"/>
  </r>
  <r>
    <x v="2"/>
    <x v="4"/>
    <n v="1601137"/>
    <s v="BACTERSHIELD HW 800ML POUCH"/>
    <n v="4.6616"/>
    <n v="4.6616"/>
    <n v="4.6616"/>
    <x v="1"/>
    <m/>
    <n v="0"/>
    <n v="31634.667800000003"/>
    <n v="11795.961500000001"/>
    <n v="60972.913685572341"/>
    <n v="0"/>
    <n v="1.4746816741648001"/>
    <n v="0.5498805412840001"/>
    <n v="2.0245622154488001"/>
    <x v="1"/>
  </r>
  <r>
    <x v="2"/>
    <x v="4"/>
    <n v="1600742"/>
    <s v="BACTERSHIELD HW 215ML+1BOTTLE 215ML FREE"/>
    <n v="0.92579"/>
    <n v="0.92579"/>
    <n v="0.92579"/>
    <x v="1"/>
    <m/>
    <n v="0"/>
    <n v="32376.742599999998"/>
    <n v="54464.549100000004"/>
    <n v="104901.96463840263"/>
    <n v="0"/>
    <n v="0.29974064531653999"/>
    <n v="0.50422734911289002"/>
    <n v="0.80396799442943001"/>
    <x v="1"/>
  </r>
  <r>
    <x v="2"/>
    <x v="4"/>
    <n v="1601081"/>
    <s v="Bactershield Hand Sanitizer 50 ml"/>
    <n v="0.5"/>
    <m/>
    <n v="0.5"/>
    <x v="1"/>
    <m/>
    <n v="0"/>
    <n v="72935.599760000012"/>
    <n v="157544.27800000002"/>
    <n v="244040"/>
    <n v="0"/>
    <n v="0"/>
    <n v="0.78772139000000008"/>
    <n v="0.78772139000000008"/>
    <x v="1"/>
  </r>
  <r>
    <x v="2"/>
    <x v="4"/>
    <n v="1601087"/>
    <s v="BACTERSHIELD Prf SURGI-AID  HANDRUB500ML"/>
    <n v="0.8"/>
    <m/>
    <n v="0.8"/>
    <x v="1"/>
    <m/>
    <n v="0"/>
    <n v="54747.253988492623"/>
    <n v="14404.766500000002"/>
    <n v="78262"/>
    <n v="0"/>
    <n v="0"/>
    <n v="0.11523813200000002"/>
    <n v="0.11523813200000002"/>
    <x v="1"/>
  </r>
  <r>
    <x v="2"/>
    <x v="4"/>
    <n v="1600847"/>
    <s v="DOY CARE ALOEVERA FACEWASH 50ML 1 + 1 FREE"/>
    <n v="0.27679999999999999"/>
    <n v="0.27679999999999999"/>
    <n v="0.27679999999999999"/>
    <x v="1"/>
    <m/>
    <n v="0"/>
    <n v="90078.310339999996"/>
    <n v="353990.11790000001"/>
    <n v="461075.50433514506"/>
    <n v="0"/>
    <n v="0.24933676302111998"/>
    <n v="0.97984464634720003"/>
    <n v="1.22918140936832"/>
    <x v="1"/>
  </r>
  <r>
    <x v="2"/>
    <x v="4"/>
    <n v="1601144"/>
    <s v="DCN Face wash 100 ml B1G1"/>
    <n v="0.81599999999999995"/>
    <n v="0.81599999999999995"/>
    <n v="0.81599999999999995"/>
    <x v="1"/>
    <m/>
    <n v="0"/>
    <n v="90224.746039999998"/>
    <n v="157544.27800000002"/>
    <n v="264729.82167131908"/>
    <n v="0"/>
    <n v="0.73623392768639995"/>
    <n v="1.2855613084800002"/>
    <n v="2.0217952361664002"/>
    <x v="1"/>
  </r>
  <r>
    <x v="3"/>
    <x v="2"/>
    <s v="JOHNSON'S BABY SOAP 75GM ( OFFER ) - DTV - B "/>
    <s v="JOHNSON'S BABY SOAP 75GM ( OFFER ) - DTV - B "/>
    <n v="31"/>
    <n v="31"/>
    <m/>
    <x v="0"/>
    <n v="5250"/>
    <n v="52974.0794035078"/>
    <n v="18406.298269999999"/>
    <n v="16461.5635"/>
    <n v="126230.44660807593"/>
    <n v="16.421964615087418"/>
    <n v="5.7059524636999992"/>
    <n v="0"/>
    <n v="5.7059524636999992"/>
    <x v="1"/>
  </r>
  <r>
    <x v="3"/>
    <x v="2"/>
    <n v="1601259"/>
    <s v="JOHNSON'S TOP TO TOE BAR 75G B"/>
    <n v="9"/>
    <n v="9"/>
    <n v="9"/>
    <x v="0"/>
    <n v="5250"/>
    <n v="438039"/>
    <n v="43573"/>
    <n v="28588"/>
    <n v="540000"/>
    <n v="39.42351"/>
    <n v="3.92157"/>
    <n v="2.5729199999999999"/>
    <n v="6.4944899999999999"/>
    <x v="1"/>
  </r>
  <r>
    <x v="3"/>
    <x v="3"/>
    <n v="1600751"/>
    <s v="NIVEA CREME SOFT SOAP 75GX2 CT NEW"/>
    <n v="32.39"/>
    <n v="32.39"/>
    <n v="33.75"/>
    <x v="0"/>
    <n v="5250"/>
    <n v="45575.008071466567"/>
    <n v="27130.814000000002"/>
    <n v="36356.500899999999"/>
    <n v="121069.96913792202"/>
    <n v="14.76174511434802"/>
    <n v="8.7876706546000012"/>
    <n v="12.270319053749999"/>
    <n v="21.05798970835"/>
    <x v="1"/>
  </r>
  <r>
    <x v="3"/>
    <x v="3"/>
    <n v="1600752"/>
    <s v="NIVEA CREME SOFT SOAP 75GX4 CT NEW"/>
    <m/>
    <m/>
    <n v="0.9"/>
    <x v="0"/>
    <n v="5250"/>
    <n v="45575.008071466567"/>
    <n v="27130.814000000002"/>
    <n v="36356.500899999999"/>
    <n v="121069.96913792202"/>
    <n v="0"/>
    <n v="0"/>
    <n v="0.32720850810000002"/>
    <n v="0.32720850810000002"/>
    <x v="1"/>
  </r>
  <r>
    <x v="3"/>
    <x v="3"/>
    <n v="1600756"/>
    <s v="NIVEA CREME SOFT SOAP 125GX2CTNEW"/>
    <m/>
    <m/>
    <n v="2.625"/>
    <x v="0"/>
    <n v="5250"/>
    <n v="45575.008071466567"/>
    <n v="27130.814000000002"/>
    <n v="23844.879699999998"/>
    <n v="108918.89362559767"/>
    <n v="0"/>
    <n v="0"/>
    <n v="0.625928092125"/>
    <n v="0.625928092125"/>
    <x v="1"/>
  </r>
  <r>
    <x v="3"/>
    <x v="3"/>
    <n v="1601227"/>
    <s v="NIVEA CREME CARE SOAP 125GX2 CT"/>
    <n v="0.5"/>
    <n v="0.5"/>
    <n v="0.5"/>
    <x v="0"/>
    <n v="5250"/>
    <n v="45109.731118662014"/>
    <n v="28646.3033"/>
    <n v="27145.780299999999"/>
    <n v="101716.98694497749"/>
    <n v="0.22554865559331005"/>
    <n v="0.14323151649999999"/>
    <n v="0.1357289015"/>
    <n v="0.27896041799999999"/>
    <x v="1"/>
  </r>
  <r>
    <x v="3"/>
    <x v="3"/>
    <n v="1600967"/>
    <s v="NIVEA CRÈME CARE SOAP 75G CT"/>
    <n v="0.9375"/>
    <n v="0.9375"/>
    <n v="0.9375"/>
    <x v="0"/>
    <n v="5250"/>
    <n v="45516.649502699751"/>
    <n v="27530.618999999999"/>
    <n v="50293.1"/>
    <n v="147585.39880555274"/>
    <n v="0.42671858908781019"/>
    <n v="0.25809955312499999"/>
    <n v="0.4714978125"/>
    <n v="0.72959736562499999"/>
    <x v="1"/>
  </r>
  <r>
    <x v="3"/>
    <x v="5"/>
    <n v="1600230"/>
    <s v="NEKO BOUQUET SOAP 75G CT"/>
    <n v="15"/>
    <n v="15"/>
    <n v="15"/>
    <x v="0"/>
    <n v="5250"/>
    <n v="52385.021231841689"/>
    <n v="26855.039000000001"/>
    <n v="23845.185099999999"/>
    <n v="112976.41363568649"/>
    <n v="7.8577531847762536"/>
    <n v="4.0282558499999999"/>
    <n v="3.5767777649999997"/>
    <n v="7.605033615"/>
    <x v="1"/>
  </r>
  <r>
    <x v="3"/>
    <x v="4"/>
    <n v="1601005"/>
    <s v="JO LIME MINI SOAP 30GM WP"/>
    <n v="70"/>
    <n v="70"/>
    <n v="70"/>
    <x v="0"/>
    <n v="5250"/>
    <n v="22437.089572339501"/>
    <n v="13689.625"/>
    <n v="8732.3014000000003"/>
    <n v="49341.80060857506"/>
    <n v="15.705962700637651"/>
    <n v="9.5827375000000004"/>
    <n v="6.1126109800000004"/>
    <n v="15.69534848"/>
    <x v="1"/>
  </r>
  <r>
    <x v="3"/>
    <x v="4"/>
    <n v="1601293"/>
    <s v="JO LIME SOAP 50GMX3WP+2 JO50GM FREE"/>
    <n v="65"/>
    <n v="65"/>
    <n v="65"/>
    <x v="0"/>
    <n v="5250"/>
    <n v="32307.195626852772"/>
    <n v="12122.710200000001"/>
    <n v="6270.3196000000007"/>
    <n v="55991.372481848834"/>
    <n v="20.9996771574543"/>
    <n v="7.8797616300000008"/>
    <n v="4.0757077400000004"/>
    <n v="11.955469370000001"/>
    <x v="1"/>
  </r>
  <r>
    <x v="3"/>
    <x v="4"/>
    <n v="1600029"/>
    <s v="JO LIME SOAP 65GM WP"/>
    <n v="12"/>
    <n v="12"/>
    <n v="22"/>
    <x v="0"/>
    <n v="5250"/>
    <n v="31785.942383117996"/>
    <n v="12411.274099999999"/>
    <n v="6271.8517999999995"/>
    <n v="55600.402293941013"/>
    <n v="3.8143130859741592"/>
    <n v="1.4893528920000001"/>
    <n v="1.3798073959999999"/>
    <n v="2.8691602879999998"/>
    <x v="1"/>
  </r>
  <r>
    <x v="3"/>
    <x v="4"/>
    <n v="1600027"/>
    <s v="JO LIME SOAP 60GMX5 WP"/>
    <n v="20"/>
    <m/>
    <n v="20"/>
    <x v="0"/>
    <n v="5250"/>
    <n v="31785.942383117996"/>
    <n v="12411.274099999999"/>
    <n v="6868.1924000000008"/>
    <n v="56284.336242172227"/>
    <n v="0"/>
    <n v="0"/>
    <n v="1.3736384800000003"/>
    <n v="1.3736384800000003"/>
    <x v="1"/>
  </r>
  <r>
    <x v="3"/>
    <x v="4"/>
    <n v="1601284"/>
    <s v="JO LIME SOAP 100GM X 4WP + JO Coco 60Gm Free"/>
    <n v="110"/>
    <m/>
    <n v="110"/>
    <x v="0"/>
    <n v="5250"/>
    <n v="31785.942383117996"/>
    <n v="12435.8541"/>
    <n v="8997.4567999999999"/>
    <n v="58350.587293941011"/>
    <n v="0"/>
    <n v="0"/>
    <n v="9.8972024800000007"/>
    <n v="9.8972024800000007"/>
    <x v="1"/>
  </r>
  <r>
    <x v="3"/>
    <x v="4"/>
    <n v="1601007"/>
    <s v="JO NEEM&amp;TULSI MINI SOAP 30GM WP"/>
    <n v="32"/>
    <n v="32"/>
    <n v="32"/>
    <x v="0"/>
    <n v="5250"/>
    <n v="22419.988991859394"/>
    <n v="14315.707"/>
    <n v="8998.5203999999994"/>
    <n v="50214.286393819311"/>
    <n v="7.174396477395006"/>
    <n v="4.5810262399999999"/>
    <n v="2.879526528"/>
    <n v="7.4605527679999994"/>
    <x v="1"/>
  </r>
  <r>
    <x v="3"/>
    <x v="4"/>
    <n v="1601299"/>
    <s v="JO NEEM&amp;TULSI SOAP 50GMX3WP+2 JO50G FREE"/>
    <n v="40"/>
    <n v="40"/>
    <n v="40"/>
    <x v="0"/>
    <n v="5250"/>
    <n v="39297.865413515625"/>
    <n v="12054.80384"/>
    <n v="6448.1352000000006"/>
    <n v="62657.527746231492"/>
    <n v="15.719146165406251"/>
    <n v="4.8219215360000005"/>
    <n v="2.5792540800000001"/>
    <n v="7.4011756160000006"/>
    <x v="1"/>
  </r>
  <r>
    <x v="3"/>
    <x v="4"/>
    <n v="1601006"/>
    <s v="JO ALMOND MINI SOAP 30GM WP"/>
    <n v="30"/>
    <n v="30"/>
    <n v="30"/>
    <x v="0"/>
    <n v="5250"/>
    <n v="20807.809667416521"/>
    <n v="17750.979500000001"/>
    <n v="8979.4310000000005"/>
    <n v="51762.364514822577"/>
    <n v="6.2423429002249566"/>
    <n v="5.3252938500000004"/>
    <n v="2.6938293"/>
    <n v="8.0191231500000004"/>
    <x v="1"/>
  </r>
  <r>
    <x v="3"/>
    <x v="4"/>
    <n v="1600856"/>
    <s v="JO ALMND&amp;CR SOAP 55GM+10GM EXTRA x 4WP"/>
    <n v="35"/>
    <n v="35"/>
    <n v="35"/>
    <x v="0"/>
    <n v="5250"/>
    <n v="36881.996064350446"/>
    <n v="16282.34167"/>
    <n v="6630.2286000000004"/>
    <n v="64308"/>
    <n v="12.908698622522657"/>
    <n v="5.6988195845000007"/>
    <n v="2.32058001"/>
    <n v="8.0193995945000012"/>
    <x v="1"/>
  </r>
  <r>
    <x v="3"/>
    <x v="4"/>
    <n v="1600040"/>
    <s v="JO ALMOND&amp;CREAM SOAP 65GM WP"/>
    <n v="15"/>
    <m/>
    <n v="15"/>
    <x v="0"/>
    <n v="5250"/>
    <n v="29777.4511301639"/>
    <n v="16271.024580000001"/>
    <n v="6344.9737999999998"/>
    <n v="57246.506830465281"/>
    <n v="0"/>
    <n v="0"/>
    <n v="0.95174606999999989"/>
    <n v="0.95174606999999989"/>
    <x v="1"/>
  </r>
  <r>
    <x v="3"/>
    <x v="4"/>
    <n v="1601285"/>
    <s v="JO ALMOND &amp; C SOAP 100GM X 4WP + JO Coco 60Gm Free"/>
    <n v="45"/>
    <n v="40"/>
    <n v="45"/>
    <x v="0"/>
    <n v="5250"/>
    <n v="29777.4511301639"/>
    <n v="16271.024580000001"/>
    <n v="5778.6370999999999"/>
    <n v="56767.763478696492"/>
    <n v="11.91098045206556"/>
    <n v="6.5084098319999999"/>
    <n v="2.6003866950000001"/>
    <n v="9.1087965269999991"/>
    <x v="1"/>
  </r>
  <r>
    <x v="3"/>
    <x v="4"/>
    <n v="1601295"/>
    <s v="JO SANDAL SOAP 50GMX3WP+2 JO50GM FREE"/>
    <n v="50"/>
    <n v="50"/>
    <n v="50"/>
    <x v="0"/>
    <n v="5250"/>
    <n v="32307.195626852772"/>
    <n v="12122.710200000001"/>
    <n v="6270.3196000000007"/>
    <n v="55991.372481848834"/>
    <n v="16.153597813426387"/>
    <n v="6.0613551000000001"/>
    <n v="3.1351598000000003"/>
    <n v="9.1965149000000004"/>
    <x v="1"/>
  </r>
  <r>
    <x v="3"/>
    <x v="4"/>
    <n v="1601286"/>
    <s v="JO Sandal 100GM X 4WP + JO Coco 60Gm Free"/>
    <n v="55"/>
    <n v="55"/>
    <n v="55"/>
    <x v="0"/>
    <n v="5250"/>
    <n v="29777.4511301639"/>
    <n v="16271.024580000001"/>
    <n v="5778.6370999999999"/>
    <n v="56767.763478696492"/>
    <n v="16.377598121590143"/>
    <n v="8.949063519000001"/>
    <n v="3.178250405"/>
    <n v="12.127313924000001"/>
    <x v="1"/>
  </r>
  <r>
    <x v="3"/>
    <x v="4"/>
    <n v="1601108"/>
    <s v="JO SANDAL SOAP 125GMX4 WP"/>
    <n v="40"/>
    <m/>
    <n v="40"/>
    <x v="0"/>
    <n v="5250"/>
    <n v="73288"/>
    <n v="19932"/>
    <n v="19633"/>
    <n v="115853"/>
    <n v="0"/>
    <n v="0"/>
    <n v="7.8532000000000002"/>
    <n v="7.8532000000000002"/>
    <x v="1"/>
  </r>
  <r>
    <x v="3"/>
    <x v="4"/>
    <n v="1601297"/>
    <s v="JO COCONUT&amp;OLIVE SOAP 50GX3WP+2JO50G FRE"/>
    <n v="65"/>
    <n v="65"/>
    <n v="65"/>
    <x v="0"/>
    <n v="5250"/>
    <n v="32307.195626852772"/>
    <n v="12122.710200000001"/>
    <n v="6270.3196000000007"/>
    <n v="55991.372481848834"/>
    <n v="20.9996771574543"/>
    <n v="7.8797616300000008"/>
    <n v="4.0757077400000004"/>
    <n v="11.955469370000001"/>
    <x v="1"/>
  </r>
  <r>
    <x v="3"/>
    <x v="4"/>
    <n v="1601290"/>
    <s v="JO COCONUT&amp;OLIVE SOAP 100GM X 4WP + JO Coco 60Gm Free"/>
    <n v="65"/>
    <n v="25"/>
    <n v="65"/>
    <x v="0"/>
    <n v="5250"/>
    <n v="29777.4511301639"/>
    <n v="16271.024580000001"/>
    <n v="5778.6370999999999"/>
    <n v="56767.763478696492"/>
    <n v="7.4443627825409742"/>
    <n v="4.0677561450000006"/>
    <n v="3.7561141149999999"/>
    <n v="7.8238702600000005"/>
    <x v="1"/>
  </r>
  <r>
    <x v="3"/>
    <x v="4"/>
    <n v="1601076"/>
    <s v="JO COCONUT&amp;OLIVE SOAP 125GM X 4WP"/>
    <n v="10"/>
    <m/>
    <n v="10"/>
    <x v="0"/>
    <n v="5250"/>
    <n v="39293.793172329992"/>
    <n v="13734.63481"/>
    <n v="5324.6417999999994"/>
    <n v="63209.35686961488"/>
    <n v="0"/>
    <n v="0"/>
    <n v="0.53246417999999995"/>
    <n v="0.53246417999999995"/>
    <x v="1"/>
  </r>
  <r>
    <x v="3"/>
    <x v="4"/>
    <n v="1601298"/>
    <s v="JO ROSE&amp;CREAM SOAP 50GX3WP+2JO50G FRE"/>
    <n v="10"/>
    <m/>
    <n v="10"/>
    <x v="0"/>
    <n v="5250"/>
    <n v="32307.195626852772"/>
    <n v="12122.710200000001"/>
    <n v="6270.3196000000007"/>
    <n v="55991.372481848834"/>
    <n v="0"/>
    <n v="0"/>
    <n v="0.62703196000000005"/>
    <n v="0.62703196000000005"/>
    <x v="1"/>
  </r>
  <r>
    <x v="3"/>
    <x v="4"/>
    <n v="1601288"/>
    <s v="JO Rose &amp; Cream 100GM X 4WP + JO Coco 60Gm Free"/>
    <n v="25"/>
    <m/>
    <n v="25"/>
    <x v="0"/>
    <n v="5250"/>
    <n v="29777.4511301639"/>
    <n v="16271.024580000001"/>
    <n v="5778.6370999999999"/>
    <n v="56767.763478696492"/>
    <n v="0"/>
    <n v="0"/>
    <n v="1.4446592749999998"/>
    <n v="1.4446592749999998"/>
    <x v="1"/>
  </r>
  <r>
    <x v="3"/>
    <x v="4"/>
    <n v="1600477"/>
    <s v="BACTERSHIELD ANTI-BACT SOAP 60X4 WP"/>
    <n v="10"/>
    <m/>
    <n v="10"/>
    <x v="0"/>
    <n v="5250"/>
    <n v="26362.118623871324"/>
    <n v="19308.309000000001"/>
    <n v="6597.1159012904609"/>
    <n v="56647.40613999249"/>
    <n v="0"/>
    <n v="0"/>
    <n v="0.65971159012904612"/>
    <n v="0.65971159012904612"/>
    <x v="1"/>
  </r>
  <r>
    <x v="3"/>
    <x v="4"/>
    <n v="1601105"/>
    <s v="BACTERSHIELD ULTRA NATURALS SOAP 60 WP"/>
    <n v="6"/>
    <n v="6"/>
    <n v="6"/>
    <x v="0"/>
    <n v="5250"/>
    <n v="41443.715181040527"/>
    <n v="13317.523119999998"/>
    <n v="5943.1820000000007"/>
    <n v="66301.602957004972"/>
    <n v="2.4866229108624318"/>
    <n v="0.79905138719999991"/>
    <n v="0.35659092000000003"/>
    <n v="1.1556423071999999"/>
    <x v="1"/>
  </r>
  <r>
    <x v="3"/>
    <x v="4"/>
    <n v="1601103"/>
    <s v="BACTERSHIELD ULTRA FRESH SOAP 60 WP"/>
    <n v="12"/>
    <n v="12"/>
    <n v="12"/>
    <x v="0"/>
    <n v="5250"/>
    <n v="41443.715181040527"/>
    <n v="13317.523119999998"/>
    <n v="5943.1820000000007"/>
    <n v="66301.602957004972"/>
    <n v="4.9732458217248636"/>
    <n v="1.5981027743999998"/>
    <n v="0.71318184000000007"/>
    <n v="2.3112846143999999"/>
    <x v="1"/>
  </r>
  <r>
    <x v="3"/>
    <x v="4"/>
    <n v="1601102"/>
    <s v="BACTERSHIELD ULTRA BALANCE SOAP 60 WP"/>
    <n v="5"/>
    <n v="5"/>
    <n v="5"/>
    <x v="0"/>
    <n v="5250"/>
    <n v="41443.715181040527"/>
    <n v="13317.523119999998"/>
    <n v="5943.1820000000007"/>
    <n v="66301.602957004972"/>
    <n v="2.0721857590520263"/>
    <n v="0.66587615599999994"/>
    <n v="0.29715910000000001"/>
    <n v="0.96303525599999995"/>
    <x v="1"/>
  </r>
  <r>
    <x v="3"/>
    <x v="4"/>
    <n v="1601059"/>
    <s v="BACTERSHIELD ULTRA NATURALS SOAP125GX4WP"/>
    <n v="4"/>
    <n v="4"/>
    <n v="4"/>
    <x v="0"/>
    <n v="5250"/>
    <n v="41426.241978476966"/>
    <n v="16461.5982"/>
    <n v="5956.1020000000008"/>
    <n v="69439.030319024212"/>
    <n v="1.6570496791390787"/>
    <n v="0.65846392799999998"/>
    <n v="0.23824408000000002"/>
    <n v="0.89670800800000006"/>
    <x v="1"/>
  </r>
  <r>
    <x v="3"/>
    <x v="4"/>
    <n v="1601057"/>
    <s v="BACTERSHIELD ULTRA BALANCE SOAP 125GX4WP"/>
    <n v="6"/>
    <n v="6"/>
    <n v="6"/>
    <x v="0"/>
    <n v="5250"/>
    <n v="41426.241978476966"/>
    <n v="16461.5982"/>
    <n v="5956.1020000000008"/>
    <n v="69439.030319024212"/>
    <n v="2.485574518708618"/>
    <n v="0.98769589200000008"/>
    <n v="0.35736612000000006"/>
    <n v="1.3450620120000001"/>
    <x v="1"/>
  </r>
  <r>
    <x v="3"/>
    <x v="4"/>
    <n v="1600895"/>
    <s v="DOY GENTEL&amp;MOISTURIZING TRAN SOAP125X3G"/>
    <n v="3"/>
    <n v="3"/>
    <n v="3"/>
    <x v="0"/>
    <n v="5250"/>
    <m/>
    <n v="85945.477580000006"/>
    <n v="31081.248100000001"/>
    <n v="117114.31902823121"/>
    <n v="0"/>
    <n v="2.5783643274000001"/>
    <n v="0.93243744300000009"/>
    <n v="3.5108017704000001"/>
    <x v="1"/>
  </r>
  <r>
    <x v="3"/>
    <x v="2"/>
    <n v="1601207"/>
    <s v="JOHNSON BABY POWDER 100G BT CRANBY 1PC"/>
    <n v="12"/>
    <m/>
    <n v="12"/>
    <x v="0"/>
    <n v="5250"/>
    <m/>
    <n v="19739.583599999998"/>
    <n v="52206.436999999998"/>
    <n v="89898.871319318423"/>
    <n v="0"/>
    <n v="0"/>
    <n v="6.2647724399999998"/>
    <n v="6.2647724399999998"/>
    <x v="1"/>
  </r>
  <r>
    <x v="3"/>
    <x v="2"/>
    <n v="1601209"/>
    <s v="JOHNSON BABY POWDER 400G BT CRANBY- 1PC"/>
    <n v="24"/>
    <m/>
    <n v="24"/>
    <x v="0"/>
    <n v="5250"/>
    <m/>
    <n v="19739.583599999998"/>
    <n v="25622.179"/>
    <n v="52037.701771055654"/>
    <n v="0"/>
    <n v="0"/>
    <n v="6.1493229600000001"/>
    <n v="6.1493229600000001"/>
    <x v="1"/>
  </r>
  <r>
    <x v="3"/>
    <x v="3"/>
    <n v="1601157"/>
    <s v="Nivea Musk Talc 100g"/>
    <n v="0.1"/>
    <n v="0.1"/>
    <n v="0.1"/>
    <x v="0"/>
    <n v="5250"/>
    <m/>
    <n v="41993.039999999994"/>
    <n v="51965.998800000001"/>
    <n v="120132.19751244734"/>
    <n v="0"/>
    <n v="4.1993039999999988E-2"/>
    <n v="5.196599880000001E-2"/>
    <n v="9.3959038800000005E-2"/>
    <x v="1"/>
  </r>
  <r>
    <x v="3"/>
    <x v="3"/>
    <n v="1601159"/>
    <s v="Nivea Musk Talc 400g"/>
    <n v="3.8"/>
    <n v="3.8"/>
    <n v="3.8"/>
    <x v="0"/>
    <n v="5250"/>
    <m/>
    <n v="41993.039999999994"/>
    <n v="51965.998800000001"/>
    <n v="120132.19751244734"/>
    <n v="0"/>
    <n v="1.5957355199999996"/>
    <n v="1.9747079543999999"/>
    <n v="3.5704434743999993"/>
    <x v="1"/>
  </r>
  <r>
    <x v="3"/>
    <x v="3"/>
    <n v="1601158"/>
    <s v="Nivea Pure Talc 100g"/>
    <n v="0.5"/>
    <n v="0.5"/>
    <n v="0.5"/>
    <x v="0"/>
    <n v="5250"/>
    <m/>
    <n v="30342.46"/>
    <n v="51565.998800000001"/>
    <n v="107999.34032149597"/>
    <n v="0"/>
    <n v="0.15171229999999999"/>
    <n v="0.25782999400000001"/>
    <n v="0.40954229399999997"/>
    <x v="1"/>
  </r>
  <r>
    <x v="3"/>
    <x v="4"/>
    <n v="1601143"/>
    <s v="DCN Face wash 50 ml B1G1"/>
    <n v="0.2064"/>
    <n v="0.2064"/>
    <n v="0.2064"/>
    <x v="0"/>
    <m/>
    <m/>
    <n v="90078.310339999996"/>
    <n v="353990.11790000001"/>
    <n v="461075.50433514506"/>
    <n v="0"/>
    <n v="0.18592163254176"/>
    <n v="0.73063560334559996"/>
    <n v="0.91655723588735993"/>
    <x v="1"/>
  </r>
  <r>
    <x v="3"/>
    <x v="4"/>
    <n v="1601126"/>
    <s v="DCH Face wash 15 ml Jar Pack"/>
    <n v="0.11159999999999999"/>
    <m/>
    <n v="0.11159999999999999"/>
    <x v="0"/>
    <m/>
    <m/>
    <n v="90333.620040000009"/>
    <n v="205302.47930000001"/>
    <n v="321013"/>
    <n v="0"/>
    <n v="0"/>
    <n v="0.2291175668988"/>
    <n v="0.2291175668988"/>
    <x v="1"/>
  </r>
  <r>
    <x v="4"/>
    <x v="2"/>
    <s v="JOHNSON'S BABY SOAP 75GM (CSD) - DTV - B"/>
    <s v="JOHNSON'S BABY SOAP 75GM (CSD) - DTV - B"/>
    <n v="54"/>
    <m/>
    <n v="54"/>
    <x v="0"/>
    <n v="5250"/>
    <n v="53626.216194615801"/>
    <n v="17271.055800000002"/>
    <n v="16337.905399999998"/>
    <n v="124756.40173436387"/>
    <n v="0"/>
    <n v="0"/>
    <n v="8.8224689159999983"/>
    <n v="8.8224689159999983"/>
    <x v="1"/>
  </r>
  <r>
    <x v="4"/>
    <x v="2"/>
    <n v="1601308"/>
    <s v="JOHNSON'S BABY MILK SOAP 75GM - DTV – B"/>
    <n v="27"/>
    <n v="27"/>
    <n v="27"/>
    <x v="0"/>
    <n v="5250"/>
    <n v="53626.216194615808"/>
    <n v="17271.055800000002"/>
    <n v="16337.905399999998"/>
    <n v="124756.40173436387"/>
    <n v="14.479078372546269"/>
    <n v="4.6631850660000005"/>
    <n v="4.4112344579999991"/>
    <n v="9.0744195239999996"/>
    <x v="1"/>
  </r>
  <r>
    <x v="4"/>
    <x v="2"/>
    <n v="1601259"/>
    <s v="JOHNSON'S TOP TO TOE BAR 75G B"/>
    <n v="9"/>
    <n v="9"/>
    <m/>
    <x v="0"/>
    <m/>
    <n v="443289"/>
    <n v="38323"/>
    <n v="28588"/>
    <n v="540000"/>
    <n v="39.896009999999997"/>
    <n v="3.4490699999999999"/>
    <n v="0"/>
    <n v="3.4490699999999999"/>
    <x v="1"/>
  </r>
  <r>
    <x v="4"/>
    <x v="3"/>
    <n v="1600750"/>
    <s v="NIVEA CREME SOFT SOAP 75G CT NEW"/>
    <n v="0.33800000000000002"/>
    <m/>
    <n v="0.33800000000000002"/>
    <x v="0"/>
    <n v="5250"/>
    <n v="45575.008071466567"/>
    <n v="27130.814000000002"/>
    <n v="36356.500899999999"/>
    <n v="121069.96913792202"/>
    <n v="0"/>
    <n v="0"/>
    <n v="0.122884973042"/>
    <n v="0.122884973042"/>
    <x v="1"/>
  </r>
  <r>
    <x v="4"/>
    <x v="3"/>
    <n v="1600751"/>
    <s v="NIVEA CREME SOFT SOAP 75GX2 CT NEW"/>
    <n v="4.7300000000000004"/>
    <m/>
    <n v="4.7300000000000004"/>
    <x v="0"/>
    <n v="5250"/>
    <n v="45575.008071466567"/>
    <n v="27130.814000000002"/>
    <n v="36356.500899999999"/>
    <n v="121069.96913792202"/>
    <n v="0"/>
    <n v="0"/>
    <n v="1.7196624925700001"/>
    <n v="1.7196624925700001"/>
    <x v="1"/>
  </r>
  <r>
    <x v="4"/>
    <x v="3"/>
    <n v="1600755"/>
    <s v="NIVEA CREME SOFT SOAP 125G CT NEW"/>
    <n v="0.44"/>
    <m/>
    <n v="0.44"/>
    <x v="0"/>
    <n v="5250"/>
    <n v="45575.008071466567"/>
    <n v="27130.814000000002"/>
    <n v="14574.1387"/>
    <n v="112551.11902380512"/>
    <n v="0"/>
    <n v="0"/>
    <n v="6.4126210279999998E-2"/>
    <n v="6.4126210279999998E-2"/>
    <x v="1"/>
  </r>
  <r>
    <x v="4"/>
    <x v="3"/>
    <n v="1600756"/>
    <s v="NIVEA CREME SOFT SOAP 125GX2CTNEW"/>
    <n v="2"/>
    <m/>
    <n v="2"/>
    <x v="0"/>
    <n v="5250"/>
    <n v="45575.008071466567"/>
    <n v="27130.814000000002"/>
    <n v="23844.879699999998"/>
    <n v="108918.89362559767"/>
    <n v="0"/>
    <n v="0"/>
    <n v="0.47689759399999998"/>
    <n v="0.47689759399999998"/>
    <x v="1"/>
  </r>
  <r>
    <x v="4"/>
    <x v="4"/>
    <n v="1601005"/>
    <s v="JO LIME MINI SOAP 30GM WP"/>
    <n v="109"/>
    <n v="109"/>
    <n v="109"/>
    <x v="0"/>
    <n v="5250"/>
    <n v="22437.089572339501"/>
    <n v="13689.625"/>
    <n v="8732.3014000000003"/>
    <n v="49341.80060857506"/>
    <n v="24.456427633850058"/>
    <n v="14.92169125"/>
    <n v="9.5182085260000004"/>
    <n v="24.439899776000001"/>
    <x v="1"/>
  </r>
  <r>
    <x v="4"/>
    <x v="4"/>
    <n v="1601293"/>
    <s v="JO LIME SOAP 50GMX3WP+2 JO50GM FREE"/>
    <n v="147"/>
    <n v="147"/>
    <n v="147"/>
    <x v="0"/>
    <n v="5250"/>
    <n v="31785.942383117996"/>
    <n v="12411.274099999999"/>
    <n v="6667.7085999999999"/>
    <n v="55996.259093941015"/>
    <n v="46.725335303183449"/>
    <n v="18.244572927"/>
    <n v="9.8015316420000005"/>
    <n v="28.046104569000001"/>
    <x v="1"/>
  </r>
  <r>
    <x v="4"/>
    <x v="4"/>
    <n v="1601284"/>
    <s v="JO LIME SOAP 100GM X 4WP + JO Coco 60Gm Free"/>
    <n v="143"/>
    <n v="143"/>
    <n v="143"/>
    <x v="0"/>
    <n v="5250"/>
    <n v="31523.582193455099"/>
    <n v="12915.539779999999"/>
    <n v="6558.6481600000006"/>
    <n v="56092.754110292837"/>
    <n v="45.07872253664079"/>
    <n v="18.469221885399996"/>
    <n v="9.3788668688000012"/>
    <n v="27.848088754199999"/>
    <x v="1"/>
  </r>
  <r>
    <x v="4"/>
    <x v="4"/>
    <n v="1600864"/>
    <s v="JO LIME SOAP 125GM x 4WP"/>
    <n v="80"/>
    <n v="80"/>
    <n v="80"/>
    <x v="0"/>
    <n v="5250"/>
    <n v="39297.865413515625"/>
    <n v="12054.80384"/>
    <n v="5378.9866999999995"/>
    <n v="61588.379246231489"/>
    <n v="31.438292330812502"/>
    <n v="9.643843072000001"/>
    <n v="4.3031893600000002"/>
    <n v="13.947032432"/>
    <x v="1"/>
  </r>
  <r>
    <x v="4"/>
    <x v="4"/>
    <n v="1600926"/>
    <s v="JO LIME SOAP 150GM X 4WP"/>
    <n v="2"/>
    <n v="2"/>
    <n v="2"/>
    <x v="0"/>
    <n v="5250"/>
    <n v="39297.865413515625"/>
    <n v="12147.700860000001"/>
    <n v="4904.6996999999992"/>
    <n v="56350.265973515619"/>
    <n v="0.78595730827031252"/>
    <n v="0.24295401720000001"/>
    <n v="9.809399399999999E-2"/>
    <n v="0.3410480112"/>
    <x v="1"/>
  </r>
  <r>
    <x v="4"/>
    <x v="4"/>
    <n v="1600939"/>
    <s v="JO NEEM&amp;TULSI SOAP 100GMX8 WP"/>
    <n v="6"/>
    <m/>
    <n v="6"/>
    <x v="0"/>
    <n v="5250"/>
    <n v="39654.505427713069"/>
    <n v="12873.544849999998"/>
    <n v="9193.6378000000004"/>
    <n v="66616.613506305293"/>
    <n v="0"/>
    <n v="0"/>
    <n v="0.55161826800000002"/>
    <n v="0.55161826800000002"/>
    <x v="1"/>
  </r>
  <r>
    <x v="4"/>
    <x v="4"/>
    <n v="1601083"/>
    <s v="JO NEEM &amp; TULSI SOAP 100GM X 3+2 WP FREE"/>
    <n v="35"/>
    <n v="35"/>
    <n v="35"/>
    <x v="0"/>
    <n v="5250"/>
    <n v="31781.414711934449"/>
    <n v="13602.805779999999"/>
    <n v="6459.5489200000002"/>
    <n v="56974.476113402314"/>
    <n v="11.123495149177057"/>
    <n v="4.7609820229999995"/>
    <n v="2.2608421220000001"/>
    <n v="7.0218241450000001"/>
    <x v="1"/>
  </r>
  <r>
    <x v="4"/>
    <x v="4"/>
    <n v="1601006"/>
    <s v="JO ALMOND MINI SOAP 30GM WP"/>
    <n v="33"/>
    <n v="33"/>
    <n v="33"/>
    <x v="0"/>
    <n v="5250"/>
    <n v="20807.809667416521"/>
    <n v="17750.979500000001"/>
    <n v="8979.4310000000005"/>
    <n v="51762.364514822577"/>
    <n v="6.8665771902474519"/>
    <n v="5.8578232350000006"/>
    <n v="2.9632122299999999"/>
    <n v="8.8210354650000014"/>
    <x v="1"/>
  </r>
  <r>
    <x v="4"/>
    <x v="4"/>
    <n v="1601294"/>
    <s v="JO ALMND&amp;CR SOAP 50GMX3WP+2 JO50GM FREE"/>
    <n v="102"/>
    <n v="102"/>
    <n v="102"/>
    <x v="0"/>
    <n v="5250"/>
    <n v="32263.808053094799"/>
    <n v="16260.993329999999"/>
    <n v="5595.1198999999997"/>
    <n v="57157.646053966797"/>
    <n v="32.909084214156692"/>
    <n v="16.586213196599999"/>
    <n v="5.707022298"/>
    <n v="22.293235494599998"/>
    <x v="1"/>
  </r>
  <r>
    <x v="4"/>
    <x v="4"/>
    <n v="1601285"/>
    <s v="JO ALMOND &amp; C SOAP 100GM X 4WP + JO Coco 60Gm Free"/>
    <n v="55"/>
    <n v="55"/>
    <n v="55"/>
    <x v="0"/>
    <n v="5250"/>
    <n v="29777.4511301639"/>
    <n v="16271.024580000001"/>
    <n v="5778.6370999999999"/>
    <n v="56767.763478696492"/>
    <n v="16.377598121590143"/>
    <n v="8.949063519000001"/>
    <n v="3.178250405"/>
    <n v="12.127313924000001"/>
    <x v="1"/>
  </r>
  <r>
    <x v="4"/>
    <x v="4"/>
    <n v="1600866"/>
    <s v="JO ALMND&amp;CR SOAP 125GM x 4WP"/>
    <n v="30"/>
    <n v="30"/>
    <n v="30"/>
    <x v="0"/>
    <n v="5250"/>
    <n v="36881.996064350446"/>
    <n v="16282.34167"/>
    <n v="5576.9079000000002"/>
    <n v="63339"/>
    <n v="11.064598819305132"/>
    <n v="4.8847025010000005"/>
    <n v="1.6730723699999999"/>
    <n v="6.5577748710000003"/>
    <x v="1"/>
  </r>
  <r>
    <x v="4"/>
    <x v="4"/>
    <n v="1600862"/>
    <s v="JO PEACH&amp;CREAM SOAP 55GM+10GM EXTRA x4WP"/>
    <n v="20"/>
    <n v="20"/>
    <n v="20"/>
    <x v="0"/>
    <n v="5250"/>
    <n v="36186.869400277086"/>
    <n v="18601.586569999999"/>
    <n v="5386.4034000000001"/>
    <n v="64698.342735678525"/>
    <n v="7.2373738800554177"/>
    <n v="3.7203173139999999"/>
    <n v="1.0772806800000001"/>
    <n v="4.7975979940000002"/>
    <x v="1"/>
  </r>
  <r>
    <x v="4"/>
    <x v="4"/>
    <n v="1600928"/>
    <s v="JO PEACH&amp;CREAM SOAP 150GM x 4WP"/>
    <n v="5"/>
    <n v="5"/>
    <n v="5"/>
    <x v="0"/>
    <n v="5250"/>
    <n v="36186.869400277086"/>
    <n v="17586.081170000001"/>
    <n v="5582.1218000000008"/>
    <n v="63878.555735678521"/>
    <n v="1.8093434700138544"/>
    <n v="0.87930405850000015"/>
    <n v="0.27910609000000003"/>
    <n v="1.1584101485000002"/>
    <x v="1"/>
  </r>
  <r>
    <x v="4"/>
    <x v="4"/>
    <n v="1601076"/>
    <s v="JO COCONUT&amp;OLIVE SOAP 125GM X 4WP"/>
    <n v="15"/>
    <n v="15"/>
    <n v="15"/>
    <x v="0"/>
    <n v="5250"/>
    <n v="39293.793172329992"/>
    <n v="13734.63481"/>
    <n v="5324.6417999999994"/>
    <n v="63209.35686961488"/>
    <n v="5.8940689758494988"/>
    <n v="2.0601952214999999"/>
    <n v="0.79869626999999999"/>
    <n v="2.8588914914999997"/>
    <x v="1"/>
  </r>
  <r>
    <x v="4"/>
    <x v="4"/>
    <n v="1600826"/>
    <s v="DOY CARE MILK CRÈAM SOAP 50 GM CT"/>
    <n v="14"/>
    <n v="14"/>
    <n v="14"/>
    <x v="0"/>
    <n v="5250"/>
    <n v="46556.493091635806"/>
    <n v="15965.345000000001"/>
    <n v="23145.275900000001"/>
    <n v="90679.37883495295"/>
    <n v="6.5179090328290128"/>
    <n v="2.2351483000000001"/>
    <n v="3.2403386259999998"/>
    <n v="5.4754869260000003"/>
    <x v="1"/>
  </r>
  <r>
    <x v="4"/>
    <x v="4"/>
    <n v="1601204"/>
    <s v="DOY CARE MILK CRÈAM SOAP 125GMX4 WM-MCT(MRP-110) For Dmart"/>
    <n v="5"/>
    <n v="5"/>
    <n v="5"/>
    <x v="0"/>
    <n v="5250"/>
    <n v="34995.049078855947"/>
    <n v="15960.117000000002"/>
    <n v="23222.842499999999"/>
    <n v="80008.727649363704"/>
    <n v="1.7497524539427975"/>
    <n v="0.79800585000000002"/>
    <n v="1.161142125"/>
    <n v="1.959147975"/>
    <x v="1"/>
  </r>
  <r>
    <x v="4"/>
    <x v="4"/>
    <n v="1601316"/>
    <s v="DOY CARE MILK CRÈAM SOAP 125GX4CT COFW50"/>
    <n v="10"/>
    <n v="10"/>
    <n v="10"/>
    <x v="0"/>
    <n v="5250"/>
    <n v="34995.049078855947"/>
    <n v="15960.117000000002"/>
    <n v="23222.842499999999"/>
    <n v="80008.727649363704"/>
    <n v="3.4995049078855951"/>
    <n v="1.5960117"/>
    <n v="2.32228425"/>
    <n v="3.9182959500000001"/>
    <x v="1"/>
  </r>
  <r>
    <x v="4"/>
    <x v="4"/>
    <n v="1601201"/>
    <s v="DOY CARE ALOEVERA SOAP 125GMX4 WM-MCT (MRP -110) For Dmart"/>
    <n v="8"/>
    <n v="8"/>
    <n v="8"/>
    <x v="0"/>
    <n v="5250"/>
    <n v="41412.947150439475"/>
    <n v="16766.112624000001"/>
    <n v="24971.833000000002"/>
    <n v="88829.285914185806"/>
    <n v="3.3130357720351582"/>
    <n v="1.3412890099200001"/>
    <n v="1.9977466400000001"/>
    <n v="3.3390356499200005"/>
    <x v="1"/>
  </r>
  <r>
    <x v="4"/>
    <x v="4"/>
    <n v="1601314"/>
    <s v="DOY CARE ALOEVERA SOAP 125Gx4 CT CO-FW50"/>
    <n v="10"/>
    <n v="10"/>
    <n v="10"/>
    <x v="0"/>
    <n v="5250"/>
    <n v="41412.947150439475"/>
    <n v="16766.112624000001"/>
    <n v="24971.833000000002"/>
    <n v="88829.285914185806"/>
    <n v="4.1412947150439479"/>
    <n v="1.6766112624"/>
    <n v="2.4971833000000001"/>
    <n v="4.1737945624000004"/>
    <x v="1"/>
  </r>
  <r>
    <x v="4"/>
    <x v="4"/>
    <n v="1600670"/>
    <s v="DOY CARE HONEY SOAP 50 GM CT"/>
    <n v="10"/>
    <n v="10"/>
    <n v="10"/>
    <x v="0"/>
    <n v="5250"/>
    <n v="52168.2"/>
    <n v="16120.753612500001"/>
    <n v="14520.557812485386"/>
    <n v="92315.069111617631"/>
    <n v="5.2168200000000002"/>
    <n v="1.6120753612500001"/>
    <n v="1.4520557812485384"/>
    <n v="3.0641311424985385"/>
    <x v="1"/>
  </r>
  <r>
    <x v="4"/>
    <x v="4"/>
    <n v="1601315"/>
    <s v="DOY CARE HONEY&amp;GLY SOAP125Gx4 CT CO-FW50"/>
    <n v="5"/>
    <n v="5"/>
    <n v="5"/>
    <x v="0"/>
    <n v="5250"/>
    <n v="30863.929485018387"/>
    <n v="18185.115417999998"/>
    <n v="25454.889800000001"/>
    <n v="80417.228169707363"/>
    <n v="1.5431964742509194"/>
    <n v="0.90925577089999987"/>
    <n v="1.27274449"/>
    <n v="2.1820002608999998"/>
    <x v="1"/>
  </r>
  <r>
    <x v="4"/>
    <x v="4"/>
    <n v="1600891"/>
    <s v="DOY PURE&amp;MILD TRANSPARENT SOAP 75GM CT"/>
    <n v="3"/>
    <n v="3"/>
    <n v="3"/>
    <x v="0"/>
    <m/>
    <n v="0"/>
    <n v="102865.09420000002"/>
    <n v="26175.903899999994"/>
    <n v="153976.31045082287"/>
    <n v="0"/>
    <n v="3.0859528260000002"/>
    <n v="0.7852771169999998"/>
    <n v="3.8712299429999999"/>
    <x v="1"/>
  </r>
  <r>
    <x v="4"/>
    <x v="4"/>
    <n v="1600892"/>
    <s v="DOY PURE&amp;MILD TRANSPARENT SOAP 125GMX3MC"/>
    <n v="12"/>
    <n v="12"/>
    <n v="12"/>
    <x v="0"/>
    <m/>
    <n v="0"/>
    <n v="84697.840002199999"/>
    <n v="31353.311200000004"/>
    <n v="140986.46355302286"/>
    <n v="0"/>
    <n v="10.163740800264"/>
    <n v="3.7623973440000009"/>
    <n v="13.926138144264002"/>
    <x v="1"/>
  </r>
  <r>
    <x v="4"/>
    <x v="4"/>
    <n v="1600894"/>
    <s v="DOY CLEAR&amp;NATURAL TRANP SOAP 75GM CT"/>
    <n v="1.5"/>
    <n v="1.5"/>
    <n v="1.5"/>
    <x v="0"/>
    <m/>
    <n v="0"/>
    <n v="87202.891999999993"/>
    <n v="25840.550599999999"/>
    <n v="137978.75495082285"/>
    <n v="0"/>
    <n v="1.30804338"/>
    <n v="0.38760825899999996"/>
    <n v="1.6956516389999998"/>
    <x v="1"/>
  </r>
  <r>
    <x v="4"/>
    <x v="4"/>
    <n v="1600896"/>
    <s v="DOY CLEAR&amp;NATURAL TRANP SOAP 125GMX3MC"/>
    <n v="4"/>
    <n v="4"/>
    <n v="4"/>
    <x v="0"/>
    <m/>
    <n v="0"/>
    <n v="87202.891999999993"/>
    <n v="31098.911800000002"/>
    <n v="143237.11615082284"/>
    <n v="0"/>
    <n v="3.4881156799999995"/>
    <n v="1.243956472"/>
    <n v="4.7320721519999998"/>
    <x v="1"/>
  </r>
  <r>
    <x v="4"/>
    <x v="4"/>
    <n v="1600893"/>
    <s v="DOY GENTEL&amp;MOISTURIZING TRANP SOAP 75GM"/>
    <n v="1.2"/>
    <n v="1.2"/>
    <n v="1.2"/>
    <x v="0"/>
    <m/>
    <n v="0"/>
    <n v="84816.485579999993"/>
    <n v="25840.550599999999"/>
    <n v="135592.34853082284"/>
    <n v="0"/>
    <n v="1.0177978269599999"/>
    <n v="0.31008660719999998"/>
    <n v="1.3278844341599998"/>
    <x v="1"/>
  </r>
  <r>
    <x v="4"/>
    <x v="4"/>
    <n v="1600895"/>
    <s v="DOY GENTEL&amp;MOISTURIZING TRAN SOAP125X3G"/>
    <n v="2"/>
    <n v="2"/>
    <n v="2"/>
    <x v="0"/>
    <m/>
    <n v="0"/>
    <n v="85945.477580000006"/>
    <n v="31081.248100000001"/>
    <n v="117114.31902823121"/>
    <n v="0"/>
    <n v="1.7189095516000001"/>
    <n v="0.62162496200000006"/>
    <n v="2.3405345136000002"/>
    <x v="1"/>
  </r>
  <r>
    <x v="4"/>
    <x v="4"/>
    <n v="1601239"/>
    <s v="DOY CARE PURE CRÈME SILK PINK 70 GM WP"/>
    <n v="10"/>
    <m/>
    <n v="10"/>
    <x v="0"/>
    <n v="5250"/>
    <n v="38671.329028689492"/>
    <n v="16885.814999999999"/>
    <n v="7777.6585999999998"/>
    <n v="68124"/>
    <n v="0"/>
    <n v="0"/>
    <n v="0.77776585999999992"/>
    <n v="0.77776585999999992"/>
    <x v="1"/>
  </r>
  <r>
    <x v="4"/>
    <x v="4"/>
    <n v="1601240"/>
    <s v="DOY CARE PURE CRÈME SATIN WHITE 70 GM WP"/>
    <n v="10"/>
    <m/>
    <n v="10"/>
    <x v="0"/>
    <n v="5250"/>
    <n v="38573.202735059705"/>
    <n v="18614.236000000001"/>
    <n v="7791.0176000000001"/>
    <n v="69757.556083010975"/>
    <n v="0"/>
    <n v="0"/>
    <n v="0.77910176000000009"/>
    <n v="0.77910176000000009"/>
    <x v="1"/>
  </r>
  <r>
    <x v="4"/>
    <x v="4"/>
    <n v="1601241"/>
    <s v="DOY CARE PURE CRÈME ALOE FRESH 70GM WP"/>
    <n v="10"/>
    <m/>
    <n v="10"/>
    <x v="0"/>
    <n v="5250"/>
    <n v="38622.265881874599"/>
    <n v="17083.826999999997"/>
    <n v="7771.7455999999993"/>
    <n v="68262"/>
    <n v="0"/>
    <n v="0"/>
    <n v="0.77717455999999996"/>
    <n v="0.77717455999999996"/>
    <x v="1"/>
  </r>
  <r>
    <x v="4"/>
    <x v="2"/>
    <n v="1601207"/>
    <s v="JOHNSON BABY POWDER 100G BT CRANBY 1PC"/>
    <n v="78"/>
    <n v="78"/>
    <m/>
    <x v="0"/>
    <m/>
    <n v="0"/>
    <n v="19739.583599999998"/>
    <n v="52206.436999999998"/>
    <n v="89898.871319318423"/>
    <n v="0"/>
    <n v="15.396875207999999"/>
    <n v="0"/>
    <n v="15.396875207999999"/>
    <x v="1"/>
  </r>
  <r>
    <x v="4"/>
    <x v="2"/>
    <n v="1601208"/>
    <s v="JOHNSON BABY POWDER 200G BT CRANBY-1PC"/>
    <n v="96"/>
    <n v="96"/>
    <m/>
    <x v="0"/>
    <m/>
    <n v="0"/>
    <n v="19739.583599999998"/>
    <n v="31850.345000000001"/>
    <n v="59583.290711292721"/>
    <n v="0"/>
    <n v="18.950000255999999"/>
    <n v="0"/>
    <n v="18.950000255999999"/>
    <x v="1"/>
  </r>
  <r>
    <x v="4"/>
    <x v="4"/>
    <n v="1601137"/>
    <s v="BACTERSHIELD HW 800ML POUCH"/>
    <n v="1.92"/>
    <n v="1.92"/>
    <n v="1.92"/>
    <x v="0"/>
    <m/>
    <n v="0"/>
    <n v="34783.096455600004"/>
    <n v="10816.672879999998"/>
    <n v="63142"/>
    <n v="0"/>
    <n v="0.66783545194752003"/>
    <n v="0.20768011929599997"/>
    <n v="0.87551557124351997"/>
    <x v="1"/>
  </r>
  <r>
    <x v="4"/>
    <x v="4"/>
    <n v="1600742"/>
    <s v="BACTERSHIELD HW 215ML+1BOTTLE 215ML FREE"/>
    <n v="2.7"/>
    <n v="2.7"/>
    <n v="2.7"/>
    <x v="0"/>
    <m/>
    <n v="0"/>
    <n v="32376.742599999998"/>
    <n v="54464.549100000004"/>
    <n v="104901.96463840263"/>
    <n v="0"/>
    <n v="0.87417205019999999"/>
    <n v="1.4705428257000002"/>
    <n v="2.3447148759000003"/>
    <x v="1"/>
  </r>
  <r>
    <x v="4"/>
    <x v="4"/>
    <n v="1600847"/>
    <s v="DOY CARE ALOEVERA FACEWASH 50ML 1 + 1 FREE"/>
    <n v="0.24"/>
    <m/>
    <n v="0.24"/>
    <x v="0"/>
    <m/>
    <n v="0"/>
    <n v="90224.746039999998"/>
    <n v="157544.27800000002"/>
    <n v="264729.82167131908"/>
    <n v="0"/>
    <n v="0"/>
    <n v="0.37810626720000001"/>
    <n v="0.37810626720000001"/>
    <x v="1"/>
  </r>
  <r>
    <x v="5"/>
    <x v="2"/>
    <n v="1601303"/>
    <s v="JOHNSON'S BABY SOAP 50GM - DTV - B"/>
    <n v="36"/>
    <n v="39"/>
    <n v="36"/>
    <x v="0"/>
    <n v="5250"/>
    <n v="52974.0794035078"/>
    <n v="18406.298269999999"/>
    <n v="17872.850900000001"/>
    <n v="145811.57567956997"/>
    <n v="20.659890967368042"/>
    <n v="7.1784563252999991"/>
    <n v="6.4342263239999999"/>
    <n v="13.612682649299998"/>
    <x v="1"/>
  </r>
  <r>
    <x v="5"/>
    <x v="2"/>
    <n v="1601312"/>
    <s v="JOHNSON'S BABY BLOSSOM SOAP 75 GM – DTV"/>
    <n v="63"/>
    <m/>
    <n v="63"/>
    <x v="0"/>
    <n v="5250"/>
    <n v="52671.604082956779"/>
    <n v="33869.885374999998"/>
    <n v="16384.9391"/>
    <n v="141284.10193173139"/>
    <n v="0"/>
    <n v="0"/>
    <n v="10.322511633"/>
    <n v="10.322511633"/>
    <x v="1"/>
  </r>
  <r>
    <x v="5"/>
    <x v="3"/>
    <n v="1601118"/>
    <s v="NIVEA CREME SOFT SOAP 50G CT NEW"/>
    <n v="4.1769999999999996"/>
    <m/>
    <n v="4.1769999999999996"/>
    <x v="0"/>
    <n v="5250"/>
    <n v="45575.008071466567"/>
    <n v="27130.814000000002"/>
    <n v="25211.188099999999"/>
    <n v="144224"/>
    <n v="0"/>
    <n v="0"/>
    <n v="1.0530713269369998"/>
    <n v="1.0530713269369998"/>
    <x v="1"/>
  </r>
  <r>
    <x v="5"/>
    <x v="3"/>
    <n v="1600750"/>
    <s v="NIVEA CREME SOFT SOAP 75G CT NEW"/>
    <n v="0.26299999999999996"/>
    <m/>
    <n v="0.26299999999999996"/>
    <x v="0"/>
    <n v="5250"/>
    <n v="45575.008071466567"/>
    <n v="27130.814000000002"/>
    <n v="36356.500899999999"/>
    <n v="121069.96913792202"/>
    <n v="0"/>
    <n v="0"/>
    <n v="9.5617597366999985E-2"/>
    <n v="9.5617597366999985E-2"/>
    <x v="1"/>
  </r>
  <r>
    <x v="5"/>
    <x v="3"/>
    <n v="1600755"/>
    <s v="NIVEA CREME SOFT SOAP 125G CT NEW"/>
    <n v="0.68799999999999994"/>
    <m/>
    <n v="0.68799999999999994"/>
    <x v="0"/>
    <n v="5250"/>
    <n v="45575.008071466567"/>
    <n v="27130.814000000002"/>
    <n v="14574.1387"/>
    <n v="112551.11902380512"/>
    <n v="0"/>
    <n v="0"/>
    <n v="0.10027007425599999"/>
    <n v="0.10027007425599999"/>
    <x v="1"/>
  </r>
  <r>
    <x v="5"/>
    <x v="3"/>
    <n v="1600756"/>
    <s v="NIVEA CREME SOFT SOAP 125GX2CTNEW"/>
    <n v="0.875"/>
    <m/>
    <n v="0.875"/>
    <x v="0"/>
    <n v="5250"/>
    <n v="45575.008071466567"/>
    <n v="27130.814000000002"/>
    <n v="23844.879699999998"/>
    <n v="108918.89362559767"/>
    <n v="0"/>
    <n v="0"/>
    <n v="0.20864269737499999"/>
    <n v="0.20864269737499999"/>
    <x v="1"/>
  </r>
  <r>
    <x v="5"/>
    <x v="3"/>
    <n v="1600967"/>
    <s v="NIVEA CRÈME CARE SOAP 75G CT"/>
    <n v="0.67500000000000004"/>
    <m/>
    <n v="0.67500000000000004"/>
    <x v="0"/>
    <n v="5250"/>
    <n v="45575.008071466567"/>
    <n v="27130.814000000002"/>
    <n v="36356.500899999999"/>
    <n v="121069.96913792202"/>
    <n v="0"/>
    <n v="0"/>
    <n v="0.24540638107500001"/>
    <n v="0.24540638107500001"/>
    <x v="1"/>
  </r>
  <r>
    <x v="5"/>
    <x v="8"/>
    <n v="1600532"/>
    <s v="DERMADEW 75g SOAP"/>
    <n v="26.25"/>
    <n v="26.25"/>
    <n v="26.25"/>
    <x v="0"/>
    <m/>
    <m/>
    <m/>
    <m/>
    <m/>
    <n v="0"/>
    <n v="0"/>
    <n v="0"/>
    <n v="0"/>
    <x v="1"/>
  </r>
  <r>
    <x v="5"/>
    <x v="8"/>
    <n v="1600531"/>
    <s v="DERMADEW 50g PS SOAP"/>
    <n v="5"/>
    <n v="5"/>
    <n v="5"/>
    <x v="0"/>
    <m/>
    <m/>
    <m/>
    <m/>
    <m/>
    <n v="0"/>
    <n v="0"/>
    <n v="0"/>
    <n v="0"/>
    <x v="1"/>
  </r>
  <r>
    <x v="5"/>
    <x v="8"/>
    <n v="1600567"/>
    <s v="DERMADEW ACNE SOAP 75G"/>
    <n v="11.25"/>
    <n v="11.25"/>
    <n v="11.25"/>
    <x v="0"/>
    <m/>
    <m/>
    <m/>
    <m/>
    <m/>
    <n v="0"/>
    <n v="0"/>
    <n v="0"/>
    <n v="0"/>
    <x v="1"/>
  </r>
  <r>
    <x v="5"/>
    <x v="8"/>
    <n v="1600600"/>
    <s v="DERMADEW ACNE 50g PS"/>
    <n v="5"/>
    <n v="5"/>
    <n v="5"/>
    <x v="0"/>
    <m/>
    <m/>
    <m/>
    <m/>
    <m/>
    <n v="0"/>
    <n v="0"/>
    <n v="0"/>
    <n v="0"/>
    <x v="1"/>
  </r>
  <r>
    <x v="5"/>
    <x v="8"/>
    <n v="1600568"/>
    <s v="KZ SOAP 75 G"/>
    <n v="11.25"/>
    <n v="11.25"/>
    <n v="11.25"/>
    <x v="0"/>
    <m/>
    <m/>
    <m/>
    <m/>
    <m/>
    <n v="0"/>
    <n v="0"/>
    <n v="0"/>
    <n v="0"/>
    <x v="1"/>
  </r>
  <r>
    <x v="5"/>
    <x v="8"/>
    <n v="1600601"/>
    <s v="Kz 50g PS"/>
    <n v="5"/>
    <n v="5"/>
    <n v="5"/>
    <x v="0"/>
    <m/>
    <m/>
    <m/>
    <m/>
    <m/>
    <n v="0"/>
    <n v="0"/>
    <n v="0"/>
    <n v="0"/>
    <x v="1"/>
  </r>
  <r>
    <x v="5"/>
    <x v="8"/>
    <n v="1600628"/>
    <s v="Dermadew baby Soap 75Gm"/>
    <n v="11.25"/>
    <n v="11.25"/>
    <n v="11.25"/>
    <x v="0"/>
    <m/>
    <m/>
    <m/>
    <m/>
    <m/>
    <n v="0"/>
    <n v="0"/>
    <n v="0"/>
    <n v="0"/>
    <x v="1"/>
  </r>
  <r>
    <x v="5"/>
    <x v="8"/>
    <n v="1600581"/>
    <s v="Dermadew Baby Soap 50g PS"/>
    <n v="5"/>
    <n v="5"/>
    <n v="5"/>
    <x v="0"/>
    <m/>
    <m/>
    <m/>
    <m/>
    <m/>
    <n v="0"/>
    <n v="0"/>
    <n v="0"/>
    <n v="0"/>
    <x v="1"/>
  </r>
  <r>
    <x v="5"/>
    <x v="8"/>
    <n v="1600585"/>
    <s v="LS Dew Soap 75g"/>
    <n v="7.5"/>
    <n v="7.5"/>
    <n v="7.5"/>
    <x v="0"/>
    <m/>
    <m/>
    <m/>
    <m/>
    <m/>
    <n v="0"/>
    <n v="0"/>
    <n v="0"/>
    <n v="0"/>
    <x v="1"/>
  </r>
  <r>
    <x v="5"/>
    <x v="8"/>
    <n v="1600590"/>
    <s v="LS Dew Soap 50g PS"/>
    <n v="2.5"/>
    <n v="2.5"/>
    <n v="2.5"/>
    <x v="0"/>
    <m/>
    <m/>
    <m/>
    <m/>
    <m/>
    <n v="0"/>
    <n v="0"/>
    <n v="0"/>
    <n v="0"/>
    <x v="1"/>
  </r>
  <r>
    <x v="5"/>
    <x v="8"/>
    <n v="1600624"/>
    <s v="HH Mite 75g"/>
    <n v="7.5"/>
    <n v="7.5"/>
    <n v="7.5"/>
    <x v="0"/>
    <m/>
    <m/>
    <m/>
    <m/>
    <m/>
    <n v="0"/>
    <n v="0"/>
    <n v="0"/>
    <n v="0"/>
    <x v="1"/>
  </r>
  <r>
    <x v="5"/>
    <x v="8"/>
    <n v="1600626"/>
    <s v="HH Mite 50g PS"/>
    <n v="2.5"/>
    <n v="2.5"/>
    <n v="2.5"/>
    <x v="0"/>
    <m/>
    <m/>
    <m/>
    <m/>
    <m/>
    <n v="0"/>
    <n v="0"/>
    <n v="0"/>
    <n v="0"/>
    <x v="1"/>
  </r>
  <r>
    <x v="5"/>
    <x v="8"/>
    <n v="1600625"/>
    <s v="Dermadew Lite 75g"/>
    <n v="7.5"/>
    <n v="7.5"/>
    <n v="7.5"/>
    <x v="0"/>
    <m/>
    <m/>
    <m/>
    <m/>
    <m/>
    <n v="0"/>
    <n v="0"/>
    <n v="0"/>
    <n v="0"/>
    <x v="1"/>
  </r>
  <r>
    <x v="5"/>
    <x v="8"/>
    <n v="1600627"/>
    <s v="Dermadew Lite 50g PS"/>
    <n v="2.5"/>
    <n v="2.5"/>
    <n v="2.5"/>
    <x v="0"/>
    <m/>
    <m/>
    <m/>
    <m/>
    <m/>
    <n v="0"/>
    <n v="0"/>
    <n v="0"/>
    <n v="0"/>
    <x v="1"/>
  </r>
  <r>
    <x v="5"/>
    <x v="9"/>
    <n v="1601257"/>
    <s v="Ayurmix Soap 125g ( pack of 3)"/>
    <n v="27"/>
    <n v="27"/>
    <n v="27"/>
    <x v="0"/>
    <n v="5250"/>
    <n v="34418.059127904606"/>
    <n v="34720.345000000001"/>
    <n v="18495.236299999997"/>
    <n v="98913.666629392799"/>
    <n v="9.2928759645342431"/>
    <n v="9.3744931500000011"/>
    <n v="4.9937138009999993"/>
    <n v="14.368206951000001"/>
    <x v="1"/>
  </r>
  <r>
    <x v="5"/>
    <x v="4"/>
    <n v="1600488"/>
    <s v="JO LIME SOAP 100GMX8 WP"/>
    <n v="6"/>
    <m/>
    <n v="6"/>
    <x v="0"/>
    <n v="5250"/>
    <n v="31785.942383117996"/>
    <n v="12435.8541"/>
    <n v="8997.4567999999999"/>
    <n v="58350.587293941011"/>
    <n v="0"/>
    <n v="0"/>
    <n v="0.53984740799999997"/>
    <n v="0.53984740799999997"/>
    <x v="1"/>
  </r>
  <r>
    <x v="5"/>
    <x v="4"/>
    <n v="1601290"/>
    <s v="JO COCONUT&amp;OLIVE SOAP 100GM X 4WP + JO Coco 60Gm Free"/>
    <n v="20"/>
    <m/>
    <n v="20"/>
    <x v="0"/>
    <n v="5250"/>
    <n v="39293.793172329992"/>
    <n v="13862.49231"/>
    <n v="13341.492"/>
    <n v="71354.064569614886"/>
    <n v="0"/>
    <n v="0"/>
    <n v="2.6682984000000003"/>
    <n v="2.6682984000000003"/>
    <x v="1"/>
  </r>
  <r>
    <x v="5"/>
    <x v="4"/>
    <n v="1600826"/>
    <s v="DOY CARE MILK CRÈAM SOAP 50 GM CT"/>
    <n v="10"/>
    <n v="10"/>
    <n v="10"/>
    <x v="0"/>
    <n v="5250"/>
    <n v="46556.493091635806"/>
    <n v="15965.345000000001"/>
    <n v="23145.275900000001"/>
    <n v="90679.37883495295"/>
    <n v="4.6556493091635804"/>
    <n v="1.5965345000000002"/>
    <n v="2.3145275900000004"/>
    <n v="3.9110620900000006"/>
    <x v="1"/>
  </r>
  <r>
    <x v="5"/>
    <x v="4"/>
    <n v="1600511"/>
    <s v="DOY PRINCESS SOAP 75GM CT"/>
    <n v="0.5464"/>
    <n v="0.5464"/>
    <n v="0.5464"/>
    <x v="0"/>
    <n v="5250"/>
    <n v="46096.468410020265"/>
    <n v="16146.330405000001"/>
    <n v="22608.595700000002"/>
    <n v="89904.05074128673"/>
    <n v="0.25187110339235075"/>
    <n v="8.8223549332920009E-2"/>
    <n v="0.1235333669048"/>
    <n v="0.21175691623772003"/>
    <x v="1"/>
  </r>
  <r>
    <x v="5"/>
    <x v="4"/>
    <n v="1600509"/>
    <s v="DOY SAMBA SOAP 75GM CT"/>
    <n v="0.5464"/>
    <n v="0.5464"/>
    <n v="0.5464"/>
    <x v="0"/>
    <n v="5250"/>
    <n v="46096.468410020265"/>
    <n v="16146.330405000001"/>
    <n v="22608.595700000002"/>
    <n v="89904.05074128673"/>
    <n v="0.25187110339235075"/>
    <n v="8.8223549332920009E-2"/>
    <n v="0.1235333669048"/>
    <n v="0.21175691623772003"/>
    <x v="1"/>
  </r>
  <r>
    <x v="5"/>
    <x v="4"/>
    <n v="1600508"/>
    <s v="DOY TEDDY SOAP 75GM CT "/>
    <n v="0.5464"/>
    <n v="0.5464"/>
    <n v="0.5464"/>
    <x v="0"/>
    <n v="5250"/>
    <n v="46096.468410020265"/>
    <n v="16146.330405000001"/>
    <n v="22608.595700000002"/>
    <n v="89904.05074128673"/>
    <n v="0.25187110339235075"/>
    <n v="8.8223549332920009E-2"/>
    <n v="0.1235333669048"/>
    <n v="0.21175691623772003"/>
    <x v="1"/>
  </r>
  <r>
    <x v="5"/>
    <x v="4"/>
    <n v="1600106"/>
    <s v="BACTERSHIELD ANTI-BACT SOAP 34GM WP"/>
    <n v="2"/>
    <n v="2"/>
    <n v="2"/>
    <x v="0"/>
    <n v="5250"/>
    <n v="32773.938781539713"/>
    <n v="18853.907999999999"/>
    <n v="8294.1052"/>
    <n v="64079.853151889314"/>
    <n v="0.65547877563079426"/>
    <n v="0.37707816"/>
    <n v="0.165882104"/>
    <n v="0.54296026399999997"/>
    <x v="1"/>
  </r>
  <r>
    <x v="5"/>
    <x v="4"/>
    <n v="1600578"/>
    <s v="BACTERSHIELD ANTI-BACT SOAP 60+10GM WP"/>
    <n v="15"/>
    <n v="15"/>
    <n v="15"/>
    <x v="0"/>
    <n v="5250"/>
    <n v="26362.118623871324"/>
    <n v="19308.309000000001"/>
    <n v="5985.5981999999995"/>
    <n v="56123.48178693324"/>
    <n v="3.9543177935806986"/>
    <n v="2.8962463500000002"/>
    <n v="0.89783972999999995"/>
    <n v="3.79408608"/>
    <x v="1"/>
  </r>
  <r>
    <x v="5"/>
    <x v="4"/>
    <n v="1601103"/>
    <s v="BACTERSHIELD ULTRA FRESH SOAP 60 WP"/>
    <n v="5"/>
    <n v="5"/>
    <n v="5"/>
    <x v="0"/>
    <n v="5250"/>
    <n v="26362.118623871324"/>
    <n v="19308.309000000001"/>
    <n v="6113.3768"/>
    <n v="56163.667038702028"/>
    <n v="1.3181059311935661"/>
    <n v="0.96541545000000017"/>
    <n v="0.30566884"/>
    <n v="1.2710842900000001"/>
    <x v="1"/>
  </r>
  <r>
    <x v="5"/>
    <x v="4"/>
    <n v="1600561"/>
    <s v="BACTERSHIELD HW 185MLx2 REFILL+1 FREE KIT"/>
    <n v="3.996"/>
    <n v="7.8680000000000012"/>
    <n v="3.996"/>
    <x v="0"/>
    <m/>
    <n v="0"/>
    <n v="32376.742599999998"/>
    <n v="13425.9835"/>
    <n v="63534.924594972923"/>
    <n v="0"/>
    <n v="2.5474021077680002"/>
    <n v="0.53650230066000004"/>
    <n v="3.0839044084280003"/>
    <x v="1"/>
  </r>
  <r>
    <x v="5"/>
    <x v="4"/>
    <n v="1601263"/>
    <s v="BACTERSHIELD HW 800ML POUCH+800ML POUCH FREE"/>
    <n v="8"/>
    <n v="0"/>
    <n v="8"/>
    <x v="0"/>
    <m/>
    <n v="0"/>
    <n v="31634.667800000003"/>
    <n v="11795.961500000001"/>
    <n v="60972.913685572341"/>
    <n v="0"/>
    <n v="0"/>
    <n v="0.94367692000000014"/>
    <n v="0.94367692000000014"/>
    <x v="1"/>
  </r>
  <r>
    <x v="5"/>
    <x v="4"/>
    <n v="1600847"/>
    <s v="DOY CARE ALOEVERA FACEWASH 50ML 1 + 1 FREE"/>
    <n v="0.12"/>
    <n v="0"/>
    <n v="0.12"/>
    <x v="0"/>
    <m/>
    <n v="0"/>
    <n v="90224.746039999998"/>
    <n v="157544.27800000002"/>
    <n v="264729.82167131908"/>
    <n v="0"/>
    <n v="0"/>
    <n v="0.18905313360000001"/>
    <n v="0.18905313360000001"/>
    <x v="1"/>
  </r>
  <r>
    <x v="5"/>
    <x v="4"/>
    <n v="1600848"/>
    <s v="DOY CARE ALOEVERA FACEWASH 100ML 1 + 1 FREE"/>
    <n v="7.0000000000000001E-3"/>
    <n v="7.0000000000000001E-3"/>
    <n v="7.0000000000000001E-3"/>
    <x v="0"/>
    <m/>
    <n v="0"/>
    <n v="90224.746039999998"/>
    <n v="101998.5831"/>
    <n v="209158.77492001266"/>
    <n v="0"/>
    <n v="6.3157322227999999E-3"/>
    <n v="7.139900817E-3"/>
    <n v="1.34556330398E-2"/>
    <x v="1"/>
  </r>
  <r>
    <x v="6"/>
    <x v="4"/>
    <n v="1600924"/>
    <s v="JO LIME SOAP 80GM WP"/>
    <n v="13"/>
    <n v="0"/>
    <n v="13"/>
    <x v="0"/>
    <n v="5250"/>
    <n v="39664.868233284593"/>
    <n v="7150.8424999999997"/>
    <n v="5703.3971999999994"/>
    <n v="55726.587173252556"/>
    <n v="0"/>
    <n v="0"/>
    <n v="0.74144163600000002"/>
    <n v="0.74144163600000002"/>
    <x v="1"/>
  </r>
  <r>
    <x v="6"/>
    <x v="4"/>
    <n v="1600932"/>
    <s v="JO NEEM&amp;TULSI SOAP 55GM+10GM EXTRA X 4WP"/>
    <n v="10"/>
    <n v="14"/>
    <n v="10"/>
    <x v="0"/>
    <n v="5250"/>
    <n v="39982.416089698076"/>
    <n v="8017.9224999999988"/>
    <n v="6376.6502"/>
    <n v="57532.267232852457"/>
    <n v="5.5975382525577304"/>
    <n v="1.1225091499999997"/>
    <n v="0.63766502000000003"/>
    <n v="1.7601741699999998"/>
    <x v="1"/>
  </r>
  <r>
    <x v="6"/>
    <x v="4"/>
    <n v="1601083"/>
    <s v="JO NEEM &amp; TULSI SOAP 100GM X 3+2 WP FREE"/>
    <n v="14"/>
    <n v="0"/>
    <n v="14"/>
    <x v="0"/>
    <n v="5250"/>
    <n v="39982.416089698076"/>
    <n v="8017.901499999999"/>
    <n v="5792.1487999999999"/>
    <n v="57025.005443554321"/>
    <n v="0"/>
    <n v="0"/>
    <n v="0.81090083199999996"/>
    <n v="0.81090083199999996"/>
    <x v="1"/>
  </r>
  <r>
    <x v="6"/>
    <x v="4"/>
    <n v="1600972"/>
    <s v="JO ALMND&amp;CR SOAP 100GM X 3+2 WP FREE"/>
    <n v="13"/>
    <n v="17"/>
    <n v="13"/>
    <x v="0"/>
    <n v="5250"/>
    <n v="37513.808053094799"/>
    <n v="11010.993330000001"/>
    <n v="5786.1561000000002"/>
    <n v="57348.682253966806"/>
    <n v="6.3773473690261158"/>
    <n v="1.8718688661000003"/>
    <n v="0.75220029299999991"/>
    <n v="2.6240691591000003"/>
    <x v="1"/>
  </r>
  <r>
    <x v="6"/>
    <x v="4"/>
    <n v="1600866"/>
    <s v="JO ALMND&amp;CR SOAP 125GM x 4WP"/>
    <n v="15"/>
    <n v="0"/>
    <n v="15"/>
    <x v="0"/>
    <n v="5250"/>
    <n v="37513.808053094799"/>
    <n v="11010.993329999999"/>
    <n v="5595.1198999999997"/>
    <n v="57157.646053966797"/>
    <n v="0"/>
    <n v="0"/>
    <n v="0.83926798499999988"/>
    <n v="0.83926798499999988"/>
    <x v="1"/>
  </r>
  <r>
    <x v="6"/>
    <x v="4"/>
    <n v="1600927"/>
    <s v="JO ALMND&amp;CR SOAP 150GM X 4WP"/>
    <n v="27"/>
    <n v="0"/>
    <n v="27"/>
    <x v="0"/>
    <n v="5250"/>
    <n v="35027.4511301639"/>
    <n v="11021.024580000001"/>
    <n v="5478.5725000000002"/>
    <n v="56467.698878696494"/>
    <n v="0"/>
    <n v="0"/>
    <n v="1.4792145750000001"/>
    <n v="1.4792145750000001"/>
    <x v="1"/>
  </r>
  <r>
    <x v="6"/>
    <x v="4"/>
    <n v="1600860"/>
    <s v="JO SANDAL SOAP 55GM+10GM EXTRA x 4WP"/>
    <n v="22"/>
    <n v="38"/>
    <n v="22"/>
    <x v="0"/>
    <n v="5250"/>
    <n v="40223.121646010943"/>
    <n v="6860.0286000000006"/>
    <n v="6596.1120981844797"/>
    <n v="56853.536464131255"/>
    <n v="15.284786225484158"/>
    <n v="2.6068108680000002"/>
    <n v="1.4511446616005856"/>
    <n v="4.0579555296005854"/>
    <x v="1"/>
  </r>
  <r>
    <x v="6"/>
    <x v="4"/>
    <n v="1600062"/>
    <s v="JO SANDAL SOAP 60GMX5 WP"/>
    <n v="5"/>
    <n v="0"/>
    <n v="5"/>
    <x v="0"/>
    <n v="5250"/>
    <n v="40223.121646010943"/>
    <n v="6860.0286000000006"/>
    <n v="6950.6201000000001"/>
    <n v="57208.044465946776"/>
    <n v="0"/>
    <n v="0"/>
    <n v="0.347531005"/>
    <n v="0.347531005"/>
    <x v="1"/>
  </r>
  <r>
    <x v="6"/>
    <x v="4"/>
    <n v="1600974"/>
    <s v="JO SANDAL SOAP 100GM X 3+2 WP FREE"/>
    <n v="10"/>
    <n v="0"/>
    <n v="10"/>
    <x v="0"/>
    <n v="5250"/>
    <n v="40103.555201795272"/>
    <n v="7509.263280000001"/>
    <n v="5806.1511"/>
    <n v="56661.068528884723"/>
    <n v="0"/>
    <n v="0"/>
    <n v="0.58061510999999999"/>
    <n v="0.58061510999999999"/>
    <x v="1"/>
  </r>
  <r>
    <x v="6"/>
    <x v="4"/>
    <n v="1601108"/>
    <s v="JO SANDAL SOAP 125GMX4 WP"/>
    <n v="5"/>
    <n v="0"/>
    <n v="5"/>
    <x v="0"/>
    <n v="5250"/>
    <n v="40223.121646010943"/>
    <n v="6860.0286000000006"/>
    <n v="5664.6175135211533"/>
    <n v="54283.339954048752"/>
    <n v="0"/>
    <n v="0"/>
    <n v="0.28323087567605765"/>
    <n v="0.28323087567605765"/>
    <x v="1"/>
  </r>
  <r>
    <x v="6"/>
    <x v="4"/>
    <n v="1600862"/>
    <s v="JO PEACH&amp;CREAM SOAP 55GM+10GM EXTRA x4WP"/>
    <n v="7"/>
    <n v="38"/>
    <n v="7"/>
    <x v="0"/>
    <n v="5250"/>
    <n v="36894.87587127251"/>
    <n v="13265.367430000002"/>
    <n v="5577.7134000000005"/>
    <n v="58726.83741613006"/>
    <n v="14.020052831083555"/>
    <n v="5.040839623400001"/>
    <n v="0.39043993800000004"/>
    <n v="5.4312795614000011"/>
    <x v="1"/>
  </r>
  <r>
    <x v="6"/>
    <x v="4"/>
    <n v="1600975"/>
    <s v="JO PEACH&amp;CREAM SOAP 100GM X 3+2 WP FREE"/>
    <n v="20"/>
    <n v="0"/>
    <n v="20"/>
    <x v="0"/>
    <n v="5250"/>
    <n v="37840.807318196996"/>
    <n v="12495.015579999999"/>
    <n v="5728.8367999999991"/>
    <n v="61395.101185142616"/>
    <n v="0"/>
    <n v="0"/>
    <n v="1.1457673599999998"/>
    <n v="1.1457673599999998"/>
    <x v="1"/>
  </r>
  <r>
    <x v="6"/>
    <x v="4"/>
    <n v="1600928"/>
    <s v="JO PEACH&amp;CREAM SOAP 150GM x 4WP"/>
    <n v="6"/>
    <n v="0"/>
    <n v="6"/>
    <x v="0"/>
    <n v="5250"/>
    <n v="34449.540811889055"/>
    <n v="13278.602280000001"/>
    <n v="5478.5725000000002"/>
    <n v="57979.703372155702"/>
    <n v="0"/>
    <n v="0"/>
    <n v="0.32871434999999999"/>
    <n v="0.32871434999999999"/>
    <x v="1"/>
  </r>
  <r>
    <x v="6"/>
    <x v="4"/>
    <n v="1600868"/>
    <s v="JO PEACH&amp;CREAM SOAP 125GM x 4WP"/>
    <n v="30"/>
    <n v="0"/>
    <n v="30"/>
    <x v="0"/>
    <n v="5250"/>
    <n v="34449.540811889055"/>
    <n v="13278.602280000001"/>
    <n v="5478.5725000000002"/>
    <n v="57979.703372155702"/>
    <n v="0"/>
    <n v="0"/>
    <n v="1.6435717500000002"/>
    <n v="1.6435717500000002"/>
    <x v="1"/>
  </r>
  <r>
    <x v="6"/>
    <x v="4"/>
    <n v="1601078"/>
    <s v="JO COCONUT&amp;OLIVE SOAP 100GM X 3+2WP FREE"/>
    <n v="30"/>
    <n v="30"/>
    <n v="30"/>
    <x v="0"/>
    <n v="5250"/>
    <n v="39661.242360113269"/>
    <n v="9362.7790000000005"/>
    <n v="5237.8589000000002"/>
    <n v="57469.073358307585"/>
    <n v="11.89837270803398"/>
    <n v="2.8088337000000001"/>
    <n v="1.5713576699999998"/>
    <n v="4.3801913700000004"/>
    <x v="1"/>
  </r>
  <r>
    <x v="6"/>
    <x v="4"/>
    <n v="1601123"/>
    <s v="JO ROSE&amp;CREAM SOAP 100GM X 3+2WP FREE"/>
    <n v="25"/>
    <n v="34"/>
    <n v="25"/>
    <x v="0"/>
    <n v="5250"/>
    <n v="37217.185416549532"/>
    <n v="12346.901"/>
    <n v="5645.5001000000011"/>
    <n v="58224.459337672874"/>
    <n v="12.653843041626841"/>
    <n v="4.1979463400000006"/>
    <n v="1.4113750250000003"/>
    <n v="5.6093213650000013"/>
    <x v="1"/>
  </r>
  <r>
    <x v="6"/>
    <x v="4"/>
    <n v="1601124"/>
    <s v="JO ROSE&amp;CREAM SOAP 125GM X 4WP"/>
    <n v="5"/>
    <n v="0"/>
    <n v="5"/>
    <x v="0"/>
    <n v="5250"/>
    <n v="37217.185416549532"/>
    <n v="12346.901"/>
    <n v="5262.5159999999996"/>
    <n v="57849.494487342468"/>
    <n v="0"/>
    <n v="0"/>
    <n v="0.26312579999999997"/>
    <n v="0.26312579999999997"/>
    <x v="1"/>
  </r>
  <r>
    <x v="6"/>
    <x v="4"/>
    <n v="1601120"/>
    <s v="JO ROSE&amp;CREAM SOAP 55GX3WP+2JO55G FRE"/>
    <n v="5"/>
    <n v="0"/>
    <n v="5"/>
    <x v="0"/>
    <n v="5250"/>
    <n v="37217.185416549532"/>
    <n v="12346.901"/>
    <n v="3110.8101999999999"/>
    <n v="55676.729498512359"/>
    <n v="0"/>
    <n v="0"/>
    <n v="0.15554050999999999"/>
    <n v="0.15554050999999999"/>
    <x v="1"/>
  </r>
  <r>
    <x v="6"/>
    <x v="4"/>
    <n v="1600831"/>
    <s v="DOY CARE MILK CRÈAM SOAP 125GMX4MULTI-CT (MRP-110)"/>
    <n v="9"/>
    <n v="13"/>
    <n v="9"/>
    <x v="0"/>
    <n v="5250"/>
    <n v="57418.2"/>
    <n v="10870.753612500001"/>
    <n v="14520.557812485386"/>
    <n v="92315.069111617631"/>
    <n v="7.4643660000000001"/>
    <n v="1.4131979696249999"/>
    <n v="1.3068502031236846"/>
    <n v="2.7200481727486845"/>
    <x v="1"/>
  </r>
  <r>
    <x v="6"/>
    <x v="4"/>
    <n v="1600827"/>
    <s v="DOY CARE MILK CRÈAM SOAP 75GMX4 CT"/>
    <n v="13.23"/>
    <n v="0"/>
    <n v="13.23"/>
    <x v="0"/>
    <n v="5250"/>
    <n v="57418.2"/>
    <n v="10870.753612500001"/>
    <n v="14520.557812485386"/>
    <n v="92315.069111617631"/>
    <n v="0"/>
    <n v="0"/>
    <n v="1.9210697985918166"/>
    <n v="1.9210697985918166"/>
    <x v="1"/>
  </r>
  <r>
    <x v="6"/>
    <x v="4"/>
    <n v="1600816"/>
    <s v="DOY CARE CUCUMBER SOAP 50GM CT"/>
    <n v="1"/>
    <n v="1"/>
    <n v="1"/>
    <x v="0"/>
    <n v="5250"/>
    <n v="40420.280926959873"/>
    <n v="10242.58"/>
    <n v="21433.746599999999"/>
    <n v="77952.71425885419"/>
    <n v="0.40420280926959873"/>
    <n v="0.1024258"/>
    <n v="0.21433746599999998"/>
    <n v="0.31676326599999999"/>
    <x v="1"/>
  </r>
  <r>
    <x v="6"/>
    <x v="4"/>
    <n v="1600110"/>
    <s v="BACTERSHIELD ANTI-BACT SOAP 125GMX4 WP"/>
    <n v="8"/>
    <n v="8"/>
    <n v="8"/>
    <x v="0"/>
    <n v="5250"/>
    <n v="33856.044671955635"/>
    <n v="13981.930000000002"/>
    <n v="5145.5439999999999"/>
    <n v="55655.324389855166"/>
    <n v="2.708483573756451"/>
    <n v="1.1185544000000001"/>
    <n v="0.41164351999999998"/>
    <n v="1.53019792"/>
    <x v="1"/>
  </r>
  <r>
    <x v="6"/>
    <x v="4"/>
    <n v="1601105"/>
    <s v="BACTERSHIELD ULTRA NATURALS SOAP 60 WP"/>
    <n v="8"/>
    <n v="8"/>
    <n v="8"/>
    <x v="0"/>
    <n v="5250"/>
    <n v="36165.826806761681"/>
    <n v="8874.6332000000002"/>
    <n v="6001.3220000000001"/>
    <n v="57051.166487208153"/>
    <n v="2.8932661445409344"/>
    <n v="0.70997065599999998"/>
    <n v="0.48010575999999999"/>
    <n v="1.1900764159999999"/>
    <x v="1"/>
  </r>
  <r>
    <x v="6"/>
    <x v="4"/>
    <n v="1601103"/>
    <s v="BACTERSHIELD ULTRA FRESH SOAP 60 WP"/>
    <n v="10"/>
    <n v="10"/>
    <n v="10"/>
    <x v="0"/>
    <n v="5250"/>
    <n v="36093.522900231073"/>
    <n v="8100.6099999999988"/>
    <n v="5939.9520000000002"/>
    <n v="56044.036993488218"/>
    <n v="3.6093522900231072"/>
    <n v="0.81006099999999992"/>
    <n v="0.59399520000000006"/>
    <n v="1.4040561999999999"/>
    <x v="1"/>
  </r>
  <r>
    <x v="6"/>
    <x v="4"/>
    <n v="1601102"/>
    <s v="BACTERSHIELD ULTRA BALANCE SOAP 60 WP"/>
    <n v="8"/>
    <n v="8"/>
    <n v="8"/>
    <x v="0"/>
    <n v="5250"/>
    <n v="36080.016383681184"/>
    <n v="11301.4406"/>
    <n v="5956.1020000000008"/>
    <n v="59332.892868653507"/>
    <n v="2.8864013106944948"/>
    <n v="0.90411524799999998"/>
    <n v="0.47648816000000005"/>
    <n v="1.380603408"/>
    <x v="1"/>
  </r>
  <r>
    <x v="6"/>
    <x v="4"/>
    <n v="1601059"/>
    <s v="BACTERSHIELD ULTRA NATURALS SOAP125GX4WP"/>
    <n v="10"/>
    <n v="10"/>
    <n v="10"/>
    <x v="0"/>
    <n v="5250"/>
    <n v="36165.826806761681"/>
    <n v="8874.6332000000002"/>
    <n v="5224.0439999999999"/>
    <n v="56186.295138976944"/>
    <n v="3.6165826806761681"/>
    <n v="0.88746331999999994"/>
    <n v="0.52240439999999999"/>
    <n v="1.4098677199999998"/>
    <x v="1"/>
  </r>
  <r>
    <x v="6"/>
    <x v="4"/>
    <n v="1601057"/>
    <s v="BACTERSHIELD ULTRA BALANCE SOAP 125GX4WP"/>
    <n v="10"/>
    <n v="10"/>
    <n v="10"/>
    <x v="0"/>
    <n v="5250"/>
    <n v="36080.016383681184"/>
    <n v="11301.4406"/>
    <n v="5230.2790000000005"/>
    <n v="58607.069868653511"/>
    <n v="3.6080016383681186"/>
    <n v="1.1301440600000001"/>
    <n v="0.5230279000000001"/>
    <n v="1.6531719600000003"/>
    <x v="1"/>
  </r>
  <r>
    <x v="6"/>
    <x v="5"/>
    <n v="1600548"/>
    <s v="TETMOSOL SOAP 100g WP"/>
    <n v="60"/>
    <n v="60"/>
    <n v="60"/>
    <x v="0"/>
    <n v="5250"/>
    <n v="40453.078787736828"/>
    <n v="51819.707500000004"/>
    <n v="15202.371100000002"/>
    <n v="119315.71604420702"/>
    <n v="24.271847272642095"/>
    <n v="31.091824500000001"/>
    <n v="9.1214226600000021"/>
    <n v="40.213247160000002"/>
    <x v="1"/>
  </r>
  <r>
    <x v="6"/>
    <x v="3"/>
    <n v="1600750"/>
    <s v="NIVEA CREME SOFT SOAP 75G CT NEW"/>
    <n v="2.2280000000000002"/>
    <n v="0"/>
    <n v="2.2280000000000002"/>
    <x v="0"/>
    <n v="5250"/>
    <n v="57635.021231841689"/>
    <n v="21605.039000000001"/>
    <n v="16728.0088"/>
    <n v="117152.95883928752"/>
    <n v="0"/>
    <n v="0"/>
    <n v="0.37270003606400004"/>
    <n v="0.37270003606400004"/>
    <x v="1"/>
  </r>
  <r>
    <x v="6"/>
    <x v="3"/>
    <n v="1600752"/>
    <s v="NIVEA CREME SOFT SOAP 75GX4 CT NEW"/>
    <n v="5"/>
    <n v="0"/>
    <n v="5"/>
    <x v="0"/>
    <n v="5250"/>
    <n v="57635.021231841689"/>
    <n v="21605.039000000001"/>
    <n v="27223.806099999998"/>
    <n v="118517.62524142327"/>
    <n v="0"/>
    <n v="0"/>
    <n v="1.361190305"/>
    <n v="1.361190305"/>
    <x v="1"/>
  </r>
  <r>
    <x v="6"/>
    <x v="3"/>
    <n v="1600756"/>
    <s v="NIVEA CREME SOFT SOAP 125GX2CTNEW"/>
    <n v="1.44"/>
    <n v="0"/>
    <n v="1.44"/>
    <x v="0"/>
    <n v="5250"/>
    <n v="57635.021231841689"/>
    <n v="21605.039000000001"/>
    <n v="23845.185099999999"/>
    <n v="113283.5768439324"/>
    <n v="0"/>
    <n v="0"/>
    <n v="0.34337066543999994"/>
    <n v="0.34337066543999994"/>
    <x v="1"/>
  </r>
  <r>
    <x v="6"/>
    <x v="3"/>
    <n v="1601227"/>
    <s v="Crème Care Soap 125 - Pack of 2 (NEW)"/>
    <n v="0.65"/>
    <n v="0"/>
    <n v="0.65"/>
    <x v="0"/>
    <n v="5250"/>
    <n v="57107.40209175479"/>
    <n v="24775.323899999996"/>
    <n v="27146.109700000001"/>
    <n v="110690.47269614223"/>
    <n v="0"/>
    <n v="0"/>
    <n v="0.17644971305000004"/>
    <n v="0.17644971305000004"/>
    <x v="1"/>
  </r>
  <r>
    <x v="6"/>
    <x v="3"/>
    <n v="1601159"/>
    <s v="Nivea Musk Talc 400g"/>
    <n v="3.9"/>
    <n v="3.9"/>
    <n v="3.9"/>
    <x v="0"/>
    <m/>
    <n v="0"/>
    <n v="31102.66"/>
    <n v="27686.974679999999"/>
    <n v="65565.974831029685"/>
    <n v="0"/>
    <n v="1.21300374"/>
    <n v="1.07979201252"/>
    <n v="2.29279575252"/>
    <x v="1"/>
  </r>
  <r>
    <x v="6"/>
    <x v="10"/>
    <n v="1600521"/>
    <s v="DETTOL HAND SANITIZER 200ML"/>
    <n v="36000"/>
    <n v="0"/>
    <n v="36000"/>
    <x v="0"/>
    <m/>
    <n v="0"/>
    <n v="14.300420500000001"/>
    <n v="18.226042253521126"/>
    <n v="36.706599447706637"/>
    <n v="0"/>
    <n v="0"/>
    <n v="6.5613752112676051"/>
    <n v="6.5613752112676051"/>
    <x v="1"/>
  </r>
  <r>
    <x v="6"/>
    <x v="4"/>
    <n v="1600560"/>
    <s v="BACTERSHIELD HW 215ML BOTTLE+1 REFILFREE KIT"/>
    <n v="2.7505999999999999"/>
    <n v="2.7505999999999999"/>
    <n v="2.7505999999999999"/>
    <x v="0"/>
    <m/>
    <n v="0"/>
    <n v="31033.477899999994"/>
    <n v="37311.389699999992"/>
    <n v="84486.194557156559"/>
    <n v="0"/>
    <n v="0.85360684311739987"/>
    <n v="1.0262870850881998"/>
    <n v="1.8798939282055995"/>
    <x v="1"/>
  </r>
  <r>
    <x v="6"/>
    <x v="4"/>
    <n v="1600561"/>
    <s v="BACTERSHIELD HW 185MLx2 REFILL+1 FREE KIT"/>
    <n v="3.1840349999999997"/>
    <n v="3.1840349999999997"/>
    <n v="3.1840349999999997"/>
    <x v="0"/>
    <m/>
    <n v="0"/>
    <n v="31033.477899999994"/>
    <n v="13437.9413"/>
    <n v="60281.989257733963"/>
    <n v="0"/>
    <n v="0.9881167980532648"/>
    <n v="0.42786875427145499"/>
    <n v="1.4159855523247198"/>
    <x v="1"/>
  </r>
  <r>
    <x v="6"/>
    <x v="4"/>
    <n v="1601137"/>
    <s v="BACTERSHIELD HW 800ML POUCH"/>
    <n v="6.1248000000000005"/>
    <n v="6.1248000000000005"/>
    <n v="6.1248000000000005"/>
    <x v="0"/>
    <m/>
    <n v="0"/>
    <n v="31033.477899999994"/>
    <n v="10816.672879999998"/>
    <n v="57559.74491233837"/>
    <n v="0"/>
    <n v="1.9007384544191999"/>
    <n v="0.66249958055423996"/>
    <n v="2.5632380349734398"/>
    <x v="1"/>
  </r>
  <r>
    <x v="6"/>
    <x v="4"/>
    <n v="1601139"/>
    <s v="BACTERSHIELD HW 800ML+1BOTTLE 215ML FREE"/>
    <n v="4.5674999999999999"/>
    <n v="4.5674999999999999"/>
    <n v="4.5674999999999999"/>
    <x v="0"/>
    <m/>
    <n v="0"/>
    <n v="31033.477899999994"/>
    <n v="10816.672879999998"/>
    <n v="57559.74491233837"/>
    <n v="0"/>
    <n v="1.4174541030824996"/>
    <n v="0.49405153379399991"/>
    <n v="1.9115056368764995"/>
    <x v="1"/>
  </r>
  <r>
    <x v="7"/>
    <x v="5"/>
    <n v="1600548"/>
    <s v="TETMOSOL SOAP 100g WP"/>
    <n v="60"/>
    <n v="60"/>
    <n v="0"/>
    <x v="0"/>
    <n v="5250"/>
    <n v="40453.078787736828"/>
    <n v="51819.707500000004"/>
    <n v="15202.371100000002"/>
    <n v="119315.71604420702"/>
    <n v="24.271847272642095"/>
    <n v="31.091824500000001"/>
    <n v="0"/>
    <n v="31.091824500000001"/>
    <x v="1"/>
  </r>
  <r>
    <x v="7"/>
    <x v="4"/>
    <n v="1600767"/>
    <s v="JO LIME SOAP 55GMX3WP+2 JO55GM FREE"/>
    <n v="49"/>
    <n v="49"/>
    <n v="49"/>
    <x v="0"/>
    <n v="5250"/>
    <n v="39664.868233284593"/>
    <n v="7150.8424999999997"/>
    <n v="6873.6892765153834"/>
    <n v="56445.99917325256"/>
    <n v="19.435785434309452"/>
    <n v="3.5039128249999996"/>
    <n v="3.3681077454925381"/>
    <n v="6.8720205704925377"/>
    <x v="1"/>
  </r>
  <r>
    <x v="7"/>
    <x v="4"/>
    <n v="1600859"/>
    <s v="JO LIME SOAP 55GM+10GM EXTRA x 4WP"/>
    <n v="90"/>
    <n v="90"/>
    <n v="90"/>
    <x v="0"/>
    <n v="5250"/>
    <n v="37035.942383117996"/>
    <n v="7161.2740999999996"/>
    <n v="6758.1101448265381"/>
    <n v="57717.885093941019"/>
    <n v="33.332348144806197"/>
    <n v="6.4451466899999996"/>
    <n v="6.082299130343884"/>
    <n v="12.527445820343884"/>
    <x v="1"/>
  </r>
  <r>
    <x v="7"/>
    <x v="4"/>
    <n v="1600027"/>
    <s v="JO LIME SOAP 60GMX5 WP"/>
    <n v="5"/>
    <n v="5"/>
    <n v="5"/>
    <x v="0"/>
    <n v="5250"/>
    <n v="39664.868233284593"/>
    <n v="7150.8424999999997"/>
    <n v="6853.4841000000006"/>
    <n v="56876.674073252558"/>
    <n v="1.9832434116642297"/>
    <n v="0.35754212499999999"/>
    <n v="0.34267420500000001"/>
    <n v="0.70021632999999994"/>
    <x v="1"/>
  </r>
  <r>
    <x v="7"/>
    <x v="4"/>
    <n v="1600864"/>
    <s v="JO LIME SOAP 125GM x 4WP"/>
    <n v="20"/>
    <n v="20"/>
    <n v="20"/>
    <x v="0"/>
    <n v="5250"/>
    <n v="39664.868233284593"/>
    <n v="7150.8424999999997"/>
    <n v="5234.9908999999998"/>
    <n v="55258.180873252553"/>
    <n v="7.9329736466569187"/>
    <n v="1.4301685"/>
    <n v="1.0469981799999999"/>
    <n v="2.4771666799999998"/>
    <x v="1"/>
  </r>
  <r>
    <x v="7"/>
    <x v="4"/>
    <n v="1600926"/>
    <s v="JO LIME SOAP 150GM X 4WP"/>
    <n v="47"/>
    <n v="47"/>
    <n v="47"/>
    <x v="0"/>
    <n v="5250"/>
    <n v="39664.868233284593"/>
    <n v="7150.8424999999997"/>
    <n v="5468.3885000000009"/>
    <n v="55491.578473252557"/>
    <n v="18.642488069643758"/>
    <n v="3.3608959749999996"/>
    <n v="2.5701425950000005"/>
    <n v="5.9310385700000001"/>
    <x v="1"/>
  </r>
  <r>
    <x v="7"/>
    <x v="4"/>
    <n v="1600924"/>
    <s v="JO LIME SOAP 80GM WP"/>
    <n v="45"/>
    <n v="45"/>
    <n v="45"/>
    <x v="0"/>
    <n v="5250"/>
    <n v="39664.868233284593"/>
    <n v="7150.8424999999997"/>
    <n v="5703.3971999999994"/>
    <n v="55726.587173252556"/>
    <n v="17.849190704978067"/>
    <n v="3.2178791249999996"/>
    <n v="2.5665287399999999"/>
    <n v="5.7844078649999995"/>
    <x v="1"/>
  </r>
  <r>
    <x v="7"/>
    <x v="4"/>
    <n v="1600934"/>
    <s v="JO NEEM&amp;TULSI SOAP 55GMX3WP+2 JO55G FREE"/>
    <n v="25"/>
    <n v="25"/>
    <n v="25"/>
    <x v="0"/>
    <n v="5250"/>
    <n v="39982.416089698076"/>
    <n v="8017.9224999999988"/>
    <n v="6376.6502"/>
    <n v="57532.267232852457"/>
    <n v="9.9956040224245193"/>
    <n v="2.0044806249999998"/>
    <n v="1.5941625500000001"/>
    <n v="3.5986431749999999"/>
    <x v="1"/>
  </r>
  <r>
    <x v="7"/>
    <x v="4"/>
    <n v="1600939"/>
    <s v="JO NEEM&amp;TULSI SOAP 100GMX8 WP"/>
    <n v="3"/>
    <n v="3"/>
    <n v="3"/>
    <x v="0"/>
    <n v="5250"/>
    <n v="39982.416089698076"/>
    <n v="8017.9224999999988"/>
    <n v="9164.1308000000008"/>
    <n v="60319.747832852459"/>
    <n v="1.1994724826909422"/>
    <n v="0.24053767499999995"/>
    <n v="0.27492392400000004"/>
    <n v="0.51546159899999999"/>
    <x v="1"/>
  </r>
  <r>
    <x v="7"/>
    <x v="4"/>
    <n v="1601083"/>
    <s v="JO NEEM &amp; TULSI SOAP 100GM X 3+2 WP FREE"/>
    <n v="22"/>
    <n v="22"/>
    <n v="22"/>
    <x v="0"/>
    <n v="5250"/>
    <n v="37031.414711934449"/>
    <n v="8352.8057799999988"/>
    <n v="6459.5489200000002"/>
    <n v="56974.476113402314"/>
    <n v="8.1469112366255789"/>
    <n v="1.8376172715999999"/>
    <n v="1.4211007624000001"/>
    <n v="3.2587180340000002"/>
    <x v="1"/>
  </r>
  <r>
    <x v="7"/>
    <x v="4"/>
    <n v="1601006"/>
    <s v="JO ALMOND MINI SOAP 30GM WP"/>
    <n v="80"/>
    <n v="80"/>
    <n v="80"/>
    <x v="0"/>
    <n v="5250"/>
    <n v="34657.728141811342"/>
    <n v="12466.7855"/>
    <n v="8817.3902999999991"/>
    <n v="58869.872476390279"/>
    <n v="27.726182513449071"/>
    <n v="9.9734283999999995"/>
    <n v="7.0539122399999989"/>
    <n v="17.027340639999998"/>
    <x v="1"/>
  </r>
  <r>
    <x v="7"/>
    <x v="4"/>
    <n v="1600768"/>
    <s v="JO ALMND&amp;CR SOAP 55GMX3WP+2 JO55GM FREE"/>
    <n v="20"/>
    <n v="20"/>
    <n v="20"/>
    <x v="0"/>
    <n v="5250"/>
    <n v="37513.808053094799"/>
    <n v="11010.993329999999"/>
    <n v="6218.9601999999995"/>
    <n v="57781.4863539668"/>
    <n v="7.5027616106189603"/>
    <n v="2.2021986659999997"/>
    <n v="1.24379204"/>
    <n v="3.4459907059999999"/>
    <x v="1"/>
  </r>
  <r>
    <x v="7"/>
    <x v="4"/>
    <n v="1600492"/>
    <s v="JO ALMOND&amp;CREAM SOAP 100GMX8 WP"/>
    <n v="8"/>
    <n v="8"/>
    <n v="8"/>
    <x v="0"/>
    <n v="5250"/>
    <n v="37513.808053094799"/>
    <n v="11000.355830000002"/>
    <n v="9201.130799999999"/>
    <n v="60675.758843264943"/>
    <n v="3.0011046442475839"/>
    <n v="0.88002846640000021"/>
    <n v="0.73609046399999989"/>
    <n v="1.6161189304000001"/>
    <x v="1"/>
  </r>
  <r>
    <x v="7"/>
    <x v="4"/>
    <n v="1600972"/>
    <s v="JO ALMND&amp;CR SOAP 100GM X 3+2 WP FREE"/>
    <n v="55"/>
    <n v="55"/>
    <n v="55"/>
    <x v="0"/>
    <n v="5250"/>
    <n v="37513.808053094799"/>
    <n v="11010.993330000001"/>
    <n v="5786.1561000000002"/>
    <n v="57348.682253966806"/>
    <n v="20.63259442920214"/>
    <n v="6.0560463315000002"/>
    <n v="3.1823858549999997"/>
    <n v="9.238432186499999"/>
    <x v="1"/>
  </r>
  <r>
    <x v="7"/>
    <x v="4"/>
    <n v="1600866"/>
    <s v="JO ALMND&amp;CR SOAP 125GM x 4WP"/>
    <n v="84"/>
    <n v="84"/>
    <n v="84"/>
    <x v="0"/>
    <n v="5250"/>
    <n v="37513.808053094799"/>
    <n v="11010.993329999999"/>
    <n v="5595.1198999999997"/>
    <n v="57157.646053966797"/>
    <n v="31.511598764599633"/>
    <n v="9.2492343971999986"/>
    <n v="4.6999007159999993"/>
    <n v="13.949135113199997"/>
    <x v="1"/>
  </r>
  <r>
    <x v="7"/>
    <x v="4"/>
    <n v="1600927"/>
    <s v="JO ALMND&amp;CR SOAP 150GM X 4WP"/>
    <n v="58"/>
    <n v="58"/>
    <n v="58"/>
    <x v="0"/>
    <n v="5250"/>
    <n v="35027.4511301639"/>
    <n v="11021.024580000001"/>
    <n v="5478.5725000000002"/>
    <n v="56467.698878696494"/>
    <n v="20.31592165549506"/>
    <n v="6.3921942564000007"/>
    <n v="3.1775720500000002"/>
    <n v="9.5697663064000018"/>
    <x v="1"/>
  </r>
  <r>
    <x v="7"/>
    <x v="4"/>
    <n v="1600925"/>
    <s v="JO ALMND&amp;CR SOAP 80GM WP"/>
    <n v="46"/>
    <n v="35"/>
    <n v="46"/>
    <x v="0"/>
    <n v="5250"/>
    <n v="35027.4511301639"/>
    <n v="11021.024580000001"/>
    <n v="6287.1519000000008"/>
    <n v="57188.684930465279"/>
    <n v="12.259607895557366"/>
    <n v="3.8573586030000007"/>
    <n v="2.8920898740000003"/>
    <n v="6.7494484770000014"/>
    <x v="1"/>
  </r>
  <r>
    <x v="7"/>
    <x v="4"/>
    <n v="1600770"/>
    <s v="JO SANDAL SOAP 55GMX3WP+2 JO55GM FREE"/>
    <n v="15"/>
    <n v="15"/>
    <n v="15"/>
    <x v="0"/>
    <n v="5250"/>
    <n v="40223.121646010943"/>
    <n v="6860.0286000000006"/>
    <n v="6262.6252000000004"/>
    <n v="56597.310176648636"/>
    <n v="6.0334682469016414"/>
    <n v="1.02900429"/>
    <n v="0.93939378000000007"/>
    <n v="1.9683980700000001"/>
    <x v="1"/>
  </r>
  <r>
    <x v="7"/>
    <x v="4"/>
    <n v="1600062"/>
    <s v="JO SANDAL SOAP 60GMX5 WP"/>
    <n v="10"/>
    <n v="10"/>
    <n v="10"/>
    <x v="0"/>
    <n v="5250"/>
    <n v="40223.121646010943"/>
    <n v="6860.0286000000006"/>
    <n v="6950.6201000000001"/>
    <n v="57208.044465946776"/>
    <n v="4.0223121646010949"/>
    <n v="0.6860028600000001"/>
    <n v="0.69506201000000001"/>
    <n v="1.3810648700000001"/>
    <x v="1"/>
  </r>
  <r>
    <x v="7"/>
    <x v="4"/>
    <n v="1600974"/>
    <s v="JO SANDAL SOAP 100GM X 3+2 WP FREE"/>
    <n v="30"/>
    <n v="30"/>
    <n v="30"/>
    <x v="0"/>
    <n v="5250"/>
    <n v="40103.555201795272"/>
    <n v="7509.263280000001"/>
    <n v="5806.1511"/>
    <n v="56661.068528884723"/>
    <n v="12.031066560538582"/>
    <n v="2.2527789840000003"/>
    <n v="1.7418453299999999"/>
    <n v="3.9946243140000002"/>
    <x v="1"/>
  </r>
  <r>
    <x v="7"/>
    <x v="4"/>
    <n v="1601108"/>
    <s v="JO SANDAL 125X4"/>
    <n v="12"/>
    <n v="12"/>
    <n v="12"/>
    <x v="0"/>
    <n v="5250"/>
    <n v="40223.121646010943"/>
    <n v="6860.0286000000006"/>
    <n v="5664.6175135211533"/>
    <n v="54283.339954048752"/>
    <n v="4.8267745975213128"/>
    <n v="0.82320343200000001"/>
    <n v="0.67975410162253846"/>
    <n v="1.5029575336225385"/>
    <x v="1"/>
  </r>
  <r>
    <x v="7"/>
    <x v="4"/>
    <n v="1600804"/>
    <s v="JO PEACH&amp;CR SOAP 55GMX3WP+2 JO55GM FREE"/>
    <n v="35"/>
    <n v="35"/>
    <n v="35"/>
    <x v="0"/>
    <n v="5250"/>
    <n v="40526.864973242053"/>
    <n v="12494.626329999999"/>
    <n v="6508.6735999999992"/>
    <n v="62805.670040533369"/>
    <n v="14.18440274063472"/>
    <n v="4.3731192155"/>
    <n v="2.2780357599999999"/>
    <n v="6.6511549754999999"/>
    <x v="1"/>
  </r>
  <r>
    <x v="7"/>
    <x v="4"/>
    <n v="1600975"/>
    <s v="JO PEACH&amp;CREAM SOAP 100GM X 3+2 WP FREE"/>
    <n v="19"/>
    <n v="19"/>
    <n v="19"/>
    <x v="0"/>
    <n v="5250"/>
    <n v="37840.807318196996"/>
    <n v="12495.015579999999"/>
    <n v="5728.8367999999991"/>
    <n v="61395.101185142616"/>
    <n v="7.1897533904574287"/>
    <n v="2.3740529601999998"/>
    <n v="1.0884789919999998"/>
    <n v="3.4625319521999995"/>
    <x v="1"/>
  </r>
  <r>
    <x v="7"/>
    <x v="4"/>
    <n v="1600928"/>
    <s v="JO PEACH&amp;CREAM SOAP 150GM x 4WP"/>
    <n v="46"/>
    <n v="46"/>
    <n v="46"/>
    <x v="0"/>
    <n v="5250"/>
    <n v="34449.540811889055"/>
    <n v="13278.602280000001"/>
    <n v="5478.5725000000002"/>
    <n v="57979.703372155702"/>
    <n v="15.846788773468965"/>
    <n v="6.1081570488000008"/>
    <n v="2.5201433500000001"/>
    <n v="8.6283003988000004"/>
    <x v="1"/>
  </r>
  <r>
    <x v="7"/>
    <x v="4"/>
    <n v="1600868"/>
    <s v="JO PEACH&amp;CREAM SOAP 125GM x 4WP"/>
    <n v="35"/>
    <n v="35"/>
    <n v="35"/>
    <x v="0"/>
    <n v="5250"/>
    <n v="40526.864973242053"/>
    <n v="12494.626329999999"/>
    <n v="6508.6735999999992"/>
    <n v="62805.670040533369"/>
    <n v="14.18440274063472"/>
    <n v="4.3731192155"/>
    <n v="2.2780357599999999"/>
    <n v="6.6511549754999999"/>
    <x v="1"/>
  </r>
  <r>
    <x v="7"/>
    <x v="4"/>
    <n v="1601078"/>
    <s v="JO COCONUT&amp;OLIVE SOAP 100GM X 3+2WP FREE"/>
    <n v="35"/>
    <n v="35"/>
    <n v="35"/>
    <x v="0"/>
    <n v="5250"/>
    <n v="39661.242360113269"/>
    <n v="9362.7790000000005"/>
    <n v="5237.8589000000002"/>
    <n v="57469.073358307585"/>
    <n v="13.881434826039644"/>
    <n v="3.2769726500000003"/>
    <n v="1.8332506150000001"/>
    <n v="5.1102232650000001"/>
    <x v="1"/>
  </r>
  <r>
    <x v="7"/>
    <x v="4"/>
    <n v="1601076"/>
    <s v="JO COCONUT&amp;OLIVE SOAP 125GM X 4WP"/>
    <n v="36"/>
    <n v="36"/>
    <n v="36"/>
    <x v="0"/>
    <n v="5250"/>
    <n v="39661.242360113269"/>
    <n v="9362.7790000000005"/>
    <n v="5237.8589000000002"/>
    <n v="57469.073358307585"/>
    <n v="14.278047249640776"/>
    <n v="3.37060044"/>
    <n v="1.885629204"/>
    <n v="5.2562296440000003"/>
    <x v="1"/>
  </r>
  <r>
    <x v="7"/>
    <x v="4"/>
    <n v="1601123"/>
    <s v="JO ROSE&amp;CREAM SOAP 100GM X 3+2WP FREE"/>
    <n v="31"/>
    <n v="31"/>
    <n v="31"/>
    <x v="0"/>
    <n v="5250"/>
    <n v="37217.185416549532"/>
    <n v="12346.901"/>
    <n v="5645.5001000000011"/>
    <n v="58224.459337672874"/>
    <n v="11.537327479130356"/>
    <n v="3.8275393099999997"/>
    <n v="1.7501050310000004"/>
    <n v="5.5776443410000001"/>
    <x v="1"/>
  </r>
  <r>
    <x v="7"/>
    <x v="4"/>
    <n v="1601124"/>
    <s v="JO ROSE&amp;CREAM SOAP 125GM X 4WP"/>
    <n v="26"/>
    <n v="26"/>
    <n v="26"/>
    <x v="0"/>
    <n v="5250"/>
    <n v="37217.185416549532"/>
    <n v="12346.901"/>
    <n v="5262.5159999999996"/>
    <n v="57849.494487342468"/>
    <n v="9.6764682083028788"/>
    <n v="3.2101942599999997"/>
    <n v="1.36825416"/>
    <n v="4.57844842"/>
    <x v="1"/>
  </r>
  <r>
    <x v="7"/>
    <x v="4"/>
    <n v="1600826"/>
    <s v="DOY CARE MILK CRÈAM SOAP 50 GM CT"/>
    <n v="9"/>
    <n v="5"/>
    <n v="9"/>
    <x v="0"/>
    <n v="5250"/>
    <n v="52261.305536359825"/>
    <n v="11569.496499999999"/>
    <n v="21728.495200000001"/>
    <n v="90808.634443525647"/>
    <n v="2.6130652768179914"/>
    <n v="0.57847482500000003"/>
    <n v="1.9555645680000002"/>
    <n v="2.5340393930000005"/>
    <x v="1"/>
  </r>
  <r>
    <x v="7"/>
    <x v="4"/>
    <n v="1600831"/>
    <s v="DOY CARE MILK CRÈAM SOAP 125GMX4MULTI-CT (MRP-110) For Dmart&amp;GT"/>
    <n v="10"/>
    <n v="0"/>
    <n v="10"/>
    <x v="0"/>
    <n v="5250"/>
    <n v="57418.2"/>
    <n v="10870.753612500001"/>
    <n v="14520.557812485386"/>
    <n v="92315.069111617631"/>
    <n v="0"/>
    <n v="0"/>
    <n v="1.4520557812485384"/>
    <n v="1.4520557812485384"/>
    <x v="1"/>
  </r>
  <r>
    <x v="7"/>
    <x v="4"/>
    <n v="1600478"/>
    <s v="DOY CARE ALOEVERA SOAP 50GM CT"/>
    <n v="12"/>
    <n v="47"/>
    <n v="12"/>
    <x v="0"/>
    <n v="5250"/>
    <n v="52261.305536359825"/>
    <n v="11569.496499999999"/>
    <n v="21728.495200000001"/>
    <n v="90808.634443525647"/>
    <n v="24.562813602089118"/>
    <n v="5.4376633549999989"/>
    <n v="2.6074194240000002"/>
    <n v="8.0450827789999995"/>
    <x v="1"/>
  </r>
  <r>
    <x v="7"/>
    <x v="4"/>
    <n v="1600085"/>
    <s v="DOY CARE ALOEVERA SOAP 75GMX4 CT"/>
    <n v="5"/>
    <n v="0"/>
    <n v="5"/>
    <x v="0"/>
    <n v="5250"/>
    <n v="52261.305536359825"/>
    <n v="11569.496499999999"/>
    <n v="20464.098700000002"/>
    <n v="89544.237943525644"/>
    <n v="0"/>
    <n v="0"/>
    <n v="1.0232049350000001"/>
    <n v="1.0232049350000001"/>
    <x v="1"/>
  </r>
  <r>
    <x v="7"/>
    <x v="4"/>
    <n v="1600088"/>
    <s v="DOY CARE ALOEVERA SOAP 125GM CT"/>
    <n v="5"/>
    <n v="0"/>
    <n v="5"/>
    <x v="0"/>
    <n v="5250"/>
    <n v="52261.305536359825"/>
    <n v="11569.496499999999"/>
    <n v="14516.813600000001"/>
    <n v="83596.952843525651"/>
    <n v="0"/>
    <n v="0"/>
    <n v="0.72584068000000002"/>
    <n v="0.72584068000000002"/>
    <x v="1"/>
  </r>
  <r>
    <x v="7"/>
    <x v="4"/>
    <n v="1600715"/>
    <s v="DOY CARE ALOEVERA SOAP 125GMx4 MULTI-CT (MRP-110)"/>
    <n v="25"/>
    <n v="0"/>
    <n v="25"/>
    <x v="0"/>
    <n v="5250"/>
    <n v="52261.305536359825"/>
    <n v="11569.496499999999"/>
    <n v="24968.500000000004"/>
    <n v="94048.639243525642"/>
    <n v="0"/>
    <n v="0"/>
    <n v="6.2421250000000015"/>
    <n v="6.2421250000000015"/>
    <x v="1"/>
  </r>
  <r>
    <x v="7"/>
    <x v="4"/>
    <n v="1600836"/>
    <s v="DOY CARE CUCUMBER SOAP 125GMX4 MULTI-CT"/>
    <n v="11"/>
    <n v="11"/>
    <n v="11"/>
    <x v="0"/>
    <n v="5250"/>
    <n v="40420.280926959873"/>
    <n v="10242.58"/>
    <n v="17283.869000000002"/>
    <n v="73802.836658854198"/>
    <n v="4.4462309019655866"/>
    <n v="1.1266838000000001"/>
    <n v="1.9012255900000004"/>
    <n v="3.0279093900000005"/>
    <x v="1"/>
  </r>
  <r>
    <x v="7"/>
    <x v="4"/>
    <n v="1600106"/>
    <s v="BACTERSHIELD ANTI-BACT SOAP 34GM WP"/>
    <n v="13"/>
    <n v="45"/>
    <n v="13"/>
    <x v="0"/>
    <n v="5250"/>
    <n v="33856.044671955635"/>
    <n v="13981.930000000002"/>
    <n v="8242.0239999999994"/>
    <n v="58829.065000557021"/>
    <n v="15.235220102380035"/>
    <n v="6.2918685000000005"/>
    <n v="1.07146312"/>
    <n v="7.3633316200000003"/>
    <x v="1"/>
  </r>
  <r>
    <x v="7"/>
    <x v="4"/>
    <n v="1600578"/>
    <s v="BACTERSHIELD ANTI-BACT SOAP 60+10GM WP"/>
    <n v="16"/>
    <n v="0"/>
    <n v="16"/>
    <x v="0"/>
    <n v="5250"/>
    <n v="33856.044671955635"/>
    <n v="13981.930000000002"/>
    <n v="5985.2602000000006"/>
    <n v="56572.30120055702"/>
    <n v="0"/>
    <n v="0"/>
    <n v="0.95764163200000008"/>
    <n v="0.95764163200000008"/>
    <x v="1"/>
  </r>
  <r>
    <x v="7"/>
    <x v="4"/>
    <n v="1600110"/>
    <s v="BACTERSHIELD ANTI-BACT SOAP 125GMX4 WP"/>
    <n v="16"/>
    <n v="0"/>
    <n v="16"/>
    <x v="0"/>
    <n v="5250"/>
    <n v="33856.044671955635"/>
    <n v="13981.930000000002"/>
    <n v="5145.5439999999999"/>
    <n v="55655.324389855166"/>
    <n v="0"/>
    <n v="0"/>
    <n v="0.82328703999999997"/>
    <n v="0.82328703999999997"/>
    <x v="1"/>
  </r>
  <r>
    <x v="7"/>
    <x v="4"/>
    <n v="1600819"/>
    <s v="BACTERSHIELD NATURALS SOAP 34GM WP"/>
    <n v="8"/>
    <n v="8"/>
    <n v="8"/>
    <x v="0"/>
    <n v="5250"/>
    <n v="31550.933878147702"/>
    <n v="15609.581199999997"/>
    <n v="8242.0239999999994"/>
    <n v="59773.924539530344"/>
    <n v="2.5240747102518162"/>
    <n v="1.2487664959999998"/>
    <n v="0.65936191999999993"/>
    <n v="1.9081284159999998"/>
    <x v="1"/>
  </r>
  <r>
    <x v="7"/>
    <x v="4"/>
    <n v="1601103"/>
    <s v="BACTERSHIELD ULTRA FRESH SOAP 60 WP"/>
    <n v="10"/>
    <n v="20"/>
    <n v="10"/>
    <x v="0"/>
    <n v="5250"/>
    <n v="36093.522900231073"/>
    <n v="8100.6099999999988"/>
    <n v="5939.9520000000002"/>
    <n v="56044.036993488218"/>
    <n v="7.2187045800462144"/>
    <n v="1.6201219999999998"/>
    <n v="0.59399520000000006"/>
    <n v="2.2141172"/>
    <x v="1"/>
  </r>
  <r>
    <x v="7"/>
    <x v="4"/>
    <n v="1601058"/>
    <s v="BACTERSHIELD ULTRA FRESH SOAP 125GMX4 WP"/>
    <n v="10"/>
    <n v="0"/>
    <n v="10"/>
    <x v="0"/>
    <n v="5250"/>
    <n v="36093.522900231073"/>
    <n v="8100.6099999999988"/>
    <n v="5270.5889999999999"/>
    <n v="55374.673993488221"/>
    <n v="0"/>
    <n v="0"/>
    <n v="0.5270589"/>
    <n v="0.5270589"/>
    <x v="1"/>
  </r>
  <r>
    <x v="7"/>
    <x v="4"/>
    <n v="1600896"/>
    <s v="DOY CLEAR&amp;NATURAL TRANP SOAP 125GMX3MC"/>
    <n v="4"/>
    <n v="4"/>
    <n v="4"/>
    <x v="0"/>
    <m/>
    <n v="0"/>
    <n v="88041.733400000012"/>
    <n v="31024.468099999998"/>
    <n v="119066.20150000001"/>
    <n v="0"/>
    <n v="3.5216693360000004"/>
    <n v="1.2409787239999999"/>
    <n v="4.7626480600000001"/>
    <x v="1"/>
  </r>
  <r>
    <x v="7"/>
    <x v="4"/>
    <n v="1600895"/>
    <s v="DOY GENTEL&amp;MOISTURIZING TRAN SOAP125X3G"/>
    <n v="2"/>
    <n v="2"/>
    <n v="2"/>
    <x v="0"/>
    <m/>
    <n v="0"/>
    <n v="85612.642580000014"/>
    <n v="30997.801500000001"/>
    <n v="116610.44408000002"/>
    <n v="0"/>
    <n v="1.7122528516000002"/>
    <n v="0.61995602999999999"/>
    <n v="2.3322088816000002"/>
    <x v="1"/>
  </r>
  <r>
    <x v="7"/>
    <x v="2"/>
    <n v="1601207"/>
    <s v="JOHNSON BABY POWDER 100G BT CRANBY 1PC"/>
    <n v="141"/>
    <n v="141"/>
    <n v="141"/>
    <x v="0"/>
    <m/>
    <n v="0"/>
    <n v="19540.188479999997"/>
    <n v="52210.154999999999"/>
    <n v="83800.620235464434"/>
    <n v="0"/>
    <n v="27.551665756799999"/>
    <n v="73.616318549999988"/>
    <n v="101.16798430679998"/>
    <x v="1"/>
  </r>
  <r>
    <x v="7"/>
    <x v="2"/>
    <n v="1600993"/>
    <s v="JOHNSON BABY POWDER 400G BT CRANBY"/>
    <n v="54"/>
    <n v="54"/>
    <n v="54"/>
    <x v="0"/>
    <m/>
    <n v="0"/>
    <n v="19540.188479999997"/>
    <n v="25634.632699999998"/>
    <n v="49836.770993463084"/>
    <n v="0"/>
    <n v="10.5517017792"/>
    <n v="13.842701657999999"/>
    <n v="24.394403437199998"/>
    <x v="1"/>
  </r>
  <r>
    <x v="7"/>
    <x v="10"/>
    <n v="1600520"/>
    <s v="DETTOL HAND SANITIZER 50ML"/>
    <n v="64000"/>
    <n v="64000"/>
    <n v="64000"/>
    <x v="0"/>
    <m/>
    <n v="0"/>
    <n v="3.5726064069975365"/>
    <n v="4.0343681802182321"/>
    <n v="10.300137212282552"/>
    <n v="0"/>
    <n v="2.2864681004784231"/>
    <n v="2.5819956353396685"/>
    <n v="4.8684637358180911"/>
    <x v="1"/>
  </r>
  <r>
    <x v="7"/>
    <x v="10"/>
    <n v="1600521"/>
    <s v="DETTOL HAND SANITIZER 200ML"/>
    <n v="14000"/>
    <n v="14000"/>
    <n v="14000"/>
    <x v="0"/>
    <m/>
    <n v="0"/>
    <n v="14.300420500000001"/>
    <n v="18.226042253521126"/>
    <n v="36.706599447706637"/>
    <n v="0"/>
    <n v="2.0020588700000004"/>
    <n v="2.5516459154929576"/>
    <n v="4.5537047854929575"/>
    <x v="1"/>
  </r>
  <r>
    <x v="8"/>
    <x v="5"/>
    <n v="1600548"/>
    <s v="TETMOSOL SOAP 100g WP"/>
    <n v="44"/>
    <n v="0"/>
    <n v="44"/>
    <x v="0"/>
    <n v="5250"/>
    <n v="40453.078787736828"/>
    <n v="51819.707500000004"/>
    <n v="15202.371100000002"/>
    <n v="119315.71604420702"/>
    <n v="0"/>
    <n v="0"/>
    <n v="6.6890432840000011"/>
    <n v="6.6890432840000011"/>
    <x v="1"/>
  </r>
  <r>
    <x v="8"/>
    <x v="3"/>
    <n v="1600752"/>
    <s v="NIVEA CREME SOFT SOAP 75GX4 CT NEW"/>
    <n v="14"/>
    <n v="14"/>
    <n v="14"/>
    <x v="0"/>
    <n v="5250"/>
    <n v="57635.021231841689"/>
    <n v="21605.039000000001"/>
    <n v="27223.806099999998"/>
    <n v="118517.62524142327"/>
    <n v="8.0689029724578365"/>
    <n v="3.0247054600000003"/>
    <n v="3.8113328539999998"/>
    <n v="6.8360383139999996"/>
    <x v="1"/>
  </r>
  <r>
    <x v="8"/>
    <x v="3"/>
    <n v="1600756"/>
    <s v="NIVEA CREME SOFT SOAP 125GX2CTNEW"/>
    <n v="2"/>
    <n v="2"/>
    <n v="2"/>
    <x v="0"/>
    <n v="5250"/>
    <n v="57635.021231841689"/>
    <n v="21605.039000000001"/>
    <n v="23845.185099999999"/>
    <n v="113283.5768439324"/>
    <n v="1.1527004246368338"/>
    <n v="0.43210078000000002"/>
    <n v="0.47690370199999998"/>
    <n v="0.90900448200000006"/>
    <x v="1"/>
  </r>
  <r>
    <x v="8"/>
    <x v="3"/>
    <s v="NIVEA CREME SOFT SOAP 125GX3CTNEW"/>
    <s v="NIVEA CREME SOFT SOAP 125GX3CTNEW"/>
    <n v="3.75"/>
    <n v="3.75"/>
    <n v="3.75"/>
    <x v="0"/>
    <n v="5250"/>
    <n v="57107.40209175479"/>
    <n v="24775.323899999996"/>
    <n v="37483.908300000003"/>
    <n v="121477.30134978876"/>
    <n v="2.1415275784408045"/>
    <n v="0.9290746462499998"/>
    <n v="1.40564656125"/>
    <n v="2.3347212074999999"/>
    <x v="1"/>
  </r>
  <r>
    <x v="8"/>
    <x v="3"/>
    <n v="1600757"/>
    <s v="NIVEA CREME SOFT SOAP 125GX4CTNEW"/>
    <n v="3"/>
    <n v="3"/>
    <n v="3"/>
    <x v="0"/>
    <n v="5250"/>
    <n v="57635.021231841689"/>
    <n v="21605.039000000001"/>
    <n v="27223.806099999998"/>
    <n v="118517.62524142327"/>
    <n v="1.7290506369552505"/>
    <n v="0.64815117"/>
    <n v="0.81671418299999987"/>
    <n v="1.464865353"/>
    <x v="1"/>
  </r>
  <r>
    <x v="8"/>
    <x v="3"/>
    <n v="1601228"/>
    <s v="Crème Care Soap 125 - Pack of 4 (NEW)"/>
    <n v="7"/>
    <n v="7"/>
    <n v="7"/>
    <x v="0"/>
    <n v="5250"/>
    <n v="57107.40209175479"/>
    <n v="24775.323899999996"/>
    <n v="23918.167099999999"/>
    <n v="107798.58093579349"/>
    <n v="3.9975181464228355"/>
    <n v="1.7342726729999998"/>
    <n v="1.674271697"/>
    <n v="3.4085443699999995"/>
    <x v="1"/>
  </r>
  <r>
    <x v="8"/>
    <x v="3"/>
    <n v="1601224"/>
    <s v="Crème Care Soap 75 - Pack of 4 (NEW)"/>
    <n v="10.1"/>
    <n v="10"/>
    <n v="10"/>
    <x v="0"/>
    <n v="5250"/>
    <n v="57107.40209175479"/>
    <n v="24775.323899999996"/>
    <n v="31651.194250000004"/>
    <n v="115597.90429129016"/>
    <n v="5.7107402091754791"/>
    <n v="2.4775323899999995"/>
    <n v="3.1651194250000008"/>
    <n v="5.6426518150000007"/>
    <x v="1"/>
  </r>
  <r>
    <x v="8"/>
    <x v="11"/>
    <n v="1601132"/>
    <s v="Candid Soap 100gm"/>
    <n v="20"/>
    <n v="20"/>
    <n v="20"/>
    <x v="0"/>
    <n v="5250"/>
    <n v="50369.81123508537"/>
    <n v="41370.780400000003"/>
    <n v="31128.884300000005"/>
    <n v="137811.25219829337"/>
    <n v="10.073962247017073"/>
    <n v="8.2741560800000009"/>
    <n v="6.2257768600000007"/>
    <n v="14.499932940000001"/>
    <x v="1"/>
  </r>
  <r>
    <x v="8"/>
    <x v="4"/>
    <n v="1600488"/>
    <s v="JO LIME SOAP 100GMX8 WP"/>
    <n v="9"/>
    <n v="0"/>
    <n v="9"/>
    <x v="0"/>
    <n v="5250"/>
    <n v="39664.868233284593"/>
    <n v="7175.4224999999997"/>
    <n v="9126.6507999999994"/>
    <n v="59097.160162550703"/>
    <n v="0"/>
    <n v="0"/>
    <n v="0.82139857199999999"/>
    <n v="0.82139857199999999"/>
    <x v="1"/>
  </r>
  <r>
    <x v="8"/>
    <x v="4"/>
    <n v="1600939"/>
    <s v="JO NEEM&amp;TULSI SOAP 100GMX8 WP"/>
    <n v="3"/>
    <n v="3"/>
    <n v="3"/>
    <x v="0"/>
    <n v="5250"/>
    <n v="39982.416089698076"/>
    <n v="8017.9224999999988"/>
    <n v="9164.1308000000008"/>
    <n v="60319.747832852459"/>
    <n v="1.1994724826909422"/>
    <n v="0.24053767499999995"/>
    <n v="0.27492392400000004"/>
    <n v="0.51546159899999999"/>
    <x v="1"/>
  </r>
  <r>
    <x v="8"/>
    <x v="4"/>
    <n v="1600492"/>
    <s v="JO ALMOND&amp;CREAM SOAP 100GMX8 WP"/>
    <n v="8"/>
    <n v="8"/>
    <n v="8"/>
    <x v="0"/>
    <n v="5250"/>
    <n v="37513.808053094799"/>
    <n v="11000.355830000002"/>
    <n v="9201.130799999999"/>
    <n v="60675.758843264943"/>
    <n v="3.0011046442475839"/>
    <n v="0.88002846640000021"/>
    <n v="0.73609046399999989"/>
    <n v="1.6161189304000001"/>
    <x v="1"/>
  </r>
  <r>
    <x v="8"/>
    <x v="4"/>
    <n v="1600925"/>
    <s v="JO ALMND&amp;CR SOAP 80GM WP"/>
    <n v="46"/>
    <n v="46"/>
    <n v="46"/>
    <x v="0"/>
    <n v="5250"/>
    <n v="37513.808053094799"/>
    <n v="11000.355830000002"/>
    <n v="9201.130799999999"/>
    <n v="60675.758843264943"/>
    <n v="17.256351704423608"/>
    <n v="5.0601636818000006"/>
    <n v="4.2325201679999997"/>
    <n v="9.2926838497999995"/>
    <x v="1"/>
  </r>
  <r>
    <x v="8"/>
    <x v="4"/>
    <n v="1600920"/>
    <s v="JO PEACH&amp;CREAM SOAP 100GMX8 WP"/>
    <n v="6"/>
    <n v="6"/>
    <n v="6"/>
    <x v="0"/>
    <n v="5250"/>
    <n v="34449.540811889055"/>
    <n v="13278.602280000001"/>
    <n v="9196.8667999999998"/>
    <n v="61697.997672155696"/>
    <n v="2.0669724487133436"/>
    <n v="0.79671613680000009"/>
    <n v="0.55181200799999996"/>
    <n v="1.3485281447999999"/>
    <x v="1"/>
  </r>
  <r>
    <x v="8"/>
    <x v="4"/>
    <n v="1600868"/>
    <s v="JO PEACH&amp;CREAM SOAP 125GM x 4WP"/>
    <n v="34"/>
    <n v="34"/>
    <n v="34"/>
    <x v="0"/>
    <n v="5250"/>
    <n v="36894.87587127251"/>
    <n v="13265.367430000002"/>
    <n v="5577.7134000000005"/>
    <n v="58726.83741613006"/>
    <n v="12.544257796232653"/>
    <n v="4.5102249262000011"/>
    <n v="1.8964225560000003"/>
    <n v="6.4066474822000012"/>
    <x v="1"/>
  </r>
  <r>
    <x v="8"/>
    <x v="4"/>
    <n v="1600826"/>
    <s v="DOY CARE MILK CRÈAM SOAP 50 GM CT"/>
    <n v="4"/>
    <n v="4"/>
    <n v="4"/>
    <x v="0"/>
    <n v="5250"/>
    <n v="52261.305536359825"/>
    <n v="11569.496499999999"/>
    <n v="21728.495200000001"/>
    <n v="90808.634443525647"/>
    <n v="2.090452221454393"/>
    <n v="0.46277985999999999"/>
    <n v="0.86913980800000001"/>
    <n v="1.3319196680000001"/>
    <x v="1"/>
  </r>
  <r>
    <x v="8"/>
    <x v="4"/>
    <n v="1600831"/>
    <s v="DOY CARE MILK CRÈAM SOAP 125GMX4MULTI-CT (MRP-110) For Dmart&amp;GT"/>
    <n v="6"/>
    <n v="6"/>
    <n v="6"/>
    <x v="0"/>
    <n v="5250"/>
    <n v="57418.2"/>
    <n v="10870.753612500001"/>
    <n v="14520.557812485386"/>
    <n v="92315.069111617631"/>
    <n v="3.4450919999999994"/>
    <n v="0.65224521675000002"/>
    <n v="0.87123346874912311"/>
    <n v="1.5234786854991231"/>
    <x v="1"/>
  </r>
  <r>
    <x v="8"/>
    <x v="4"/>
    <n v="1600478"/>
    <s v="DOY CARE ALOEVERA SOAP 50GM CT"/>
    <n v="9"/>
    <n v="9"/>
    <n v="9"/>
    <x v="0"/>
    <n v="5250"/>
    <n v="52261.305536359825"/>
    <n v="11569.496499999999"/>
    <n v="21728.495200000001"/>
    <n v="90808.634443525647"/>
    <n v="4.703517498272384"/>
    <n v="1.041254685"/>
    <n v="1.9555645680000002"/>
    <n v="2.996819253"/>
    <x v="1"/>
  </r>
  <r>
    <x v="8"/>
    <x v="4"/>
    <n v="1600085"/>
    <s v="DOY CARE ALOEVERA SOAP 75GMX4 CT"/>
    <n v="5"/>
    <n v="5"/>
    <n v="5"/>
    <x v="0"/>
    <n v="5250"/>
    <n v="52261.305536359825"/>
    <n v="11569.496499999999"/>
    <n v="20464.098700000002"/>
    <n v="89544.237943525644"/>
    <n v="2.6130652768179914"/>
    <n v="0.57847482500000003"/>
    <n v="1.0232049350000001"/>
    <n v="1.6016797600000001"/>
    <x v="1"/>
  </r>
  <r>
    <x v="8"/>
    <x v="4"/>
    <n v="1600836"/>
    <s v="DOY CARE CUCUMBER SOAP 125GMX4 MULTI-CT"/>
    <n v="10"/>
    <n v="10"/>
    <n v="10"/>
    <x v="0"/>
    <n v="5250"/>
    <n v="40420.280926959873"/>
    <n v="10242.58"/>
    <n v="17283.869000000002"/>
    <n v="73802.836658854198"/>
    <n v="4.0420280926959871"/>
    <n v="1.0242580000000001"/>
    <n v="1.7283869000000003"/>
    <n v="2.7526449000000004"/>
    <x v="1"/>
  </r>
  <r>
    <x v="8"/>
    <x v="4"/>
    <n v="1600106"/>
    <s v="BACTERSHIELD ANTI-BACT SOAP 34GM WP"/>
    <n v="12"/>
    <n v="12"/>
    <n v="12"/>
    <x v="0"/>
    <n v="5250"/>
    <n v="33856.044671955635"/>
    <n v="13981.930000000002"/>
    <n v="8242.0239999999994"/>
    <n v="58829.065000557021"/>
    <n v="4.0627253606346763"/>
    <n v="1.6778316000000004"/>
    <n v="0.98904287999999996"/>
    <n v="2.6668744800000006"/>
    <x v="1"/>
  </r>
  <r>
    <x v="8"/>
    <x v="4"/>
    <n v="1601105"/>
    <s v="BACTERSHIELD ULTRA NATURALS SOAP 60 WP"/>
    <n v="8"/>
    <n v="8"/>
    <n v="8"/>
    <x v="0"/>
    <n v="5250"/>
    <n v="36165.826806761681"/>
    <n v="8874.6332000000002"/>
    <n v="6001.3220000000001"/>
    <n v="57051.166487208153"/>
    <n v="2.8932661445409344"/>
    <n v="0.70997065599999998"/>
    <n v="0.48010575999999999"/>
    <n v="1.1900764159999999"/>
    <x v="1"/>
  </r>
  <r>
    <x v="8"/>
    <x v="4"/>
    <n v="1601103"/>
    <s v="BACTERSHIELD ULTRA FRESH SOAP 60 WP"/>
    <n v="10"/>
    <n v="10"/>
    <n v="10"/>
    <x v="0"/>
    <n v="5250"/>
    <n v="36093.522900231073"/>
    <n v="8100.6099999999988"/>
    <n v="5939.9520000000002"/>
    <n v="56044.036993488218"/>
    <n v="3.6093522900231072"/>
    <n v="0.81006099999999992"/>
    <n v="0.59399520000000006"/>
    <n v="1.4040561999999999"/>
    <x v="1"/>
  </r>
  <r>
    <x v="8"/>
    <x v="4"/>
    <n v="1601102"/>
    <s v="BACTERSHIELD ULTRA BALANCE SOAP 60 WP"/>
    <n v="8"/>
    <n v="8"/>
    <n v="8"/>
    <x v="0"/>
    <n v="5250"/>
    <n v="36080.016383681184"/>
    <n v="11301.4406"/>
    <n v="5956.1020000000008"/>
    <n v="59332.892868653507"/>
    <n v="2.8864013106944948"/>
    <n v="0.90411524799999998"/>
    <n v="0.47648816000000005"/>
    <n v="1.380603408"/>
    <x v="1"/>
  </r>
  <r>
    <x v="8"/>
    <x v="4"/>
    <n v="1601059"/>
    <s v="BACTERSHIELD ULTRA NATURALS SOAP125GX4WP"/>
    <n v="10"/>
    <n v="10"/>
    <n v="10"/>
    <x v="0"/>
    <n v="5250"/>
    <n v="36165.826806761681"/>
    <n v="8874.6332000000002"/>
    <n v="5224.0439999999999"/>
    <n v="56186.295138976944"/>
    <n v="3.6165826806761681"/>
    <n v="0.88746331999999994"/>
    <n v="0.52240439999999999"/>
    <n v="1.4098677199999998"/>
    <x v="1"/>
  </r>
  <r>
    <x v="8"/>
    <x v="4"/>
    <n v="1601058"/>
    <s v="BACTERSHIELD ULTRA FRESH SOAP 125GMX4 WP"/>
    <n v="20"/>
    <n v="20"/>
    <n v="20"/>
    <x v="0"/>
    <n v="5250"/>
    <n v="36093.522900231073"/>
    <n v="8100.6099999999988"/>
    <n v="5270.5889999999999"/>
    <n v="55374.673993488221"/>
    <n v="7.2187045800462144"/>
    <n v="1.6201219999999998"/>
    <n v="1.0541178"/>
    <n v="2.6742397999999996"/>
    <x v="1"/>
  </r>
  <r>
    <x v="8"/>
    <x v="4"/>
    <n v="1601057"/>
    <s v="BACTERSHIELD ULTRA BALANCE SOAP 125GX4WP"/>
    <n v="10"/>
    <n v="10"/>
    <n v="10"/>
    <x v="0"/>
    <n v="5250"/>
    <n v="36080.016383681184"/>
    <n v="11301.4406"/>
    <n v="5230.2790000000005"/>
    <n v="58607.069868653511"/>
    <n v="3.6080016383681186"/>
    <n v="1.1301440600000001"/>
    <n v="0.5230279000000001"/>
    <n v="1.6531719600000003"/>
    <x v="1"/>
  </r>
  <r>
    <x v="8"/>
    <x v="4"/>
    <n v="1600892"/>
    <s v="DOY PURE&amp;MILD TRANSPARENT SOAP 125GMX3MC"/>
    <n v="5"/>
    <n v="5"/>
    <n v="5"/>
    <x v="0"/>
    <m/>
    <n v="0"/>
    <n v="86011.890172600004"/>
    <n v="31278.8675"/>
    <n v="117368.01828330188"/>
    <n v="0"/>
    <n v="4.3005945086299997"/>
    <n v="1.563943375"/>
    <n v="5.8645378836299997"/>
    <x v="1"/>
  </r>
  <r>
    <x v="8"/>
    <x v="4"/>
    <n v="1600894"/>
    <s v="DOY CLEAR&amp;NATURAL TRANP SOAP 75GM CT"/>
    <n v="1"/>
    <n v="1"/>
    <n v="1"/>
    <x v="0"/>
    <m/>
    <n v="0"/>
    <n v="88041.733400000012"/>
    <n v="25664.6201"/>
    <n v="113783.61411070188"/>
    <n v="0"/>
    <n v="0.88041733400000011"/>
    <n v="0.25664620100000002"/>
    <n v="1.1370635350000002"/>
    <x v="1"/>
  </r>
  <r>
    <x v="8"/>
    <x v="4"/>
    <n v="1600896"/>
    <s v="DOY CLEAR&amp;NATURAL TRANP SOAP 125GMX3MC"/>
    <n v="5"/>
    <n v="5"/>
    <n v="5"/>
    <x v="0"/>
    <m/>
    <n v="0"/>
    <n v="88041.733400000012"/>
    <n v="31024.468099999998"/>
    <n v="119066.20150000001"/>
    <n v="0"/>
    <n v="4.402086670000001"/>
    <n v="1.551223405"/>
    <n v="5.953310075000001"/>
    <x v="1"/>
  </r>
  <r>
    <x v="8"/>
    <x v="2"/>
    <n v="1601207"/>
    <s v="JOHNSON BABY POWDER 100G BT CRANBY 1PC"/>
    <n v="36"/>
    <n v="57"/>
    <n v="57"/>
    <x v="0"/>
    <m/>
    <n v="0"/>
    <n v="19540.188479999997"/>
    <n v="52210.154999999999"/>
    <n v="83800.620235464434"/>
    <n v="0"/>
    <n v="11.137907433599997"/>
    <n v="29.759788350000001"/>
    <n v="40.8976957836"/>
    <x v="1"/>
  </r>
  <r>
    <x v="8"/>
    <x v="10"/>
    <n v="1600520"/>
    <s v="DETTOL HAND SANITIZER 50ML"/>
    <n v="62000"/>
    <n v="62000"/>
    <n v="62000"/>
    <x v="0"/>
    <m/>
    <n v="0"/>
    <n v="3.5726064069975365"/>
    <n v="4.0343681802182321"/>
    <n v="10.300137212282552"/>
    <n v="0"/>
    <n v="2.2150159723384726"/>
    <n v="2.5013082717353039"/>
    <n v="4.7163242440737765"/>
    <x v="1"/>
  </r>
  <r>
    <x v="8"/>
    <x v="10"/>
    <n v="1600521"/>
    <s v="DETTOL HAND SANITIZER 200ML"/>
    <n v="26000"/>
    <n v="26000"/>
    <n v="26000"/>
    <x v="0"/>
    <m/>
    <n v="0"/>
    <n v="14.300420500000001"/>
    <n v="18.226042253521126"/>
    <n v="36.706599447706637"/>
    <n v="0"/>
    <n v="3.7181093300000003"/>
    <n v="4.738770985915493"/>
    <n v="8.4568803159154928"/>
    <x v="1"/>
  </r>
  <r>
    <x v="8"/>
    <x v="4"/>
    <n v="1600560"/>
    <s v="BACTERSHIELD HW 215ML BOTTLE+1 REFILFREE KIT"/>
    <n v="1.0743999999999998"/>
    <n v="1.0743999999999998"/>
    <n v="1.0743999999999998"/>
    <x v="0"/>
    <m/>
    <n v="0"/>
    <n v="31033.477899999994"/>
    <n v="37311.389699999992"/>
    <n v="84486.194557156559"/>
    <n v="0"/>
    <n v="0.33342368655759985"/>
    <n v="0.40087357093679987"/>
    <n v="0.73429725749439978"/>
    <x v="1"/>
  </r>
  <r>
    <x v="8"/>
    <x v="4"/>
    <n v="1600742"/>
    <s v="BACTERSHIELD HW 215ML+1BOTTLE 215ML FREE"/>
    <n v="2.9773200000000002"/>
    <n v="2.9773200000000002"/>
    <n v="2.9773200000000002"/>
    <x v="0"/>
    <m/>
    <n v="0"/>
    <n v="31033.477899999994"/>
    <n v="54163.084999999999"/>
    <n v="101334.10836825299"/>
    <n v="0"/>
    <n v="0.92396594421227984"/>
    <n v="1.612608362322"/>
    <n v="2.5365743065342796"/>
    <x v="1"/>
  </r>
  <r>
    <x v="9"/>
    <x v="12"/>
    <n v="1600230"/>
    <s v="NEKO BOUQUET SOAP 75G CT"/>
    <n v="30"/>
    <n v="30"/>
    <n v="30"/>
    <x v="4"/>
    <n v="5250"/>
    <n v="42156.867282561507"/>
    <n v="10949.074999999999"/>
    <n v="11869.240599999999"/>
    <n v="83523.401882051781"/>
    <n v="12.647060184768453"/>
    <n v="3.2847224999999995"/>
    <n v="3.5607721799999998"/>
    <n v="6.8454946799999998"/>
    <x v="1"/>
  </r>
  <r>
    <x v="9"/>
    <x v="9"/>
    <n v="1600854"/>
    <s v="CHANDAN SPARSH SOAP 150GX4"/>
    <n v="7"/>
    <n v="7"/>
    <n v="7"/>
    <x v="4"/>
    <n v="5250"/>
    <n v="37232.959806817904"/>
    <n v="13251.681623200004"/>
    <n v="6310.0995489899997"/>
    <n v="67918.005491504504"/>
    <n v="2.6063071864772533"/>
    <n v="0.92761771362400036"/>
    <n v="0.44170696842929996"/>
    <n v="1.3693246820533003"/>
    <x v="1"/>
  </r>
  <r>
    <x v="9"/>
    <x v="9"/>
    <s v="Grace Soap for Dmart"/>
    <s v="Grace Soap for Dmart"/>
    <n v="9"/>
    <n v="9"/>
    <n v="9"/>
    <x v="4"/>
    <n v="5250"/>
    <n v="37232.959806817904"/>
    <n v="13251.681623200004"/>
    <n v="6310.0995489899997"/>
    <n v="67918.005491504504"/>
    <n v="3.3509663826136116"/>
    <n v="1.1926513460880004"/>
    <n v="0.56790895940910002"/>
    <n v="1.7605603054971004"/>
    <x v="1"/>
  </r>
  <r>
    <x v="9"/>
    <x v="9"/>
    <s v="Ayurmix Soap for Dmart"/>
    <s v="Ayurmix Soap for Dmart"/>
    <n v="12"/>
    <n v="12"/>
    <n v="0"/>
    <x v="4"/>
    <n v="5250"/>
    <n v="37232.959806817904"/>
    <n v="13251.681623200004"/>
    <n v="6310.0995489899997"/>
    <n v="67918.005491504504"/>
    <n v="4.4679551768181485"/>
    <n v="1.5902017947840004"/>
    <n v="0"/>
    <n v="1.5902017947840004"/>
    <x v="1"/>
  </r>
  <r>
    <x v="9"/>
    <x v="13"/>
    <s v="Laray Soap 75g"/>
    <s v="Laray Soap 75g"/>
    <n v="9"/>
    <n v="9"/>
    <n v="9"/>
    <x v="4"/>
    <n v="5250"/>
    <n v="42156.867282561507"/>
    <n v="10949.074999999999"/>
    <n v="11869.240599999999"/>
    <n v="83523.401882051781"/>
    <n v="3.7941180554305354"/>
    <n v="0.98541674999999984"/>
    <n v="1.0682316540000001"/>
    <n v="2.053648404"/>
    <x v="1"/>
  </r>
  <r>
    <x v="9"/>
    <x v="13"/>
    <s v="Laray Soap 125g"/>
    <s v="Laray Soap 125g"/>
    <n v="9"/>
    <n v="9"/>
    <n v="9"/>
    <x v="4"/>
    <n v="5250"/>
    <n v="42156.867282561507"/>
    <n v="10949.074999999999"/>
    <n v="11869.240599999999"/>
    <n v="83523.401882051781"/>
    <n v="3.7941180554305354"/>
    <n v="0.98541674999999984"/>
    <n v="1.0682316540000001"/>
    <n v="2.053648404"/>
    <x v="1"/>
  </r>
  <r>
    <x v="9"/>
    <x v="13"/>
    <s v="Uhad Health Soap"/>
    <s v="Uhad Health Soap"/>
    <n v="7"/>
    <n v="7"/>
    <n v="7"/>
    <x v="5"/>
    <n v="5250"/>
    <n v="42156.867282561507"/>
    <n v="10949.074999999999"/>
    <n v="11869.240599999999"/>
    <n v="83523.401882051781"/>
    <n v="2.9509807097793055"/>
    <n v="0.7664352499999999"/>
    <n v="0.83084684199999992"/>
    <n v="1.5972820919999999"/>
    <x v="1"/>
  </r>
  <r>
    <x v="9"/>
    <x v="4"/>
    <n v="1600864"/>
    <s v="JO LIME SOAP 125GM x 4WP"/>
    <n v="20"/>
    <n v="20"/>
    <n v="20"/>
    <x v="6"/>
    <n v="5250"/>
    <n v="39664.868233284593"/>
    <n v="7150.8424999999997"/>
    <n v="5234.9908999999998"/>
    <n v="55632.196657127817"/>
    <n v="7.9329736466569187"/>
    <n v="1.4301685"/>
    <n v="1.0469981799999999"/>
    <n v="2.4771666799999998"/>
    <x v="1"/>
  </r>
  <r>
    <x v="9"/>
    <x v="4"/>
    <n v="1600924"/>
    <s v="JO LIME SOAP 80GM WP"/>
    <n v="52"/>
    <n v="52"/>
    <n v="52"/>
    <x v="6"/>
    <n v="5250"/>
    <n v="39664.868233284593"/>
    <n v="7150.8424999999997"/>
    <n v="5703.3971999999994"/>
    <n v="56100.60295712782"/>
    <n v="20.625731481307987"/>
    <n v="3.7184381000000002"/>
    <n v="2.9657665440000001"/>
    <n v="6.6842046440000003"/>
    <x v="1"/>
  </r>
  <r>
    <x v="9"/>
    <x v="4"/>
    <n v="1600106"/>
    <s v="BACTERSHIELD ANTI-BACT SOAP 34GM WP"/>
    <n v="5"/>
    <n v="5"/>
    <n v="5"/>
    <x v="6"/>
    <n v="5250"/>
    <n v="33856.044671955635"/>
    <n v="13981.930000000002"/>
    <n v="8242.0239999999994"/>
    <n v="59148.307081796847"/>
    <n v="1.6928022335977817"/>
    <n v="0.69909650000000012"/>
    <n v="0.41210119999999995"/>
    <n v="1.1111977"/>
    <x v="1"/>
  </r>
  <r>
    <x v="9"/>
    <x v="4"/>
    <n v="1600892"/>
    <s v="DOY PURE&amp;MILD TRANSPARENT SOAP 125GMX3MC"/>
    <n v="4"/>
    <n v="4"/>
    <n v="4"/>
    <x v="7"/>
    <n v="5250"/>
    <n v="0"/>
    <n v="86383.978938999993"/>
    <n v="31285.534100000004"/>
    <n v="117757.10638723121"/>
    <n v="0"/>
    <n v="3.4553591575599998"/>
    <n v="1.2514213640000003"/>
    <n v="4.7067805215599998"/>
    <x v="1"/>
  </r>
  <r>
    <x v="9"/>
    <x v="2"/>
    <n v="1600990"/>
    <s v="JOHNSON BABY POWDER 50G BT CRANBY"/>
    <n v="9"/>
    <n v="9"/>
    <n v="9"/>
    <x v="8"/>
    <m/>
    <n v="0"/>
    <n v="19540.188479999997"/>
    <n v="78273.900699999998"/>
    <n v="116832.80647779537"/>
    <n v="0"/>
    <n v="1.7586169631999999"/>
    <n v="7.0446510629999999"/>
    <n v="8.8032680261999996"/>
    <x v="1"/>
  </r>
  <r>
    <x v="9"/>
    <x v="10"/>
    <n v="1600518"/>
    <s v="DETTOL ANTISEPTIC LIQ 60ML"/>
    <n v="1509216"/>
    <n v="1509216"/>
    <n v="1509216"/>
    <x v="6"/>
    <m/>
    <n v="0"/>
    <n v="3.6189730956000008"/>
    <n v="2.7179470000000001"/>
    <n v="9.1750707467964769"/>
    <n v="0"/>
    <n v="54.618120994490504"/>
    <n v="41.019690995520001"/>
    <n v="95.637811990010505"/>
    <x v="1"/>
  </r>
  <r>
    <x v="9"/>
    <x v="4"/>
    <n v="1600927"/>
    <s v="JO ALMND&amp;CR SOAP 150GM X 4WP"/>
    <n v="28"/>
    <n v="28"/>
    <n v="28"/>
    <x v="6"/>
    <n v="5250"/>
    <n v="37513.808053094799"/>
    <n v="11010.993329999999"/>
    <n v="5468.3885"/>
    <n v="57384.647237738514"/>
    <n v="10.503866254866544"/>
    <n v="3.0830781323999998"/>
    <n v="1.5311487799999999"/>
    <n v="4.6142269123999995"/>
    <x v="1"/>
  </r>
  <r>
    <x v="9"/>
    <x v="4"/>
    <n v="1600928"/>
    <s v="JO PEACH&amp;CREAM SOAP 150GM x 4WP"/>
    <n v="21"/>
    <n v="21"/>
    <n v="21"/>
    <x v="6"/>
    <n v="5250"/>
    <n v="36894.87587127251"/>
    <n v="13265.367430000002"/>
    <n v="5468.3885000000009"/>
    <n v="58965.408942731439"/>
    <n v="7.7479239329672271"/>
    <n v="2.7857271603000009"/>
    <n v="1.1483615850000002"/>
    <n v="3.9340887453000013"/>
    <x v="1"/>
  </r>
  <r>
    <x v="10"/>
    <x v="12"/>
    <n v="1600230"/>
    <s v="NEKO BOUQUET SOAP 75G CT"/>
    <n v="30"/>
    <n v="30"/>
    <n v="30"/>
    <x v="9"/>
    <n v="5250"/>
    <n v="39919.730828088934"/>
    <n v="10929.884999999998"/>
    <n v="11869.240599999999"/>
    <n v="84344.695473265456"/>
    <n v="11.975919248426679"/>
    <n v="3.2789654999999991"/>
    <n v="3.5607721799999998"/>
    <n v="6.8397376799999989"/>
    <x v="1"/>
  </r>
  <r>
    <x v="10"/>
    <x v="9"/>
    <n v="1601098"/>
    <s v="DEW SOAP 100Gmx3"/>
    <n v="37"/>
    <n v="37"/>
    <n v="37"/>
    <x v="10"/>
    <n v="5250"/>
    <n v="38928.275583649134"/>
    <n v="22041.834500000001"/>
    <n v="12684.0146"/>
    <n v="83302.810131100763"/>
    <n v="14.40346196595018"/>
    <n v="8.1554787649999998"/>
    <n v="4.6930854019999995"/>
    <n v="12.848564166999999"/>
    <x v="1"/>
  </r>
  <r>
    <x v="10"/>
    <x v="9"/>
    <s v="Grace Soap for Dmart"/>
    <s v="Grace Soap for Dmart"/>
    <n v="9"/>
    <n v="9"/>
    <m/>
    <x v="9"/>
    <n v="5250"/>
    <n v="2871.7244548807853"/>
    <n v="15028.90092539"/>
    <n v="6310.0995489899997"/>
    <n v="24487"/>
    <n v="0.25845520093927071"/>
    <n v="1.3526010832851001"/>
    <n v="0"/>
    <n v="1.3526010832851001"/>
    <x v="1"/>
  </r>
  <r>
    <x v="10"/>
    <x v="9"/>
    <s v="Ayurmix Soap for Dmart"/>
    <s v="Ayurmix Soap for Dmart"/>
    <n v="12"/>
    <n v="12"/>
    <m/>
    <x v="11"/>
    <n v="5250"/>
    <n v="2871.7244548807853"/>
    <n v="15028.90092539"/>
    <n v="6310.0995489899997"/>
    <n v="24487"/>
    <n v="0.34460693458569425"/>
    <n v="1.8034681110468"/>
    <n v="0"/>
    <n v="1.8034681110468"/>
    <x v="1"/>
  </r>
  <r>
    <x v="10"/>
    <x v="13"/>
    <s v="Toor Transparent 75g Soap for Marya Day"/>
    <s v="Toor Transparent 75g Soap for Marya Day"/>
    <n v="14"/>
    <n v="14"/>
    <m/>
    <x v="9"/>
    <n v="5250"/>
    <n v="0"/>
    <n v="95339.855469999995"/>
    <n v="20014.285405892304"/>
    <n v="121120"/>
    <n v="0"/>
    <n v="13.347579765800001"/>
    <n v="0"/>
    <n v="13.347579765800001"/>
    <x v="1"/>
  </r>
  <r>
    <x v="10"/>
    <x v="14"/>
    <s v="Avelia Transparent Soap 75Gm (pack of 3's) (MHS Pharma)"/>
    <s v="Avelia Transparent Soap 75Gm (pack of 3's) (MHS Pharma)"/>
    <n v="10"/>
    <n v="10"/>
    <m/>
    <x v="9"/>
    <n v="5250"/>
    <n v="0"/>
    <n v="95339.855469999995"/>
    <n v="20014.285405892304"/>
    <n v="121120"/>
    <n v="0"/>
    <n v="9.5339855470000003"/>
    <n v="0"/>
    <n v="9.5339855470000003"/>
    <x v="1"/>
  </r>
  <r>
    <x v="10"/>
    <x v="13"/>
    <s v="Laray Soap 75g"/>
    <s v="Laray Soap 75g"/>
    <n v="9"/>
    <n v="9"/>
    <m/>
    <x v="11"/>
    <n v="5250"/>
    <n v="2871.7244548807853"/>
    <n v="15028.90092539"/>
    <n v="6310.0995489899997"/>
    <n v="24487"/>
    <n v="0.25845520093927071"/>
    <n v="1.3526010832851001"/>
    <n v="0"/>
    <n v="1.3526010832851001"/>
    <x v="1"/>
  </r>
  <r>
    <x v="10"/>
    <x v="13"/>
    <s v="Laray Soap 125g"/>
    <s v="Laray Soap 125g"/>
    <n v="9"/>
    <n v="9"/>
    <m/>
    <x v="11"/>
    <n v="5250"/>
    <n v="2871.7244548807853"/>
    <n v="15028.90092539"/>
    <n v="6310.0995489899997"/>
    <n v="24487"/>
    <n v="0.25845520093927071"/>
    <n v="1.3526010832851001"/>
    <n v="0"/>
    <n v="1.3526010832851001"/>
    <x v="1"/>
  </r>
  <r>
    <x v="10"/>
    <x v="13"/>
    <s v="Uhad Health Soap"/>
    <s v="Uhad Health Soap"/>
    <n v="7"/>
    <n v="7"/>
    <m/>
    <x v="11"/>
    <n v="5250"/>
    <n v="2871.7244548807853"/>
    <n v="15028.90092539"/>
    <n v="6310.0995489899997"/>
    <n v="24487"/>
    <n v="0.20102071184165496"/>
    <n v="1.0520230647773001"/>
    <n v="0"/>
    <n v="1.0520230647773001"/>
    <x v="1"/>
  </r>
  <r>
    <x v="10"/>
    <x v="4"/>
    <n v="1600932"/>
    <s v="JO NEEM&amp;TULSI SOAP 55GM+10GM EXTRA X 4WP"/>
    <n v="20"/>
    <n v="0"/>
    <n v="20"/>
    <x v="9"/>
    <n v="5250"/>
    <n v="36057.172273076336"/>
    <n v="8026.5294999999996"/>
    <n v="6383.5685999999996"/>
    <n v="54839.009723199357"/>
    <n v="0"/>
    <n v="0"/>
    <n v="1.2767137199999998"/>
    <n v="1.2767137199999998"/>
    <x v="1"/>
  </r>
  <r>
    <x v="10"/>
    <x v="4"/>
    <n v="1600492"/>
    <s v="JO ALMOND&amp;CREAM SOAP 100GMX8 WP"/>
    <n v="10"/>
    <n v="0"/>
    <n v="10"/>
    <x v="12"/>
    <n v="5250"/>
    <n v="35027.4511301639"/>
    <n v="11010.387080000002"/>
    <n v="9196.8667999999998"/>
    <n v="60087.762330465288"/>
    <n v="0"/>
    <n v="0"/>
    <n v="0.91968668000000009"/>
    <n v="0.91968668000000009"/>
    <x v="1"/>
  </r>
  <r>
    <x v="10"/>
    <x v="4"/>
    <n v="1600860"/>
    <s v="JO SANDAL SOAP 55GM+10GM EXTRA x 4WP"/>
    <n v="10"/>
    <n v="39"/>
    <n v="10"/>
    <x v="9"/>
    <n v="5250"/>
    <n v="37557.195626852772"/>
    <n v="6872.7102000000004"/>
    <n v="6322.9692000000005"/>
    <n v="55956.42873361762"/>
    <n v="14.64730629447258"/>
    <n v="2.6803569780000003"/>
    <n v="0.63229692000000004"/>
    <n v="3.3126538980000002"/>
    <x v="1"/>
  </r>
  <r>
    <x v="10"/>
    <x v="4"/>
    <n v="1600840"/>
    <s v="JO SANDAL SOAP 100GMX4 WP+PEACH60G FREE"/>
    <n v="30"/>
    <n v="0"/>
    <n v="30"/>
    <x v="12"/>
    <n v="5250"/>
    <n v="37391.516672145837"/>
    <n v="11089.007890000001"/>
    <n v="7698.3045599999996"/>
    <n v="61460.381143142411"/>
    <n v="0"/>
    <n v="0"/>
    <n v="2.3094913679999998"/>
    <n v="2.3094913679999998"/>
    <x v="1"/>
  </r>
  <r>
    <x v="10"/>
    <x v="4"/>
    <n v="1601108"/>
    <s v="JO SANDAL 125X4"/>
    <n v="24"/>
    <n v="0"/>
    <n v="24"/>
    <x v="9"/>
    <n v="5250"/>
    <n v="35437.52784606412"/>
    <n v="7173.8431"/>
    <n v="5410.4082000000008"/>
    <n v="52537.567422647619"/>
    <n v="0"/>
    <n v="0"/>
    <n v="1.2984979680000002"/>
    <n v="1.2984979680000002"/>
    <x v="1"/>
  </r>
  <r>
    <x v="10"/>
    <x v="4"/>
    <n v="1601187"/>
    <s v="JO COCONUT SOAP 100GX4 WP+ULTRA-FR 60G FREE"/>
    <n v="15"/>
    <n v="0"/>
    <n v="15"/>
    <x v="12"/>
    <n v="5250"/>
    <n v="35721.232582908997"/>
    <n v="8025.4789999999994"/>
    <n v="5892.3717999999999"/>
    <n v="54044.026253799631"/>
    <n v="0"/>
    <n v="0"/>
    <n v="0.88385577000000004"/>
    <n v="0.88385577000000004"/>
    <x v="1"/>
  </r>
  <r>
    <x v="10"/>
    <x v="4"/>
    <n v="1600578"/>
    <s v="BACTERSHIELD ANTI-BACT SOAP 60+10GM WP"/>
    <n v="12"/>
    <n v="0"/>
    <n v="12"/>
    <x v="9"/>
    <n v="5250"/>
    <n v="31612.118623871324"/>
    <n v="14058.308999999999"/>
    <n v="5985.5981999999995"/>
    <n v="56123.48178693324"/>
    <n v="0"/>
    <n v="0"/>
    <n v="0.71827178399999991"/>
    <n v="0.71827178399999991"/>
    <x v="1"/>
  </r>
  <r>
    <x v="10"/>
    <x v="10"/>
    <n v="1600520"/>
    <s v="DETTOL HAND SANITIZER 50ML"/>
    <n v="48000"/>
    <n v="48000"/>
    <n v="48000"/>
    <x v="13"/>
    <m/>
    <n v="0"/>
    <n v="3.5716182549384019"/>
    <n v="3.6443681802182328"/>
    <n v="9.9039872302449581"/>
    <n v="0"/>
    <n v="1.7143767623704329"/>
    <n v="1.7492967265047517"/>
    <n v="3.4636734888751848"/>
    <x v="1"/>
  </r>
  <r>
    <x v="10"/>
    <x v="10"/>
    <n v="1600521"/>
    <s v="DETTOL HAND SANITIZER 200ML"/>
    <n v="7200"/>
    <n v="7200"/>
    <n v="7200"/>
    <x v="9"/>
    <m/>
    <n v="0"/>
    <n v="14.296466500000001"/>
    <n v="18.176042253521128"/>
    <n v="35.499648141604361"/>
    <n v="0"/>
    <n v="1.0293455880000002"/>
    <n v="1.3086750422535212"/>
    <n v="2.3380206302535216"/>
    <x v="1"/>
  </r>
  <r>
    <x v="10"/>
    <x v="10"/>
    <n v="1601052"/>
    <s v="DETTOL FLORAL ESS HANDSANITIZER 50ML"/>
    <n v="60000"/>
    <n v="60000"/>
    <n v="60000"/>
    <x v="13"/>
    <m/>
    <n v="0"/>
    <n v="8.1338203523784429"/>
    <n v="3.6795796758695611"/>
    <n v="14.259739900724073"/>
    <n v="0"/>
    <n v="4.8802922114270659"/>
    <n v="2.2077478055217368"/>
    <n v="7.0880400169488027"/>
    <x v="1"/>
  </r>
  <r>
    <x v="10"/>
    <x v="10"/>
    <n v="1601050"/>
    <s v="DETTOL SPRING FRS HANDSANITIZER 50ML"/>
    <n v="60000"/>
    <n v="60000"/>
    <n v="60000"/>
    <x v="13"/>
    <m/>
    <n v="0"/>
    <n v="7.9231544947545407"/>
    <n v="3.6795796758695611"/>
    <n v="14.04907404310017"/>
    <n v="0"/>
    <n v="4.7538926968527244"/>
    <n v="2.2077478055217368"/>
    <n v="6.9616405023744612"/>
    <x v="1"/>
  </r>
  <r>
    <x v="10"/>
    <x v="4"/>
    <s v="New"/>
    <s v="BACTORUB HANDRUB 500ml"/>
    <n v="15"/>
    <n v="15"/>
    <n v="15"/>
    <x v="11"/>
    <m/>
    <n v="42613.249360000002"/>
    <n v="42012.794339999993"/>
    <n v="36835.59301728"/>
    <n v="134461.63671727999"/>
    <n v="6.391987404"/>
    <n v="6.301919150999999"/>
    <n v="5.5253389525920005"/>
    <n v="11.827258103591999"/>
    <x v="1"/>
  </r>
  <r>
    <x v="10"/>
    <x v="4"/>
    <s v="New"/>
    <s v="BACTORUB HANDRUB 100ml"/>
    <n v="3"/>
    <n v="3"/>
    <n v="3"/>
    <x v="11"/>
    <m/>
    <n v="42613.249360000002"/>
    <n v="42012.794339999993"/>
    <n v="36835.59301728"/>
    <n v="134461.63671727999"/>
    <n v="1.2783974808"/>
    <n v="1.2603838301999999"/>
    <n v="1.1050677905184001"/>
    <n v="2.3654516207184"/>
    <x v="1"/>
  </r>
  <r>
    <x v="10"/>
    <x v="4"/>
    <s v="New"/>
    <s v="BACTORUB HANDRUB 5 L"/>
    <n v="20"/>
    <n v="20"/>
    <n v="20"/>
    <x v="11"/>
    <m/>
    <n v="42613.249360000002"/>
    <n v="42012.794339999993"/>
    <n v="36835.59301728"/>
    <n v="134461.63671727999"/>
    <n v="8.5226498720000006"/>
    <n v="8.4025588679999981"/>
    <n v="7.3671186034559994"/>
    <n v="15.769677471455998"/>
    <x v="1"/>
  </r>
  <r>
    <x v="10"/>
    <x v="4"/>
    <n v="1600806"/>
    <s v="BACTERSHIELD HW Naturals 185MLx2 REFILL+1 FREE KIT"/>
    <n v="0.74073999999999995"/>
    <n v="0.74073999999999995"/>
    <n v="0.74073999999999995"/>
    <x v="9"/>
    <m/>
    <n v="0"/>
    <n v="33598.229959999997"/>
    <n v="13437.9413"/>
    <n v="58945.06811229077"/>
    <n v="0"/>
    <n v="0.24887552860570394"/>
    <n v="9.954020638562E-2"/>
    <n v="0.34841573499132394"/>
    <x v="1"/>
  </r>
  <r>
    <x v="11"/>
    <x v="2"/>
    <n v="1600555"/>
    <s v="J&amp;J BABY(11+1)OFFER SOAP 25G FW"/>
    <n v="101"/>
    <n v="108"/>
    <n v="108"/>
    <x v="14"/>
    <n v="5250"/>
    <n v="44244.126197516489"/>
    <n v="18359.545599999998"/>
    <n v="34267.877999999997"/>
    <m/>
    <n v="47.783656293317804"/>
    <n v="19.828309247999997"/>
    <n v="37.009308239999996"/>
    <n v="56.837617487999992"/>
    <x v="1"/>
  </r>
  <r>
    <x v="11"/>
    <x v="2"/>
    <n v="1600199"/>
    <s v="J&amp;J BABY (UPGRADE) SOAP 50G CTJBM"/>
    <n v="32"/>
    <n v="32"/>
    <n v="32"/>
    <x v="14"/>
    <n v="5250"/>
    <n v="44244.126197516489"/>
    <n v="18359.545599999998"/>
    <n v="19160.861000000001"/>
    <m/>
    <n v="14.158120383205276"/>
    <n v="5.8750545919999997"/>
    <n v="6.1314755200000004"/>
    <n v="12.006530112"/>
    <x v="1"/>
  </r>
  <r>
    <x v="11"/>
    <x v="2"/>
    <n v="1600205"/>
    <s v="J&amp;J BABY SOAP 100GX3 CT (In New Die)"/>
    <n v="5"/>
    <n v="5"/>
    <n v="5"/>
    <x v="14"/>
    <n v="5250"/>
    <n v="44244.126197516489"/>
    <n v="18359.545599999998"/>
    <n v="7824.9618"/>
    <m/>
    <n v="2.2122063098758242"/>
    <n v="0.9179772799999999"/>
    <n v="0.39124808999999999"/>
    <n v="1.3092253699999998"/>
    <x v="1"/>
  </r>
  <r>
    <x v="11"/>
    <x v="2"/>
    <n v="1600208"/>
    <s v="J&amp;J BABY(UPGRADE) SOAP 150G CT (In New CFB Packing)"/>
    <n v="35"/>
    <n v="35"/>
    <n v="35"/>
    <x v="14"/>
    <n v="5250"/>
    <n v="44244.126197516489"/>
    <n v="18359.545599999998"/>
    <n v="11869.704600000001"/>
    <m/>
    <n v="15.485444169130769"/>
    <n v="6.4258409599999986"/>
    <n v="4.15439661"/>
    <n v="10.580237569999998"/>
    <x v="1"/>
  </r>
  <r>
    <x v="11"/>
    <x v="2"/>
    <n v="1600201"/>
    <s v="J&amp;J BABY 1/4LOTION(CSD) SOAP 75G CT"/>
    <n v="29"/>
    <n v="29"/>
    <n v="29"/>
    <x v="14"/>
    <n v="5250"/>
    <n v="44244.126197516489"/>
    <n v="18359.545599999998"/>
    <n v="16742.304319999999"/>
    <m/>
    <n v="12.830796597279782"/>
    <n v="5.3242682239999999"/>
    <n v="4.8552682528000002"/>
    <n v="10.179536476799999"/>
    <x v="1"/>
  </r>
  <r>
    <x v="11"/>
    <x v="2"/>
    <n v="1601002"/>
    <s v="J&amp;J BABY MILK VIT(A+E) SOAP 75G CT (COSMOS)"/>
    <n v="18"/>
    <n v="18"/>
    <n v="18"/>
    <x v="15"/>
    <n v="5250"/>
    <n v="44244.126197516489"/>
    <n v="18359.545599999998"/>
    <n v="16394.915699999998"/>
    <m/>
    <n v="7.9639427155529683"/>
    <n v="3.3047182079999997"/>
    <n v="2.9510848259999998"/>
    <n v="6.2558030339999995"/>
    <x v="1"/>
  </r>
  <r>
    <x v="11"/>
    <x v="2"/>
    <n v="1601000"/>
    <s v="J&amp;J BABY BLOSSOM 1/4LTN SOAP 75G CT (COSMOS)"/>
    <n v="45"/>
    <n v="45"/>
    <n v="45"/>
    <x v="15"/>
    <n v="5250"/>
    <n v="44244.126197516489"/>
    <n v="33823.141000000003"/>
    <n v="16445.61"/>
    <m/>
    <n v="19.909856788882418"/>
    <n v="15.220413450000002"/>
    <n v="7.4005245000000004"/>
    <n v="22.620937950000002"/>
    <x v="1"/>
  </r>
  <r>
    <x v="11"/>
    <x v="3"/>
    <s v="New"/>
    <s v="Crème Care Soap 125 (NEW)"/>
    <n v="0.69"/>
    <n v="0.69"/>
    <n v="0.69"/>
    <x v="14"/>
    <n v="5250"/>
    <n v="33837.634199487635"/>
    <n v="26982.363999999998"/>
    <n v="14616.6911"/>
    <m/>
    <n v="0.23347967597646468"/>
    <n v="0.18617831159999998"/>
    <n v="0.10085516858999999"/>
    <n v="0.28703348018999997"/>
    <x v="1"/>
  </r>
  <r>
    <x v="11"/>
    <x v="3"/>
    <s v="New"/>
    <s v="Crème Care Soap 125 - Pack of 2 (NEW)"/>
    <n v="3.75"/>
    <n v="3.75"/>
    <n v="3.75"/>
    <x v="14"/>
    <n v="5250"/>
    <n v="33837.634199487635"/>
    <n v="26982.363999999998"/>
    <n v="25253.7405"/>
    <m/>
    <n v="1.2689112824807862"/>
    <n v="1.0118386499999998"/>
    <n v="0.94701526874999997"/>
    <n v="1.9588539187499998"/>
    <x v="1"/>
  </r>
  <r>
    <x v="11"/>
    <x v="3"/>
    <s v="New"/>
    <s v="Crème Care Soap 125 - Pack of 4 (NEW)"/>
    <n v="15"/>
    <n v="15"/>
    <n v="15"/>
    <x v="14"/>
    <n v="5250"/>
    <n v="33837.634199487635"/>
    <n v="26982.363999999998"/>
    <n v="25005.913099999998"/>
    <m/>
    <n v="5.0756451299231449"/>
    <n v="4.0473545999999994"/>
    <n v="3.7508869649999994"/>
    <n v="7.7982415649999988"/>
    <x v="1"/>
  </r>
  <r>
    <x v="11"/>
    <x v="3"/>
    <s v="New"/>
    <s v="Crème Care Soap 75 (NEW)"/>
    <n v="1.05"/>
    <n v="1.05"/>
    <n v="1.05"/>
    <x v="14"/>
    <n v="5250"/>
    <n v="33837.634199487635"/>
    <n v="26982.363999999998"/>
    <n v="21732.363999999998"/>
    <m/>
    <n v="0.35529515909462017"/>
    <n v="0.28331482199999997"/>
    <n v="0.22818982199999999"/>
    <n v="0.51150464399999995"/>
    <x v="1"/>
  </r>
  <r>
    <x v="11"/>
    <x v="3"/>
    <s v="New"/>
    <s v="Crème Care Soap 75 - Pack of 2 (NEW)"/>
    <n v="3.15"/>
    <n v="3.15"/>
    <n v="3.15"/>
    <x v="14"/>
    <n v="5250"/>
    <n v="33837.634199487635"/>
    <n v="26982.363999999998"/>
    <n v="21732.363999999998"/>
    <m/>
    <n v="1.0658854772838606"/>
    <n v="0.84994446599999995"/>
    <n v="0.6845694659999999"/>
    <n v="1.5345139319999999"/>
    <x v="1"/>
  </r>
  <r>
    <x v="11"/>
    <x v="3"/>
    <s v="New"/>
    <s v="Crème Care Soap 75 - Pack of 4 (NEW)"/>
    <n v="10.5"/>
    <n v="10.5"/>
    <n v="10.5"/>
    <x v="14"/>
    <n v="5250"/>
    <n v="33837.634199487635"/>
    <n v="26982.363999999998"/>
    <n v="21732.363999999998"/>
    <m/>
    <n v="3.5529515909462015"/>
    <n v="2.83314822"/>
    <n v="2.28189822"/>
    <n v="5.1150464400000004"/>
    <x v="1"/>
  </r>
  <r>
    <x v="11"/>
    <x v="9"/>
    <s v="New"/>
    <s v="DEW SOAP 100Gmx3"/>
    <n v="27"/>
    <n v="27"/>
    <n v="27"/>
    <x v="15"/>
    <n v="5250"/>
    <n v="37363.249360000002"/>
    <n v="47262.794339999993"/>
    <n v="36835.59301728"/>
    <m/>
    <n v="10.088077327200001"/>
    <n v="12.7609544718"/>
    <n v="9.9456101146656"/>
    <n v="22.7065645864656"/>
    <x v="1"/>
  </r>
  <r>
    <x v="11"/>
    <x v="9"/>
    <s v="New"/>
    <s v="Grace Soap for Dmart"/>
    <n v="9"/>
    <n v="9"/>
    <n v="0"/>
    <x v="16"/>
    <n v="5250"/>
    <n v="37363.249360000002"/>
    <n v="47262.794339999993"/>
    <n v="36835.59301728"/>
    <m/>
    <n v="3.3626924424000002"/>
    <n v="4.2536514905999994"/>
    <n v="0"/>
    <n v="4.2536514905999994"/>
    <x v="1"/>
  </r>
  <r>
    <x v="11"/>
    <x v="9"/>
    <s v="New"/>
    <s v="Ayurmix Soap for Dmart"/>
    <n v="12"/>
    <n v="12"/>
    <n v="0"/>
    <x v="16"/>
    <n v="5250"/>
    <n v="37363.249360000002"/>
    <n v="47262.794339999993"/>
    <n v="36835.59301728"/>
    <m/>
    <n v="4.4835899232000003"/>
    <n v="5.6715353207999994"/>
    <n v="0"/>
    <n v="5.6715353207999994"/>
    <x v="1"/>
  </r>
  <r>
    <x v="11"/>
    <x v="13"/>
    <s v="New"/>
    <s v="Toor Transparent 75g Soap for Marya Day"/>
    <n v="14"/>
    <n v="14"/>
    <n v="0"/>
    <x v="16"/>
    <n v="5250"/>
    <n v="-5250"/>
    <n v="94039.574399999983"/>
    <n v="31121.314299999998"/>
    <m/>
    <n v="-0.73499999999999999"/>
    <n v="13.165540415999997"/>
    <n v="0"/>
    <n v="13.165540415999997"/>
    <x v="1"/>
  </r>
  <r>
    <x v="11"/>
    <x v="14"/>
    <s v="New"/>
    <s v="Avelia Transparent Soap 75Gm (pack of 3's) (MHS Pharma)"/>
    <n v="10"/>
    <n v="10"/>
    <n v="0"/>
    <x v="16"/>
    <n v="5250"/>
    <n v="-5250"/>
    <n v="94039.574399999983"/>
    <n v="31121.314299999998"/>
    <m/>
    <n v="-0.52500000000000002"/>
    <n v="9.4039574399999974"/>
    <n v="0"/>
    <n v="9.4039574399999974"/>
    <x v="1"/>
  </r>
  <r>
    <x v="11"/>
    <x v="13"/>
    <s v="New"/>
    <s v="Laray Soap 75g"/>
    <n v="9"/>
    <n v="9"/>
    <n v="0"/>
    <x v="16"/>
    <n v="5250"/>
    <n v="37363.249360000002"/>
    <n v="47262.794339999993"/>
    <n v="36835.59301728"/>
    <m/>
    <n v="3.3626924424000002"/>
    <n v="4.2536514905999994"/>
    <n v="0"/>
    <n v="4.2536514905999994"/>
    <x v="1"/>
  </r>
  <r>
    <x v="11"/>
    <x v="13"/>
    <s v="New"/>
    <s v="Laray Soap 125g"/>
    <n v="9"/>
    <n v="9"/>
    <n v="0"/>
    <x v="16"/>
    <n v="5250"/>
    <n v="37363.249360000002"/>
    <n v="47262.794339999993"/>
    <n v="36835.59301728"/>
    <m/>
    <n v="3.3626924424000002"/>
    <n v="4.2536514905999994"/>
    <n v="0"/>
    <n v="4.2536514905999994"/>
    <x v="1"/>
  </r>
  <r>
    <x v="11"/>
    <x v="13"/>
    <s v="New"/>
    <s v="Uhad Health Soap"/>
    <n v="7"/>
    <n v="7"/>
    <n v="0"/>
    <x v="16"/>
    <n v="5250"/>
    <n v="37363.249360000002"/>
    <n v="47262.794339999993"/>
    <n v="36835.59301728"/>
    <m/>
    <n v="2.6154274551999999"/>
    <n v="3.3083956037999993"/>
    <n v="0"/>
    <n v="3.3083956037999993"/>
    <x v="1"/>
  </r>
  <r>
    <x v="11"/>
    <x v="4"/>
    <s v="New"/>
    <s v="JO LIME MINI SOAP 30GM WP"/>
    <n v="10"/>
    <n v="0"/>
    <n v="10"/>
    <x v="14"/>
    <n v="5250"/>
    <n v="32634.634440206071"/>
    <n v="12423.8431"/>
    <n v="8419.2416000000012"/>
    <m/>
    <n v="0"/>
    <n v="0"/>
    <n v="0.84192416000000014"/>
    <n v="0.84192416000000014"/>
    <x v="1"/>
  </r>
  <r>
    <x v="11"/>
    <x v="4"/>
    <n v="1600767"/>
    <s v="JO LIME SOAP 55GMX3WP+2 JO55GM FREE"/>
    <n v="10"/>
    <n v="0"/>
    <n v="10"/>
    <x v="14"/>
    <n v="5250"/>
    <n v="32634.634440206071"/>
    <n v="12425.700499999999"/>
    <n v="6492.7096000000001"/>
    <m/>
    <n v="0"/>
    <n v="0"/>
    <n v="0.64927096000000006"/>
    <n v="0.64927096000000006"/>
    <x v="1"/>
  </r>
  <r>
    <x v="11"/>
    <x v="4"/>
    <n v="1600859"/>
    <s v="JO LIME SOAP 55GM+10GM EXTRA x 4WP"/>
    <n v="20"/>
    <n v="0"/>
    <n v="10"/>
    <x v="14"/>
    <n v="5250"/>
    <n v="32634.634440206071"/>
    <n v="12122.366599999999"/>
    <n v="6389.6835999999994"/>
    <m/>
    <n v="0"/>
    <n v="0"/>
    <n v="0.6389683599999999"/>
    <n v="0.6389683599999999"/>
    <x v="1"/>
  </r>
  <r>
    <x v="11"/>
    <x v="4"/>
    <n v="1601161"/>
    <s v="JO LIME SOAP 100GX4 WP+ULTRA-FR 60G FREE"/>
    <n v="125"/>
    <n v="0"/>
    <n v="125"/>
    <x v="17"/>
    <n v="5250"/>
    <n v="32634.634440206071"/>
    <n v="16609.290970000002"/>
    <n v="7701.8455799999992"/>
    <m/>
    <n v="0"/>
    <n v="0"/>
    <n v="9.6273069749999998"/>
    <n v="9.6273069749999998"/>
    <x v="1"/>
  </r>
  <r>
    <x v="11"/>
    <x v="4"/>
    <n v="1600926"/>
    <s v="JO LIME SOAP 150GM X 4WP"/>
    <n v="7"/>
    <n v="0"/>
    <n v="7"/>
    <x v="14"/>
    <n v="5250"/>
    <n v="32634.634440206071"/>
    <n v="12423.8431"/>
    <n v="5649.1628999999994"/>
    <m/>
    <n v="0"/>
    <n v="0"/>
    <n v="0.39544140299999997"/>
    <n v="0.39544140299999997"/>
    <x v="1"/>
  </r>
  <r>
    <x v="11"/>
    <x v="4"/>
    <n v="1601007"/>
    <s v="JO NEEM&amp;TULSI MINI SOAP 30GM WP"/>
    <n v="32"/>
    <n v="32"/>
    <n v="32"/>
    <x v="15"/>
    <n v="5250"/>
    <n v="28144.438010369544"/>
    <n v="14395.869999999999"/>
    <n v="8997.2065000000002"/>
    <m/>
    <n v="9.0062201633182539"/>
    <n v="4.6066783999999998"/>
    <n v="2.8791060800000001"/>
    <n v="7.4857844799999995"/>
    <x v="1"/>
  </r>
  <r>
    <x v="11"/>
    <x v="4"/>
    <n v="1601165"/>
    <s v="JO NEEM SOAP 100GX4 WP+ULTRA-FR 60G FREE"/>
    <n v="27"/>
    <n v="27"/>
    <n v="27"/>
    <x v="17"/>
    <n v="5250"/>
    <n v="28144.438010369544"/>
    <n v="17372.676319999999"/>
    <n v="7666.4611299999988"/>
    <m/>
    <n v="7.5989982627997765"/>
    <n v="4.6906226063999998"/>
    <n v="2.0699445050999996"/>
    <n v="6.7605671114999994"/>
    <x v="1"/>
  </r>
  <r>
    <x v="11"/>
    <x v="4"/>
    <n v="1601006"/>
    <s v="JO ALMOND MINI SOAP 30GM WP"/>
    <n v="8"/>
    <n v="8"/>
    <n v="8"/>
    <x v="18"/>
    <n v="5250"/>
    <n v="28144.438010369544"/>
    <n v="17609.772500000003"/>
    <n v="9058.8513000000003"/>
    <m/>
    <n v="2.2515550408295635"/>
    <n v="1.4087818000000003"/>
    <n v="0.72470810400000008"/>
    <n v="2.1334899040000002"/>
    <x v="1"/>
  </r>
  <r>
    <x v="11"/>
    <x v="4"/>
    <n v="1600768"/>
    <s v="JO ALMND&amp;CR SOAP 55GMX3WP+2 JO55GM FREE"/>
    <n v="20"/>
    <n v="6"/>
    <n v="20"/>
    <x v="18"/>
    <n v="5250"/>
    <n v="32634.634440206071"/>
    <n v="16055.94339"/>
    <n v="6484.5568000000003"/>
    <m/>
    <n v="1.958078066412364"/>
    <n v="0.96335660340000007"/>
    <n v="1.29691136"/>
    <n v="2.2602679634"/>
    <x v="1"/>
  </r>
  <r>
    <x v="11"/>
    <x v="4"/>
    <n v="1601162"/>
    <s v="JO ALMND&amp;CR SOAP 100GX4 WP+ULTRA-FR 60G FREE"/>
    <n v="80"/>
    <m/>
    <n v="80"/>
    <x v="17"/>
    <n v="5250"/>
    <n v="28403.154095441365"/>
    <n v="16244.624470000001"/>
    <n v="5611.4222"/>
    <m/>
    <n v="0"/>
    <n v="0"/>
    <n v="4.4891377600000002"/>
    <n v="4.4891377600000002"/>
    <x v="1"/>
  </r>
  <r>
    <x v="11"/>
    <x v="4"/>
    <n v="1600927"/>
    <s v="JO ALMND&amp;CR SOAP 150GM X 4WP"/>
    <n v="15"/>
    <n v="0"/>
    <n v="15"/>
    <x v="15"/>
    <n v="5250"/>
    <n v="32634.634440206071"/>
    <n v="16055.94339"/>
    <n v="5583.6938999999993"/>
    <m/>
    <n v="0"/>
    <n v="0"/>
    <n v="0.83755408499999995"/>
    <n v="0.83755408499999995"/>
    <x v="1"/>
  </r>
  <r>
    <x v="11"/>
    <x v="4"/>
    <n v="1600062"/>
    <s v="JO SANDAL SOAP 60GMX5 WP"/>
    <n v="10"/>
    <n v="10"/>
    <n v="10"/>
    <x v="14"/>
    <n v="5250"/>
    <n v="32634.634440206071"/>
    <n v="12130.012200000001"/>
    <n v="6818.7945"/>
    <m/>
    <n v="3.2634634440206072"/>
    <n v="1.21300122"/>
    <n v="0.68187945000000005"/>
    <n v="1.89488067"/>
    <x v="1"/>
  </r>
  <r>
    <x v="11"/>
    <x v="4"/>
    <n v="1600491"/>
    <s v="JO SANDAL SOAP 100GMX8 WP"/>
    <n v="10"/>
    <n v="10"/>
    <n v="10"/>
    <x v="15"/>
    <n v="5250"/>
    <n v="32634.634440206071"/>
    <n v="12775.462520000001"/>
    <n v="9415.9971999999998"/>
    <m/>
    <n v="3.2634634440206072"/>
    <n v="1.277546252"/>
    <n v="0.94159971999999992"/>
    <n v="2.2191459719999997"/>
    <x v="1"/>
  </r>
  <r>
    <x v="11"/>
    <x v="4"/>
    <n v="1601163"/>
    <s v="JO SANDAL SOAP 100GX4 WP+ULTRA-FR 60G FREE"/>
    <n v="60"/>
    <n v="0"/>
    <n v="60"/>
    <x v="17"/>
    <n v="5250"/>
    <n v="32634.634440206071"/>
    <n v="12775.462520000001"/>
    <n v="9415.9971999999998"/>
    <m/>
    <n v="0"/>
    <n v="0"/>
    <n v="5.6495983199999991"/>
    <n v="5.6495983199999991"/>
    <x v="1"/>
  </r>
  <r>
    <x v="11"/>
    <x v="4"/>
    <n v="1600578"/>
    <s v="BACTERSHIELD ANTI-BACT SOAP 60+10GM WP"/>
    <n v="10"/>
    <n v="13"/>
    <n v="10"/>
    <x v="15"/>
    <n v="5250"/>
    <n v="32634.634440206071"/>
    <n v="19231.932499999999"/>
    <n v="6035.1826000000001"/>
    <m/>
    <n v="4.2425024772267896"/>
    <n v="2.5001512249999998"/>
    <n v="0.60351825999999997"/>
    <n v="3.1036694849999997"/>
    <x v="1"/>
  </r>
  <r>
    <x v="11"/>
    <x v="4"/>
    <n v="1600110"/>
    <s v="BACTERSHIELD ANTI-BACT SOAP 125GMX4 WP"/>
    <n v="8"/>
    <n v="0"/>
    <n v="8"/>
    <x v="15"/>
    <n v="5250"/>
    <n v="32634.634440206071"/>
    <n v="19231.932499999999"/>
    <n v="5183.8510000000006"/>
    <m/>
    <n v="0"/>
    <n v="0"/>
    <n v="0.41470808000000003"/>
    <n v="0.41470808000000003"/>
    <x v="1"/>
  </r>
  <r>
    <x v="11"/>
    <x v="4"/>
    <n v="1601057"/>
    <s v="BACTERSHIELD ULTRA BALANCE SOAP 125GX4WP"/>
    <n v="5"/>
    <n v="0"/>
    <n v="5"/>
    <x v="14"/>
    <n v="5250"/>
    <n v="32634.634440206071"/>
    <n v="19231.932499999999"/>
    <n v="5183.8510000000006"/>
    <m/>
    <n v="0"/>
    <n v="0"/>
    <n v="0.25919255000000002"/>
    <n v="0.25919255000000002"/>
    <x v="1"/>
  </r>
  <r>
    <x v="11"/>
    <x v="4"/>
    <n v="1601102"/>
    <s v="BACTERSHIELD ULTRA BALANCE SOAP 60 WP"/>
    <n v="17"/>
    <n v="0"/>
    <n v="17"/>
    <x v="14"/>
    <n v="5250"/>
    <n v="33496.349238301031"/>
    <n v="16554.873200000002"/>
    <n v="5845.9780000000001"/>
    <m/>
    <n v="0"/>
    <n v="0"/>
    <n v="0.99381626000000001"/>
    <n v="0.99381626000000001"/>
    <x v="1"/>
  </r>
  <r>
    <x v="11"/>
    <x v="4"/>
    <n v="1601187"/>
    <s v="JO COCONUT SOAP 100GX4 WP+ULTRA-FR 60G FREE"/>
    <n v="20"/>
    <n v="0"/>
    <n v="20"/>
    <x v="17"/>
    <n v="5250"/>
    <n v="32634.634440206071"/>
    <n v="13275.478999999999"/>
    <n v="5892.3717999999999"/>
    <m/>
    <n v="0"/>
    <n v="0"/>
    <n v="1.1784743600000001"/>
    <n v="1.1784743600000001"/>
    <x v="1"/>
  </r>
  <r>
    <x v="11"/>
    <x v="10"/>
    <n v="1600589"/>
    <s v="DETTOL ANTISEPTIC LIQ 5 Liter"/>
    <n v="31.64"/>
    <n v="0.15819999999999998"/>
    <n v="31.64"/>
    <x v="0"/>
    <m/>
    <m/>
    <n v="289.62688113559318"/>
    <n v="46.717169999999996"/>
    <m/>
    <n v="0"/>
    <n v="4.5818972595650835E-4"/>
    <n v="1.4781312587999999E-2"/>
    <n v="1.5239502313956507E-2"/>
    <x v="1"/>
  </r>
  <r>
    <x v="11"/>
    <x v="10"/>
    <n v="1600520"/>
    <s v="DETTOL HAND SANITIZER 50ML"/>
    <n v="1.8747"/>
    <n v="9.373500000000001E-5"/>
    <n v="1.8747"/>
    <x v="15"/>
    <m/>
    <m/>
    <n v="3.5646729504681449"/>
    <n v="6.4743681802182325"/>
    <m/>
    <n v="0"/>
    <n v="3.3413461901213156E-9"/>
    <n v="1.213749802745512E-4"/>
    <n v="1.2137832162074131E-4"/>
    <x v="1"/>
  </r>
  <r>
    <x v="11"/>
    <x v="4"/>
    <n v="1600560"/>
    <s v="BACTERSHIELD HW 215ML BOTTLE+1 REFILFREE KIT"/>
    <n v="0.67252000000000001"/>
    <n v="1.4459179999999999E-4"/>
    <n v="0.67252000000000001"/>
    <x v="18"/>
    <m/>
    <m/>
    <n v="31677.835599999999"/>
    <n v="37403.982099999994"/>
    <m/>
    <n v="0"/>
    <n v="4.5803552695080798E-5"/>
    <n v="0.25154926041891995"/>
    <n v="0.25159506397161502"/>
    <x v="1"/>
  </r>
  <r>
    <x v="11"/>
    <x v="4"/>
    <n v="1600561"/>
    <s v="BACTERSHIELD HW 185MLx2 REFILL+1 FREE KIT"/>
    <n v="0.75387499999999996"/>
    <n v="1.3946687499999998E-4"/>
    <n v="0.75387499999999996"/>
    <x v="18"/>
    <m/>
    <m/>
    <n v="31677.835599999999"/>
    <n v="13460.4501"/>
    <m/>
    <n v="0"/>
    <n v="4.4180087378957491E-5"/>
    <n v="0.101474968191375"/>
    <n v="0.10151914827875395"/>
    <x v="1"/>
  </r>
  <r>
    <x v="11"/>
    <x v="4"/>
    <n v="1600742"/>
    <s v="BACTERSHIELD HW 215ML+1BOTTLE 215ML FREE"/>
    <n v="0.43"/>
    <n v="9.2449999999999984E-5"/>
    <n v="0.43"/>
    <x v="18"/>
    <m/>
    <m/>
    <n v="31677.835599999999"/>
    <n v="54336.594800000006"/>
    <m/>
    <n v="0"/>
    <n v="2.9286159012199994E-5"/>
    <n v="0.23364735764"/>
    <n v="0.23367664379901221"/>
    <x v="1"/>
  </r>
  <r>
    <x v="11"/>
    <x v="4"/>
    <n v="1600807"/>
    <s v="BACTERSHIELD HW Naturals 900ML POUCH"/>
    <n v="2.7774000000000001"/>
    <n v="2.4996599999999999E-3"/>
    <n v="2.7774000000000001"/>
    <x v="18"/>
    <m/>
    <m/>
    <n v="0"/>
    <m/>
    <m/>
    <n v="0"/>
    <n v="0"/>
    <n v="0"/>
    <n v="0"/>
    <x v="1"/>
  </r>
  <r>
    <x v="11"/>
    <x v="4"/>
    <n v="1600621"/>
    <s v="DOY CARE ALOEVERA FACEWASH 50ML"/>
    <n v="0.97084999999999999"/>
    <n v="4.8542500000000005E-5"/>
    <n v="0.97084999999999999"/>
    <x v="15"/>
    <m/>
    <m/>
    <n v="88733.599799999982"/>
    <n v="144465.35429999998"/>
    <m/>
    <n v="0"/>
    <n v="4.3073507682914994E-5"/>
    <n v="1.4025418922215496"/>
    <n v="1.4025849657292324"/>
    <x v="1"/>
  </r>
  <r>
    <x v="12"/>
    <x v="2"/>
    <n v="1600199"/>
    <s v="J&amp;J BABY (UPGRADE) SOAP 50G CTJBM"/>
    <n v="16.292999999999999"/>
    <n v="0"/>
    <n v="16.292999999999999"/>
    <x v="18"/>
    <n v="5250"/>
    <n v="42824.311332593497"/>
    <n v="18386.28183"/>
    <n v="19205.305799999998"/>
    <n v="118184.72679842671"/>
    <n v="0"/>
    <n v="0"/>
    <n v="3.129120473994"/>
    <n v="3.129120473994"/>
    <x v="1"/>
  </r>
  <r>
    <x v="12"/>
    <x v="2"/>
    <n v="1601003"/>
    <s v="J&amp;J BABY MILK SOAP 75G CT TBP EXP"/>
    <n v="21.6"/>
    <n v="21.6"/>
    <n v="21.6"/>
    <x v="19"/>
    <n v="5250"/>
    <n v="43362.765996855247"/>
    <n v="17321.091799999998"/>
    <n v="16398.518499999998"/>
    <n v="103118.52010587619"/>
    <n v="9.3663574553207347"/>
    <n v="3.7413558288000002"/>
    <n v="3.542079996"/>
    <n v="7.2834358247999997"/>
    <x v="1"/>
  </r>
  <r>
    <x v="12"/>
    <x v="9"/>
    <n v="1601098"/>
    <s v="DEW SOAP 100Gmx3"/>
    <n v="26"/>
    <n v="26"/>
    <n v="26"/>
    <x v="20"/>
    <n v="5250"/>
    <n v="37363.249360000002"/>
    <n v="47262.794339999993"/>
    <n v="36835.59301728"/>
    <n v="134461.63671727999"/>
    <n v="9.7144448336"/>
    <n v="12.288326528399999"/>
    <n v="9.5772541844927996"/>
    <n v="21.8655807128928"/>
    <x v="1"/>
  </r>
  <r>
    <x v="12"/>
    <x v="4"/>
    <n v="1601005"/>
    <s v="JO LIME MINI SOAP 30GM WP"/>
    <n v="15"/>
    <n v="245"/>
    <n v="15"/>
    <x v="19"/>
    <n v="5250"/>
    <n v="23570.249541380723"/>
    <n v="13471.285"/>
    <n v="9242.8091000000004"/>
    <n v="53044.417400767146"/>
    <n v="57.747111376382776"/>
    <n v="33.004648250000002"/>
    <n v="1.3864213649999999"/>
    <n v="34.391069614999999"/>
    <x v="1"/>
  </r>
  <r>
    <x v="12"/>
    <x v="4"/>
    <n v="1600859"/>
    <s v="JO LIME SOAP 55GM+10GM EXTRA x 4WP"/>
    <n v="50"/>
    <n v="0"/>
    <n v="50"/>
    <x v="19"/>
    <n v="5250"/>
    <n v="26446.970448371925"/>
    <n v="12425.700499999999"/>
    <n v="6949.9565000000002"/>
    <n v="54308.464356548779"/>
    <n v="0"/>
    <n v="0"/>
    <n v="3.4749782499999999"/>
    <n v="3.4749782499999999"/>
    <x v="1"/>
  </r>
  <r>
    <x v="12"/>
    <x v="4"/>
    <n v="1600029"/>
    <s v="JO LIME SOAP 65GM WP"/>
    <n v="8"/>
    <n v="0"/>
    <n v="8"/>
    <x v="19"/>
    <n v="5250"/>
    <n v="30332.842481382853"/>
    <n v="12425.700499999999"/>
    <n v="6039.8929000000007"/>
    <n v="53486.440984594097"/>
    <n v="0"/>
    <n v="0"/>
    <n v="0.48319143200000003"/>
    <n v="0.48319143200000003"/>
    <x v="1"/>
  </r>
  <r>
    <x v="12"/>
    <x v="4"/>
    <n v="1600027"/>
    <s v="JO LIME SOAP 60GMX5 WP"/>
    <n v="37"/>
    <n v="0"/>
    <n v="37"/>
    <x v="19"/>
    <n v="5250"/>
    <n v="30332.842481382853"/>
    <n v="12425.700499999999"/>
    <n v="7022.7060999999994"/>
    <n v="54469.254184594101"/>
    <n v="0"/>
    <n v="0"/>
    <n v="2.5984012569999999"/>
    <n v="2.5984012569999999"/>
    <x v="1"/>
  </r>
  <r>
    <x v="12"/>
    <x v="4"/>
    <n v="1600837"/>
    <s v="JO LIME SOAP 100GMX4 WP +PEACH 60G FREE"/>
    <n v="110"/>
    <n v="0"/>
    <n v="110"/>
    <x v="20"/>
    <n v="5250"/>
    <n v="30080.775956233061"/>
    <n v="12924.64813"/>
    <n v="6566.3464000000004"/>
    <n v="54139.149511561372"/>
    <n v="0"/>
    <n v="0"/>
    <n v="7.2229810400000005"/>
    <n v="7.2229810400000005"/>
    <x v="1"/>
  </r>
  <r>
    <x v="12"/>
    <x v="4"/>
    <n v="1600864"/>
    <s v="JO LIME SOAP 125GM x 4WP"/>
    <n v="50"/>
    <n v="0"/>
    <n v="50"/>
    <x v="19"/>
    <n v="5250"/>
    <n v="30332.842481382853"/>
    <n v="12425.700499999999"/>
    <n v="5452.3422"/>
    <n v="52898.890284594097"/>
    <n v="0"/>
    <n v="0"/>
    <n v="2.7261710999999997"/>
    <n v="2.7261710999999997"/>
    <x v="1"/>
  </r>
  <r>
    <x v="12"/>
    <x v="4"/>
    <n v="1601007"/>
    <s v="JO NEEM&amp;TULSI MINI SOAP 30GM WP"/>
    <n v="30"/>
    <n v="30"/>
    <n v="30"/>
    <x v="20"/>
    <n v="5250"/>
    <n v="30617.71057393786"/>
    <n v="13284.871999999999"/>
    <n v="5905.1215999999995"/>
    <n v="54532.535543080339"/>
    <n v="9.1853131721813579"/>
    <n v="3.9854615999999998"/>
    <n v="1.77153648"/>
    <n v="5.7569980799999998"/>
    <x v="1"/>
  </r>
  <r>
    <x v="12"/>
    <x v="4"/>
    <n v="1600932"/>
    <s v="JO NEEM&amp;TULSI SOAP 55GM+10GM EXTRA X 4WP"/>
    <n v="10"/>
    <n v="10"/>
    <n v="10"/>
    <x v="20"/>
    <n v="5250"/>
    <n v="30617.71057393786"/>
    <n v="13284.893"/>
    <n v="6907.7049000000006"/>
    <n v="55447.099615035011"/>
    <n v="3.061771057393786"/>
    <n v="1.3284893"/>
    <n v="0.69077049000000001"/>
    <n v="2.01925979"/>
    <x v="1"/>
  </r>
  <r>
    <x v="12"/>
    <x v="4"/>
    <n v="1600933"/>
    <s v="JO NEEM&amp;TULSI SOAP 100GMX4WP+PEACH60GFRE"/>
    <n v="13"/>
    <n v="13"/>
    <n v="13"/>
    <x v="20"/>
    <n v="5250"/>
    <n v="30328.492452730548"/>
    <n v="13618.172880000002"/>
    <n v="6466.3301200000005"/>
    <n v="55012.397978808796"/>
    <n v="3.9427040188549713"/>
    <n v="1.7703624744000004"/>
    <n v="0.84062291560000013"/>
    <n v="2.6109853900000006"/>
    <x v="1"/>
  </r>
  <r>
    <x v="12"/>
    <x v="4"/>
    <n v="1601006"/>
    <s v="JO ALMOND MINI SOAP 30GM WP"/>
    <n v="20"/>
    <n v="109"/>
    <n v="20"/>
    <x v="19"/>
    <n v="5250"/>
    <n v="28403.154095441365"/>
    <n v="16244.624470000001"/>
    <n v="8290.3799999999992"/>
    <n v="57288.66335882798"/>
    <n v="30.959437964031085"/>
    <n v="17.706640672300001"/>
    <n v="1.6580759999999997"/>
    <n v="19.364716672300002"/>
    <x v="1"/>
  </r>
  <r>
    <x v="12"/>
    <x v="4"/>
    <n v="1600856"/>
    <s v="JO ALMND&amp;CR SOAP 55GM+10GM EXTRA x 4WP"/>
    <n v="28"/>
    <n v="0"/>
    <n v="28"/>
    <x v="19"/>
    <n v="5250"/>
    <n v="28403.154095441365"/>
    <n v="16244.624470000001"/>
    <n v="7281.7548999999999"/>
    <n v="56280.038258827983"/>
    <n v="0"/>
    <n v="0"/>
    <n v="2.0388913720000001"/>
    <n v="2.0388913720000001"/>
    <x v="1"/>
  </r>
  <r>
    <x v="12"/>
    <x v="4"/>
    <n v="1600040"/>
    <s v="JO ALMOND&amp;CREAM SOAP 65GM WP"/>
    <n v="5"/>
    <n v="0"/>
    <n v="5"/>
    <x v="19"/>
    <n v="5250"/>
    <n v="28403.154095441365"/>
    <n v="16244.624470000001"/>
    <n v="6289.4019000000008"/>
    <n v="55287.68525882798"/>
    <n v="0"/>
    <n v="0"/>
    <n v="0.31447009500000006"/>
    <n v="0.31447009500000006"/>
    <x v="1"/>
  </r>
  <r>
    <x v="12"/>
    <x v="4"/>
    <n v="1600039"/>
    <s v="JO ALMOND&amp;CREAM SOAP 60GMX5 WP"/>
    <n v="29"/>
    <n v="0"/>
    <n v="29"/>
    <x v="19"/>
    <n v="5250"/>
    <n v="28403.154095441365"/>
    <n v="16244.624470000001"/>
    <n v="6782.2644"/>
    <n v="55780.547758827983"/>
    <n v="0"/>
    <n v="0"/>
    <n v="1.9668566759999999"/>
    <n v="1.9668566759999999"/>
    <x v="1"/>
  </r>
  <r>
    <x v="12"/>
    <x v="4"/>
    <n v="1600838"/>
    <s v="JO ALMND&amp;CR SOAP 100GMX4WP+PEACH60G FREE"/>
    <n v="45"/>
    <n v="0"/>
    <n v="45"/>
    <x v="20"/>
    <n v="5250"/>
    <n v="28403.154095441365"/>
    <n v="16244.624470000001"/>
    <n v="6493.1116000000011"/>
    <n v="55579.435186873307"/>
    <n v="0"/>
    <n v="0"/>
    <n v="2.9219002200000004"/>
    <n v="2.9219002200000004"/>
    <x v="1"/>
  </r>
  <r>
    <x v="12"/>
    <x v="4"/>
    <n v="1600860"/>
    <s v="JO SANDAL SOAP 55GM+10GM EXTRA x 4WP"/>
    <n v="7"/>
    <n v="24"/>
    <n v="7"/>
    <x v="19"/>
    <n v="5250"/>
    <n v="30833.644428660402"/>
    <n v="12122.366599999999"/>
    <n v="6522.73225"/>
    <n v="54143.449225821823"/>
    <n v="7.400074662878497"/>
    <n v="2.9093679839999997"/>
    <n v="0.45659125750000001"/>
    <n v="3.3659592414999997"/>
    <x v="1"/>
  </r>
  <r>
    <x v="12"/>
    <x v="4"/>
    <n v="1600062"/>
    <s v="JO SANDAL SOAP 60GMX5 WP"/>
    <n v="11"/>
    <n v="0"/>
    <n v="11"/>
    <x v="20"/>
    <n v="5250"/>
    <n v="30833.644428660402"/>
    <n v="12122.366599999999"/>
    <n v="7067.6341000000002"/>
    <n v="54688.351075821825"/>
    <n v="0"/>
    <n v="0"/>
    <n v="0.77743975099999996"/>
    <n v="0.77743975099999996"/>
    <x v="1"/>
  </r>
  <r>
    <x v="12"/>
    <x v="4"/>
    <n v="1600840"/>
    <s v="JO SANDAL SOAP 100GMX4 WP+PEACH60G FREE"/>
    <n v="30"/>
    <n v="0"/>
    <n v="30"/>
    <x v="20"/>
    <n v="5250"/>
    <n v="30516.288284278715"/>
    <n v="12660.60096"/>
    <n v="6514.5382800000007"/>
    <n v="54315.107319079281"/>
    <n v="0"/>
    <n v="0"/>
    <n v="1.9543614840000001"/>
    <n v="1.9543614840000001"/>
    <x v="1"/>
  </r>
  <r>
    <x v="12"/>
    <x v="4"/>
    <n v="1600862"/>
    <s v="JO PEACH&amp;CREAM SOAP 55GM+10GM EXTRA x4WP"/>
    <n v="25"/>
    <n v="27"/>
    <n v="25"/>
    <x v="19"/>
    <n v="5250"/>
    <n v="27847.918005839034"/>
    <n v="18517.333070000001"/>
    <n v="5518.9767000000002"/>
    <n v="56250.994762367445"/>
    <n v="7.5189378615765392"/>
    <n v="4.9996799289"/>
    <n v="1.3797441750000001"/>
    <n v="6.3794241038999999"/>
    <x v="1"/>
  </r>
  <r>
    <x v="12"/>
    <x v="4"/>
    <n v="1600868"/>
    <s v="JO PEACH&amp;CREAM SOAP 125GM x 4WP"/>
    <n v="10"/>
    <n v="0"/>
    <n v="10"/>
    <x v="19"/>
    <n v="5250"/>
    <n v="31106.1286558629"/>
    <n v="17731.289969999998"/>
    <n v="5758.7471999999998"/>
    <n v="59384.137345273768"/>
    <n v="0"/>
    <n v="0"/>
    <n v="0.57587471999999995"/>
    <n v="0.57587471999999995"/>
    <x v="1"/>
  </r>
  <r>
    <x v="12"/>
    <x v="4"/>
    <n v="1600578"/>
    <s v="BACTERSHIELD ANTI-BACT SOAP 60+10GM WP"/>
    <n v="10"/>
    <n v="15"/>
    <n v="10"/>
    <x v="21"/>
    <n v="5250"/>
    <n v="25063.037500522743"/>
    <n v="20578.446200000002"/>
    <n v="6044.6166000000003"/>
    <n v="55604.812186312854"/>
    <n v="3.7594556250784117"/>
    <n v="3.0867669300000005"/>
    <n v="0.60446166000000001"/>
    <n v="3.6912285900000006"/>
    <x v="1"/>
  </r>
  <r>
    <x v="12"/>
    <x v="4"/>
    <n v="1600110"/>
    <s v="BACTERSHIELD ANTI-BACT SOAP 125GMX4 WP"/>
    <n v="8"/>
    <n v="0"/>
    <n v="8"/>
    <x v="20"/>
    <n v="5250"/>
    <n v="33028.86696976325"/>
    <n v="15508.023000000001"/>
    <n v="21464.599399999999"/>
    <n v="74717.368556110523"/>
    <n v="0"/>
    <n v="0"/>
    <n v="1.7171679519999998"/>
    <n v="1.7171679519999998"/>
    <x v="1"/>
  </r>
  <r>
    <x v="12"/>
    <x v="4"/>
    <n v="1601057"/>
    <s v="BACTERSHIELD ULTRA BALANCE SOAP 125GX4WP"/>
    <n v="13"/>
    <n v="13"/>
    <n v="13"/>
    <x v="19"/>
    <n v="5250"/>
    <n v="25063.037500522743"/>
    <n v="20578.446200000002"/>
    <n v="8254.2760000000017"/>
    <n v="57814.471586312851"/>
    <n v="3.2581948750679568"/>
    <n v="2.675198006"/>
    <n v="1.0730558800000001"/>
    <n v="3.7482538860000001"/>
    <x v="1"/>
  </r>
  <r>
    <x v="12"/>
    <x v="4"/>
    <n v="1601105"/>
    <s v="BACTERSHIELD ULTRA NATURALS SOAP 60 WP"/>
    <n v="10"/>
    <n v="10"/>
    <n v="10"/>
    <x v="20"/>
    <n v="5250"/>
    <n v="25063.037500522743"/>
    <n v="20578.446200000002"/>
    <n v="6044.6166000000003"/>
    <n v="55604.812186312854"/>
    <n v="2.5063037500522745"/>
    <n v="2.0578446200000005"/>
    <n v="0.60446166000000001"/>
    <n v="2.6623062800000006"/>
    <x v="1"/>
  </r>
  <r>
    <x v="12"/>
    <x v="4"/>
    <n v="1601103"/>
    <s v="BACTERSHIELD ULTRA FRESH SOAP 60 WP"/>
    <n v="10"/>
    <n v="10"/>
    <n v="10"/>
    <x v="19"/>
    <n v="5250"/>
    <n v="25063.037500522743"/>
    <n v="20578.446200000002"/>
    <n v="5188.0810000000001"/>
    <n v="54836.316814358172"/>
    <n v="2.5063037500522745"/>
    <n v="2.0578446200000005"/>
    <n v="0.51880809999999999"/>
    <n v="2.5766527200000002"/>
    <x v="1"/>
  </r>
  <r>
    <x v="12"/>
    <x v="4"/>
    <n v="1601102"/>
    <s v="BACTERSHIELD ULTRA BALANCE SOAP 60 WP"/>
    <n v="19"/>
    <n v="19"/>
    <n v="19"/>
    <x v="22"/>
    <n v="5250"/>
    <n v="30236.86752490091"/>
    <n v="13236.08807"/>
    <n v="6501.4927299999999"/>
    <n v="54562.006056681836"/>
    <n v="5.7450048297311724"/>
    <n v="2.5148567332999998"/>
    <n v="1.2352836187"/>
    <n v="3.7501403519999998"/>
    <x v="1"/>
  </r>
  <r>
    <x v="13"/>
    <x v="9"/>
    <n v="1600854"/>
    <s v="CHANDAN SPARSH SOAP 150GX4"/>
    <n v="30"/>
    <n v="30"/>
    <n v="30"/>
    <x v="23"/>
    <n v="5250"/>
    <n v="33383.225173852494"/>
    <n v="18542.051623200005"/>
    <n v="6310.0995489899997"/>
    <n v="72104.149788063893"/>
    <n v="10.014967552155747"/>
    <n v="5.5626154869600013"/>
    <n v="1.8930298646970001"/>
    <n v="7.4556453516570009"/>
    <x v="1"/>
  </r>
  <r>
    <x v="13"/>
    <x v="4"/>
    <n v="1600767"/>
    <s v="JO LIME SOAP 55GMX3WP+2 JO55GM FREE"/>
    <n v="13"/>
    <n v="13"/>
    <n v="13"/>
    <x v="23"/>
    <n v="5250"/>
    <n v="33037.897456417064"/>
    <n v="12428.3577"/>
    <n v="6389.6835999999994"/>
    <n v="57010.045875787808"/>
    <n v="4.2949266693342185"/>
    <n v="1.6156865009999999"/>
    <n v="0.83065886799999988"/>
    <n v="2.4463453689999999"/>
    <x v="1"/>
  </r>
  <r>
    <x v="13"/>
    <x v="4"/>
    <n v="1600027"/>
    <s v="JO LIME SOAP 60GMX5 WP"/>
    <n v="5"/>
    <n v="5"/>
    <n v="5"/>
    <x v="23"/>
    <n v="5250"/>
    <n v="33037.897456417064"/>
    <n v="12428.3577"/>
    <n v="7029.5510999999997"/>
    <n v="57343.719552303824"/>
    <n v="1.6518948728208531"/>
    <n v="0.62141788500000006"/>
    <n v="0.351477555"/>
    <n v="0.97289544000000006"/>
    <x v="1"/>
  </r>
  <r>
    <x v="13"/>
    <x v="4"/>
    <n v="1600488"/>
    <s v="JO LIME SOAP 100GMX8 WP"/>
    <n v="5"/>
    <n v="5"/>
    <n v="5"/>
    <x v="24"/>
    <n v="5250"/>
    <n v="33037.897456417064"/>
    <n v="12453.0232"/>
    <n v="9440.6481999999996"/>
    <n v="59688.065984220935"/>
    <n v="1.6518948728208531"/>
    <n v="0.62265115999999998"/>
    <n v="0.47203240999999996"/>
    <n v="1.0946835699999999"/>
    <x v="1"/>
  </r>
  <r>
    <x v="13"/>
    <x v="4"/>
    <n v="1600971"/>
    <s v="JO LIME SOAP 100GM X 3+2 WP FREE"/>
    <n v="45"/>
    <n v="45"/>
    <n v="45"/>
    <x v="24"/>
    <n v="5250"/>
    <n v="33037.897456417064"/>
    <n v="12428.3577"/>
    <n v="7718.6300900000006"/>
    <n v="59371.735480355928"/>
    <n v="14.867053855387677"/>
    <n v="5.5927609650000001"/>
    <n v="3.4733835405000004"/>
    <n v="9.0661445055000005"/>
    <x v="1"/>
  </r>
  <r>
    <x v="13"/>
    <x v="4"/>
    <n v="1600926"/>
    <s v="JO LIME SOAP 150GM X 4WP"/>
    <n v="10"/>
    <n v="10"/>
    <n v="10"/>
    <x v="24"/>
    <n v="5250"/>
    <n v="33037.897456417064"/>
    <n v="12428.3577"/>
    <n v="7718.6300900000006"/>
    <n v="59371.735480355928"/>
    <n v="3.3037897456417062"/>
    <n v="1.2428357700000001"/>
    <n v="0.77186300900000004"/>
    <n v="2.0146987790000002"/>
    <x v="1"/>
  </r>
  <r>
    <x v="13"/>
    <x v="4"/>
    <n v="1601007"/>
    <s v="JO NEEM&amp;TULSI MINI SOAP 30GM WP"/>
    <n v="5"/>
    <n v="5"/>
    <n v="5"/>
    <x v="24"/>
    <n v="5250"/>
    <n v="28535.225545363894"/>
    <n v="14117.627"/>
    <n v="9216.359199999999"/>
    <n v="56063.175995746904"/>
    <n v="1.4267612772681948"/>
    <n v="0.70588135000000007"/>
    <n v="0.46081795999999997"/>
    <n v="1.16669931"/>
    <x v="1"/>
  </r>
  <r>
    <x v="13"/>
    <x v="4"/>
    <n v="1600932"/>
    <s v="JO NEEM&amp;TULSI SOAP 55GM+10GM EXTRA X 4WP"/>
    <n v="6"/>
    <n v="6"/>
    <n v="6"/>
    <x v="23"/>
    <n v="5250"/>
    <n v="33344.421599957808"/>
    <n v="13297.803499999998"/>
    <n v="6576.0447000000004"/>
    <n v="58012.846355079775"/>
    <n v="2.0006652959974685"/>
    <n v="0.79786820999999997"/>
    <n v="0.39456268200000005"/>
    <n v="1.192430892"/>
    <x v="1"/>
  </r>
  <r>
    <x v="13"/>
    <x v="4"/>
    <n v="1601006"/>
    <s v="JO ALMOND MINI SOAP 30GM WP"/>
    <n v="10"/>
    <n v="10"/>
    <n v="10"/>
    <x v="23"/>
    <n v="5250"/>
    <n v="26566.74474430902"/>
    <n v="17252.849999999999"/>
    <n v="9177.0056000000004"/>
    <n v="59957.73691112431"/>
    <n v="2.6566744744309019"/>
    <n v="1.725285"/>
    <n v="0.91770056000000011"/>
    <n v="2.6429855600000001"/>
    <x v="1"/>
  </r>
  <r>
    <x v="13"/>
    <x v="4"/>
    <n v="1600768"/>
    <s v="JO ALMND&amp;CR SOAP 55GMX3WP+2 JO55GM FREE"/>
    <n v="12"/>
    <n v="12"/>
    <n v="12"/>
    <x v="23"/>
    <n v="5250"/>
    <n v="30961.511594820338"/>
    <n v="15979.349850000001"/>
    <n v="6501.3526000000011"/>
    <n v="58032.178379207195"/>
    <n v="3.715381391378441"/>
    <n v="1.9175219820000002"/>
    <n v="0.78016231200000008"/>
    <n v="2.6976842940000001"/>
    <x v="1"/>
  </r>
  <r>
    <x v="13"/>
    <x v="4"/>
    <n v="1600039"/>
    <s v="JO ALMOND&amp;CREAM SOAP 60GMX5 WP"/>
    <n v="5"/>
    <n v="5"/>
    <n v="5"/>
    <x v="24"/>
    <n v="5250"/>
    <n v="30961.511594820338"/>
    <n v="15979.349850000001"/>
    <n v="7011.2470999999996"/>
    <n v="58542.072879207197"/>
    <n v="1.5480755797410168"/>
    <n v="0.7989674925000001"/>
    <n v="0.35056235499999994"/>
    <n v="1.1495298475"/>
    <x v="1"/>
  </r>
  <r>
    <x v="13"/>
    <x v="4"/>
    <n v="1600927"/>
    <s v="JO ALMND&amp;CR SOAP 150GM X 4WP"/>
    <n v="7"/>
    <n v="7"/>
    <n v="7"/>
    <x v="24"/>
    <n v="5250"/>
    <n v="30961.511594820338"/>
    <n v="15979.349850000001"/>
    <n v="7718.6300900000006"/>
    <n v="59371.735480355928"/>
    <n v="2.1673058116374238"/>
    <n v="1.1185544895000001"/>
    <n v="0.54030410630000003"/>
    <n v="1.6588585958000002"/>
    <x v="1"/>
  </r>
  <r>
    <x v="13"/>
    <x v="4"/>
    <n v="1600770"/>
    <s v="JO SANDAL SOAP 55GMX3WP+2 JO55GM FREE"/>
    <n v="5"/>
    <n v="5"/>
    <n v="5"/>
    <x v="23"/>
    <n v="5250"/>
    <n v="33576.771033292454"/>
    <n v="12128.7338"/>
    <n v="6389.6835999999994"/>
    <n v="57010.045875787808"/>
    <n v="1.6788385516646227"/>
    <n v="0.60643669"/>
    <n v="0.31948417999999995"/>
    <n v="0.9259208699999999"/>
    <x v="1"/>
  </r>
  <r>
    <x v="13"/>
    <x v="4"/>
    <n v="1600860"/>
    <s v="JO SANDAL SOAP 55GM+10GM EXTRA x 4WP"/>
    <n v="6"/>
    <n v="6"/>
    <n v="6"/>
    <x v="23"/>
    <n v="5250"/>
    <n v="33576.771033292454"/>
    <n v="12128.7338"/>
    <n v="6389.6836000000003"/>
    <n v="56918.629707704931"/>
    <n v="2.0146062619975473"/>
    <n v="0.72772402799999991"/>
    <n v="0.38338101600000002"/>
    <n v="1.1111050439999999"/>
    <x v="1"/>
  </r>
  <r>
    <x v="13"/>
    <x v="4"/>
    <n v="1600062"/>
    <s v="JO SANDAL SOAP 60GMX5 WP"/>
    <n v="11"/>
    <n v="11"/>
    <n v="11"/>
    <x v="23"/>
    <n v="5250"/>
    <n v="33576.771033292454"/>
    <n v="12128.7338"/>
    <n v="7063.4551000000001"/>
    <n v="57592.401207704926"/>
    <n v="3.69344481366217"/>
    <n v="1.3341607180000001"/>
    <n v="0.77698006099999994"/>
    <n v="2.1111407790000003"/>
    <x v="1"/>
  </r>
  <r>
    <x v="13"/>
    <x v="4"/>
    <n v="1600804"/>
    <s v="JO PEACH&amp;CR SOAP 55GMX3WP+2 JO55GM FREE"/>
    <n v="5"/>
    <n v="5"/>
    <n v="5"/>
    <x v="23"/>
    <n v="5250"/>
    <n v="33869.969873578448"/>
    <n v="17463.15035"/>
    <n v="6501.1516000000001"/>
    <n v="57937.953255079774"/>
    <n v="1.6934984936789226"/>
    <n v="0.87315751749999992"/>
    <n v="0.32505758000000001"/>
    <n v="1.1982150974999999"/>
    <x v="1"/>
  </r>
  <r>
    <x v="13"/>
    <x v="4"/>
    <n v="1600862"/>
    <s v="JO PEACH&amp;CREAM SOAP 55GM+10GM EXTRA x4WP"/>
    <n v="5"/>
    <n v="5"/>
    <n v="5"/>
    <x v="24"/>
    <n v="5250"/>
    <n v="33869.969873578448"/>
    <n v="17463.15035"/>
    <n v="6501.1516000000001"/>
    <n v="57937.953255079774"/>
    <n v="1.6934984936789226"/>
    <n v="0.87315751749999992"/>
    <n v="0.32505758000000001"/>
    <n v="1.1982150974999999"/>
    <x v="1"/>
  </r>
  <r>
    <x v="13"/>
    <x v="4"/>
    <n v="1600868"/>
    <s v="JO PEACH&amp;CREAM SOAP 125GM x 4WP"/>
    <n v="10"/>
    <n v="10"/>
    <n v="10"/>
    <x v="23"/>
    <n v="5250"/>
    <n v="33869.969873578448"/>
    <n v="17463.15035"/>
    <n v="7718.6300900000006"/>
    <n v="59371.735480355928"/>
    <n v="3.3869969873578452"/>
    <n v="1.7463150349999998"/>
    <n v="0.77186300900000004"/>
    <n v="2.5181780439999999"/>
    <x v="1"/>
  </r>
  <r>
    <x v="13"/>
    <x v="4"/>
    <n v="1601043"/>
    <s v="DOY CARE MILK CRÈAM SOAP 75GMX4 CT+ Doy Sandal50g"/>
    <n v="4"/>
    <n v="4"/>
    <n v="4"/>
    <x v="24"/>
    <n v="5250"/>
    <n v="32706.90233187571"/>
    <n v="16817.491999999998"/>
    <n v="20826.346700000002"/>
    <n v="75489.412199677448"/>
    <n v="1.3082760932750284"/>
    <n v="0.67269967999999991"/>
    <n v="0.83305386800000003"/>
    <n v="1.5057535479999999"/>
    <x v="1"/>
  </r>
  <r>
    <x v="13"/>
    <x v="4"/>
    <n v="1600478"/>
    <s v="DOY CARE ALOEVERA SOAP 50GM CT"/>
    <n v="12"/>
    <n v="12"/>
    <n v="12"/>
    <x v="23"/>
    <n v="5250"/>
    <n v="31125.242258869752"/>
    <n v="16795.526399999999"/>
    <n v="21783.801599999999"/>
    <n v="75244.822566665171"/>
    <n v="3.7350290710643703"/>
    <n v="2.0154631679999997"/>
    <n v="2.6140561920000001"/>
    <n v="4.6295193599999998"/>
    <x v="1"/>
  </r>
  <r>
    <x v="13"/>
    <x v="4"/>
    <n v="1601038"/>
    <s v="DOY CARE ALOEVERA SOAP 75GMX4 CT + Sandal 50gm"/>
    <n v="10"/>
    <n v="10"/>
    <n v="10"/>
    <x v="23"/>
    <n v="5250"/>
    <n v="31125.242258869752"/>
    <n v="16795.526399999999"/>
    <n v="20899.002700000001"/>
    <n v="74360.023666665176"/>
    <n v="3.112524225886975"/>
    <n v="1.67955264"/>
    <n v="2.0899002700000002"/>
    <n v="3.76945291"/>
    <x v="1"/>
  </r>
  <r>
    <x v="13"/>
    <x v="4"/>
    <n v="1600088"/>
    <s v="DOY CARE ALOEVERA SOAP 125GM CT"/>
    <n v="8"/>
    <n v="8"/>
    <n v="8"/>
    <x v="23"/>
    <n v="5250"/>
    <n v="31125.242258869752"/>
    <n v="16795.526399999999"/>
    <n v="15098.1196"/>
    <n v="68467.724398582301"/>
    <n v="2.4900193807095801"/>
    <n v="1.3436421119999999"/>
    <n v="1.2078495680000001"/>
    <n v="2.5514916799999998"/>
    <x v="1"/>
  </r>
  <r>
    <x v="13"/>
    <x v="4"/>
    <n v="1600816"/>
    <s v="DOY CARE CUCUMBER SOAP 50GM CT"/>
    <n v="5"/>
    <n v="5"/>
    <n v="5"/>
    <x v="24"/>
    <n v="5250"/>
    <n v="33418.600411146661"/>
    <n v="15509.18"/>
    <n v="21464.599399999999"/>
    <n v="75625.687829381641"/>
    <n v="1.670930020557333"/>
    <n v="0.7754589999999999"/>
    <n v="1.0732299700000001"/>
    <n v="1.84868897"/>
    <x v="1"/>
  </r>
  <r>
    <x v="13"/>
    <x v="4"/>
    <n v="1600836"/>
    <s v="DOY CARE CUCUMBER SOAP 125GMX4 MULTI-CT"/>
    <n v="5"/>
    <n v="5"/>
    <n v="5"/>
    <x v="24"/>
    <n v="5250"/>
    <n v="33418.600411146661"/>
    <n v="15509.18"/>
    <n v="17790.372599999999"/>
    <n v="71860.044861298753"/>
    <n v="1.670930020557333"/>
    <n v="0.7754589999999999"/>
    <n v="0.88951862999999998"/>
    <n v="1.6649776299999999"/>
    <x v="1"/>
  </r>
  <r>
    <x v="13"/>
    <x v="4"/>
    <n v="1600960"/>
    <s v="DOY CARE SANDAL SOAP 50GM CT"/>
    <n v="5"/>
    <n v="5"/>
    <n v="5"/>
    <x v="24"/>
    <n v="5250"/>
    <n v="31169.80633522581"/>
    <n v="18184.665417999997"/>
    <n v="21074.663800000002"/>
    <n v="75737.729299677449"/>
    <n v="1.5584903167612907"/>
    <n v="0.90923327089999972"/>
    <n v="1.0537331900000002"/>
    <n v="1.9629664608999999"/>
    <x v="1"/>
  </r>
  <r>
    <x v="13"/>
    <x v="4"/>
    <n v="1601074"/>
    <s v="DOY CARE SANDAL SOAP 125GMX4 MULTI-CT (MRP-99)"/>
    <n v="17"/>
    <n v="17"/>
    <n v="17"/>
    <x v="24"/>
    <n v="5250"/>
    <n v="31169.80633522581"/>
    <n v="18184.665417999997"/>
    <n v="20826.346700000002"/>
    <n v="75489.412199677448"/>
    <n v="5.2988670769883877"/>
    <n v="3.0913931210599999"/>
    <n v="3.5404789390000002"/>
    <n v="6.6318720600600001"/>
    <x v="1"/>
  </r>
  <r>
    <x v="13"/>
    <x v="2"/>
    <n v="1600992"/>
    <s v="JOHNSON BABY POWDER 200G BT CRANBY"/>
    <n v="63"/>
    <n v="63"/>
    <n v="63"/>
    <x v="23"/>
    <m/>
    <n v="0"/>
    <n v="30035.757239999999"/>
    <n v="32196.935099999999"/>
    <n v="68959.257211266042"/>
    <n v="0"/>
    <n v="18.9225270612"/>
    <n v="20.284069113000001"/>
    <n v="39.206596174200001"/>
    <x v="1"/>
  </r>
  <r>
    <x v="14"/>
    <x v="1"/>
    <n v="1600919"/>
    <s v="New Persona Soap ( Pack of 3)"/>
    <n v="124"/>
    <n v="124"/>
    <n v="124"/>
    <x v="25"/>
    <n v="5250"/>
    <n v="32635.893388185294"/>
    <n v="27250.146000000004"/>
    <n v="12174.967699999999"/>
    <n v="91747.459461006918"/>
    <n v="40.468507801349766"/>
    <n v="33.790181040000007"/>
    <n v="15.096959948"/>
    <n v="48.887140988000006"/>
    <x v="1"/>
  </r>
  <r>
    <x v="14"/>
    <x v="3"/>
    <n v="1600752"/>
    <s v="NIVEA CREME SOFT SOAP 75GX4 CT NEW"/>
    <n v="15"/>
    <m/>
    <n v="15"/>
    <x v="26"/>
    <n v="5250"/>
    <n v="32521.553612115204"/>
    <n v="26991.857"/>
    <n v="27479.694900000002"/>
    <n v="102418.28465902977"/>
    <n v="0"/>
    <n v="0"/>
    <n v="4.1219542350000005"/>
    <n v="4.1219542350000005"/>
    <x v="1"/>
  </r>
  <r>
    <x v="14"/>
    <x v="3"/>
    <n v="1600757"/>
    <s v="NIVEA CREME SOFT SOAP 125GX4CTNEW"/>
    <n v="26"/>
    <n v="26"/>
    <n v="26"/>
    <x v="26"/>
    <n v="5250"/>
    <n v="32521.553612115204"/>
    <n v="26991.857"/>
    <n v="20770.035"/>
    <n v="91266.652330320358"/>
    <n v="8.4556039391499525"/>
    <n v="7.0178828199999996"/>
    <n v="5.4002091000000005"/>
    <n v="12.41809192"/>
    <x v="1"/>
  </r>
  <r>
    <x v="14"/>
    <x v="12"/>
    <n v="1600230"/>
    <s v="NEKO BOUQUET SOAP 75G CT"/>
    <n v="30"/>
    <n v="30"/>
    <n v="30"/>
    <x v="26"/>
    <n v="5250"/>
    <n v="36171.040872467413"/>
    <n v="16198.055"/>
    <n v="11985.720599999999"/>
    <n v="91407.206127651763"/>
    <n v="10.851312261740222"/>
    <n v="4.8594165"/>
    <n v="3.5957161799999997"/>
    <n v="8.4551326800000002"/>
    <x v="1"/>
  </r>
  <r>
    <x v="14"/>
    <x v="4"/>
    <n v="1600971"/>
    <s v="JO LIME SOAP 100GM X 3+2 WP FREE"/>
    <n v="45"/>
    <n v="125"/>
    <n v="45"/>
    <x v="26"/>
    <n v="5250"/>
    <n v="33037.897456417064"/>
    <n v="12428.3577"/>
    <n v="7718.6300900000006"/>
    <n v="59371.735480355928"/>
    <n v="41.297371820521334"/>
    <n v="15.535447125000001"/>
    <n v="3.4733835405000004"/>
    <n v="19.0088306655"/>
    <x v="1"/>
  </r>
  <r>
    <x v="14"/>
    <x v="4"/>
    <n v="1600924"/>
    <s v="JO LIME SOAP 80GM WP"/>
    <n v="115"/>
    <m/>
    <n v="115"/>
    <x v="27"/>
    <n v="5250"/>
    <n v="33037.897456417064"/>
    <n v="12428.3577"/>
    <n v="6289.4019000000008"/>
    <n v="56512.154184220948"/>
    <n v="0"/>
    <n v="0"/>
    <n v="7.2328121850000011"/>
    <n v="7.2328121850000011"/>
    <x v="1"/>
  </r>
  <r>
    <x v="14"/>
    <x v="4"/>
    <n v="1600972"/>
    <s v="JO ALMND&amp;CR SOAP 100GM X 3+2 WP FREE"/>
    <n v="30"/>
    <n v="60"/>
    <n v="30"/>
    <x v="27"/>
    <n v="5250"/>
    <n v="30961.511594820338"/>
    <n v="15979.349850000001"/>
    <n v="7718.6300900000006"/>
    <n v="59371.735480355928"/>
    <n v="18.576906956892202"/>
    <n v="9.5876099100000012"/>
    <n v="2.3155890270000001"/>
    <n v="11.903198937000001"/>
    <x v="1"/>
  </r>
  <r>
    <x v="14"/>
    <x v="4"/>
    <n v="1600866"/>
    <s v="JO ALMND&amp;CR SOAP 125GM x 4WP"/>
    <n v="10"/>
    <m/>
    <n v="10"/>
    <x v="26"/>
    <n v="5250"/>
    <n v="30961.511594820338"/>
    <n v="15979.349850000001"/>
    <n v="7718.6300900000006"/>
    <n v="59371.735480355928"/>
    <n v="0"/>
    <n v="0"/>
    <n v="0.77186300900000004"/>
    <n v="0.77186300900000004"/>
    <x v="1"/>
  </r>
  <r>
    <x v="14"/>
    <x v="4"/>
    <n v="1600925"/>
    <s v="JO ALMND&amp;CR SOAP 80GM WP"/>
    <n v="35"/>
    <m/>
    <n v="35"/>
    <x v="27"/>
    <n v="5250"/>
    <n v="30961.511594820302"/>
    <n v="15979.349850000001"/>
    <n v="6782.2644"/>
    <n v="58221.674011124313"/>
    <n v="0"/>
    <n v="0"/>
    <n v="2.3737925400000002"/>
    <n v="2.3737925400000002"/>
    <x v="1"/>
  </r>
  <r>
    <x v="14"/>
    <x v="4"/>
    <n v="1600960"/>
    <s v="DOY CARE SANDAL SOAP 50GM CT"/>
    <n v="6"/>
    <n v="6"/>
    <n v="6"/>
    <x v="27"/>
    <n v="5250"/>
    <n v="31169.80633522581"/>
    <n v="18184.665417999997"/>
    <n v="21074.663800000002"/>
    <n v="75737.729299677449"/>
    <n v="1.8701883801135484"/>
    <n v="1.0910799250799998"/>
    <n v="1.264479828"/>
    <n v="2.3555597530799997"/>
    <x v="1"/>
  </r>
  <r>
    <x v="14"/>
    <x v="4"/>
    <n v="1600106"/>
    <s v="BACTERSHIELD ANTI-BACT SOAP 34GM WP"/>
    <n v="14"/>
    <n v="14"/>
    <n v="14"/>
    <x v="27"/>
    <n v="5250"/>
    <n v="27430.727919119818"/>
    <n v="19047.165000000001"/>
    <n v="8254.2760000000017"/>
    <n v="58883.504769623934"/>
    <n v="3.8403019086767745"/>
    <n v="2.6666031000000001"/>
    <n v="1.1555986400000002"/>
    <n v="3.8222017400000006"/>
    <x v="1"/>
  </r>
  <r>
    <x v="14"/>
    <x v="4"/>
    <n v="1600836"/>
    <s v="DOY CARE CUCUMBER SOAP 125GMX4 MULTI-CT"/>
    <n v="5"/>
    <n v="5"/>
    <n v="5"/>
    <x v="27"/>
    <n v="5250"/>
    <n v="33418.600411146661"/>
    <n v="15509.18"/>
    <n v="17790.372599999999"/>
    <n v="71860.044861298753"/>
    <n v="1.670930020557333"/>
    <n v="0.7754589999999999"/>
    <n v="0.88951862999999998"/>
    <n v="1.6649776299999999"/>
    <x v="1"/>
  </r>
  <r>
    <x v="14"/>
    <x v="4"/>
    <n v="1601079"/>
    <s v="JO COCONUT&amp;OLIVE SOAP 55GX3WP+2JO55G FRE"/>
    <n v="30"/>
    <n v="30"/>
    <n v="30"/>
    <x v="27"/>
    <n v="5250"/>
    <n v="30961.511594820338"/>
    <n v="15979.349850000001"/>
    <n v="7718.6300900000006"/>
    <n v="59371.735480355928"/>
    <n v="9.288453478446101"/>
    <n v="4.7938049550000006"/>
    <n v="2.3155890270000001"/>
    <n v="7.1093939820000003"/>
    <x v="1"/>
  </r>
  <r>
    <x v="14"/>
    <x v="4"/>
    <n v="1601078"/>
    <s v="JO COCONUT&amp;OLIVE SOAP 100GM X 3+2WP FREE"/>
    <n v="30"/>
    <n v="30"/>
    <n v="30"/>
    <x v="27"/>
    <n v="5250"/>
    <n v="30961.511594820338"/>
    <n v="15979.349850000001"/>
    <n v="7718.6300900000006"/>
    <n v="59371.735480355928"/>
    <n v="9.288453478446101"/>
    <n v="4.7938049550000006"/>
    <n v="2.3155890270000001"/>
    <n v="7.1093939820000003"/>
    <x v="1"/>
  </r>
  <r>
    <x v="14"/>
    <x v="4"/>
    <n v="1601108"/>
    <s v="JO SANDAL 125X4"/>
    <n v="75"/>
    <n v="75"/>
    <n v="75"/>
    <x v="27"/>
    <n v="5250"/>
    <n v="30961.511594820338"/>
    <n v="15979.349850000001"/>
    <n v="7718.6300900000006"/>
    <n v="59371.735480355928"/>
    <n v="23.221133696115256"/>
    <n v="11.984512387500001"/>
    <n v="5.788972567500001"/>
    <n v="17.773484955000001"/>
    <x v="1"/>
  </r>
  <r>
    <x v="14"/>
    <x v="2"/>
    <n v="1600555"/>
    <s v="J&amp;J BABY(11+1)OFFER SOAP 25G FW"/>
    <n v="57"/>
    <n v="57"/>
    <n v="57"/>
    <x v="28"/>
    <n v="5250"/>
    <n v="40515.931067269281"/>
    <n v="18360.094369999999"/>
    <n v="34270.658000000003"/>
    <n v="114970.42324228735"/>
    <n v="23.09408070834349"/>
    <n v="10.4652537909"/>
    <n v="19.534275060000002"/>
    <n v="29.999528850900003"/>
    <x v="1"/>
  </r>
  <r>
    <x v="14"/>
    <x v="2"/>
    <n v="1600200"/>
    <s v="J&amp;J BABY 1/4LOTION SOAP 75G CT"/>
    <n v="90"/>
    <n v="90"/>
    <n v="90"/>
    <x v="28"/>
    <n v="5250"/>
    <n v="40515.931067269281"/>
    <n v="18360.094369999999"/>
    <n v="16462.692799999997"/>
    <n v="111703.35646383473"/>
    <n v="36.464337960542352"/>
    <n v="16.524084933000001"/>
    <n v="14.816423519999997"/>
    <n v="31.340508452999998"/>
    <x v="1"/>
  </r>
  <r>
    <x v="14"/>
    <x v="2"/>
    <n v="1600208"/>
    <s v="J&amp;J BABY(UPGRADE) SOAP 150G CT"/>
    <n v="21"/>
    <n v="21"/>
    <n v="21"/>
    <x v="28"/>
    <n v="5250"/>
    <n v="40515.931067269281"/>
    <n v="18360.094369999999"/>
    <n v="11669.704800000001"/>
    <n v="101211.14642198299"/>
    <n v="8.5083455241265487"/>
    <n v="3.8556198176999996"/>
    <n v="2.4506380080000003"/>
    <n v="6.3062578256999995"/>
    <x v="1"/>
  </r>
  <r>
    <x v="14"/>
    <x v="8"/>
    <n v="1600568"/>
    <s v="KZ SOAP 75 G"/>
    <n v="8"/>
    <n v="8"/>
    <n v="8"/>
    <x v="28"/>
    <n v="5250"/>
    <n v="74378.871419999996"/>
    <n v="109353.98439"/>
    <n v="26486.006799999999"/>
    <n v="221005.7710993278"/>
    <n v="5.9503097135999994"/>
    <n v="8.7483187511999994"/>
    <n v="2.118880544"/>
    <n v="10.867199295199999"/>
    <x v="1"/>
  </r>
  <r>
    <x v="14"/>
    <x v="8"/>
    <n v="1600601"/>
    <s v="Kz 50g PS"/>
    <n v="5"/>
    <n v="5"/>
    <n v="5"/>
    <x v="28"/>
    <n v="5250"/>
    <n v="74378.871419999996"/>
    <n v="109353.98439"/>
    <n v="40304.228000000003"/>
    <n v="238697.84729926658"/>
    <n v="3.7189435709999996"/>
    <n v="5.4676992195"/>
    <n v="2.0152114000000001"/>
    <n v="7.4829106195000001"/>
    <x v="1"/>
  </r>
  <r>
    <x v="14"/>
    <x v="4"/>
    <n v="1600062"/>
    <s v="JO SANDAL SOAP 60GMX5 WP"/>
    <n v="22"/>
    <n v="22"/>
    <n v="22"/>
    <x v="28"/>
    <n v="5250"/>
    <n v="33576.771033292454"/>
    <n v="12128.7338"/>
    <n v="7063.4551000000001"/>
    <n v="57592.401207704926"/>
    <n v="7.3868896273243401"/>
    <n v="2.6683214360000003"/>
    <n v="1.5539601219999999"/>
    <n v="4.2222815580000006"/>
    <x v="1"/>
  </r>
  <r>
    <x v="14"/>
    <x v="4"/>
    <n v="1600826"/>
    <s v="DOY CARE MILK CRÈAM SOAP 50 GM CT"/>
    <n v="14"/>
    <n v="14"/>
    <n v="14"/>
    <x v="28"/>
    <n v="5250"/>
    <n v="32706.90233187571"/>
    <n v="16817.491999999998"/>
    <n v="21074.663800000002"/>
    <n v="75737.729299677449"/>
    <n v="4.5789663264625995"/>
    <n v="2.3544488799999996"/>
    <n v="2.9504529320000001"/>
    <n v="5.3049018119999998"/>
    <x v="1"/>
  </r>
  <r>
    <x v="14"/>
    <x v="4"/>
    <n v="1600670"/>
    <s v="DOY CARE HONEY SOAP 50 GM CT"/>
    <n v="15"/>
    <n v="15"/>
    <n v="15"/>
    <x v="28"/>
    <n v="5250"/>
    <n v="31169.80633522581"/>
    <n v="18184.665417999997"/>
    <n v="21464.599399999999"/>
    <n v="76365.998945078594"/>
    <n v="4.6754709502838718"/>
    <n v="2.7276998126999992"/>
    <n v="3.2196899099999996"/>
    <n v="5.9473897226999988"/>
    <x v="1"/>
  </r>
  <r>
    <x v="14"/>
    <x v="4"/>
    <n v="1600478"/>
    <s v="DOY CARE ALOEVERA SOAP 50GM CT"/>
    <n v="26"/>
    <n v="26"/>
    <n v="26"/>
    <x v="28"/>
    <n v="5250"/>
    <n v="31125.242258869752"/>
    <n v="16795.526399999999"/>
    <n v="21783.801599999999"/>
    <n v="75244.822566665171"/>
    <n v="8.0925629873061347"/>
    <n v="4.3668368639999997"/>
    <n v="5.6637884159999992"/>
    <n v="10.030625279999999"/>
    <x v="1"/>
  </r>
  <r>
    <x v="15"/>
    <x v="2"/>
    <n v="1600199"/>
    <s v="J&amp;J BABY (UPGRADE) SOAP 50G CTJBM"/>
    <n v="42"/>
    <n v="42"/>
    <m/>
    <x v="29"/>
    <n v="5250"/>
    <n v="40515.931067269281"/>
    <n v="18360.094369999999"/>
    <n v="19205.305799999998"/>
    <n v="128864.20655100196"/>
    <n v="17.016691048253097"/>
    <n v="7.7112396353999992"/>
    <n v="0"/>
    <n v="7.7112396353999992"/>
    <x v="1"/>
  </r>
  <r>
    <x v="15"/>
    <x v="2"/>
    <n v="1600200"/>
    <s v="J&amp;J BABY 1/4LOTION SOAP 75G CT"/>
    <n v="66"/>
    <n v="66"/>
    <n v="66"/>
    <x v="29"/>
    <n v="5250"/>
    <n v="40515.931067269281"/>
    <n v="18360.094369999999"/>
    <n v="16462.692799999997"/>
    <n v="111703.35646383473"/>
    <n v="26.740514504397726"/>
    <n v="12.117662284199998"/>
    <n v="10.865377247999998"/>
    <n v="22.983039532199996"/>
    <x v="1"/>
  </r>
  <r>
    <x v="15"/>
    <x v="2"/>
    <s v="New"/>
    <s v="J&amp;J BABY(33%EXTRA) SOAP 75G CT (7 Dz Case for CSD)"/>
    <n v="72"/>
    <n v="72"/>
    <m/>
    <x v="30"/>
    <n v="5250"/>
    <n v="45765.931067269281"/>
    <n v="13110.094369999999"/>
    <n v="16462.692799999997"/>
    <n v="111703.35646383473"/>
    <n v="32.951470368433881"/>
    <n v="9.4392679463999993"/>
    <n v="0"/>
    <n v="9.4392679463999993"/>
    <x v="1"/>
  </r>
  <r>
    <x v="15"/>
    <x v="2"/>
    <n v="1600208"/>
    <s v="J&amp;J BABY(UPGRADE) SOAP 150G CT"/>
    <n v="64"/>
    <n v="64"/>
    <n v="64"/>
    <x v="29"/>
    <n v="5250"/>
    <n v="40515.931067269281"/>
    <n v="18360.094369999999"/>
    <n v="11669.704800000001"/>
    <n v="101211.14642198299"/>
    <n v="25.930195883052338"/>
    <n v="11.750460396799999"/>
    <n v="7.4686110720000007"/>
    <n v="19.219071468799999"/>
    <x v="1"/>
  </r>
  <r>
    <x v="15"/>
    <x v="3"/>
    <n v="1600753"/>
    <s v="NIVEA CREME SOFT SOAP 75GX4+1CTNEW"/>
    <n v="1.96"/>
    <m/>
    <n v="1.96"/>
    <x v="29"/>
    <n v="5250"/>
    <n v="32521.553612115218"/>
    <n v="26991.857"/>
    <n v="32470.860099999994"/>
    <n v="102613.72997552963"/>
    <n v="0"/>
    <n v="0"/>
    <n v="0.63642885795999993"/>
    <n v="0.63642885795999993"/>
    <x v="1"/>
  </r>
  <r>
    <x v="15"/>
    <x v="3"/>
    <n v="1600757"/>
    <s v="NIVEA CREME SOFT SOAP 125GX4CTNEW"/>
    <n v="7"/>
    <m/>
    <n v="7"/>
    <x v="29"/>
    <n v="5250"/>
    <n v="32521.553612115204"/>
    <n v="26991.857"/>
    <n v="20770.035"/>
    <n v="91266.652330320358"/>
    <n v="0"/>
    <n v="0"/>
    <n v="1.45390245"/>
    <n v="1.45390245"/>
    <x v="1"/>
  </r>
  <r>
    <x v="15"/>
    <x v="12"/>
    <n v="1600230"/>
    <s v="NEKO BOUQUET SOAP 75G CT"/>
    <n v="61"/>
    <n v="61"/>
    <n v="61"/>
    <x v="31"/>
    <n v="5250"/>
    <n v="36171.040872467413"/>
    <n v="16198.055"/>
    <n v="11985.720599999999"/>
    <n v="91407.206127651763"/>
    <n v="22.064334932205124"/>
    <n v="9.8808135499999992"/>
    <n v="7.3112895659999992"/>
    <n v="17.192103115999998"/>
    <x v="1"/>
  </r>
  <r>
    <x v="15"/>
    <x v="8"/>
    <s v="New"/>
    <s v="DEW SOAP 100Gmx3"/>
    <n v="9"/>
    <n v="9"/>
    <n v="9"/>
    <x v="29"/>
    <n v="5250"/>
    <n v="58119.483124999999"/>
    <n v="49006"/>
    <n v="15909.821852549021"/>
    <n v="72104.149788063893"/>
    <n v="5.2307534812499998"/>
    <n v="4.4105400000000001"/>
    <n v="1.4318839667294119"/>
    <n v="5.8424239667294122"/>
    <x v="1"/>
  </r>
  <r>
    <x v="15"/>
    <x v="4"/>
    <n v="1600029"/>
    <s v="JO LIME SOAP 65GM WP"/>
    <n v="16"/>
    <n v="16"/>
    <n v="16"/>
    <x v="32"/>
    <n v="5250"/>
    <n v="33037.897456417064"/>
    <n v="12428.3577"/>
    <n v="6120.2888999999996"/>
    <n v="56434.457352303827"/>
    <n v="5.2860635930267303"/>
    <n v="1.9885372320000001"/>
    <n v="0.97924622399999994"/>
    <n v="2.9677834560000003"/>
    <x v="1"/>
  </r>
  <r>
    <x v="15"/>
    <x v="4"/>
    <n v="1600971"/>
    <s v="JO LIME SOAP 100GM X 3+2 WP FREE"/>
    <n v="60"/>
    <n v="60"/>
    <n v="60"/>
    <x v="29"/>
    <n v="5250"/>
    <n v="33037.897456417064"/>
    <n v="12428.3577"/>
    <n v="7718.6300900000006"/>
    <n v="59371.735480355928"/>
    <n v="19.822738473850237"/>
    <n v="7.4570146200000007"/>
    <n v="4.6311780540000003"/>
    <n v="12.088192674000002"/>
    <x v="1"/>
  </r>
  <r>
    <x v="15"/>
    <x v="4"/>
    <n v="1600924"/>
    <s v="JO LIME SOAP 80GM WP"/>
    <n v="35"/>
    <n v="35"/>
    <n v="35"/>
    <x v="33"/>
    <n v="5250"/>
    <n v="33037.897456417064"/>
    <n v="12428.3577"/>
    <n v="6289.4019000000008"/>
    <n v="56512.154184220948"/>
    <n v="11.563264109745973"/>
    <n v="4.349925195"/>
    <n v="2.2012906650000001"/>
    <n v="6.5512158600000001"/>
    <x v="1"/>
  </r>
  <r>
    <x v="15"/>
    <x v="4"/>
    <n v="1600972"/>
    <s v="JO ALMND&amp;CR SOAP 100GM X 3+2 WP FREE"/>
    <n v="22"/>
    <n v="22"/>
    <n v="22"/>
    <x v="33"/>
    <n v="5250"/>
    <n v="30961.511594820338"/>
    <n v="15979.349850000001"/>
    <n v="7718.6300900000006"/>
    <n v="59371.735480355928"/>
    <n v="6.8115325508604743"/>
    <n v="3.5154569670000004"/>
    <n v="1.6980986198000001"/>
    <n v="5.2135555868000001"/>
    <x v="1"/>
  </r>
  <r>
    <x v="15"/>
    <x v="4"/>
    <n v="1600860"/>
    <s v="JO SANDAL SOAP 55GM+10GM EXTRA x 4WP"/>
    <n v="10"/>
    <n v="10"/>
    <n v="10"/>
    <x v="33"/>
    <n v="5250"/>
    <n v="33344.421599957801"/>
    <n v="13297.8035"/>
    <n v="6576.0447000000004"/>
    <n v="58012.846355079775"/>
    <n v="3.3344421599957803"/>
    <n v="1.3297803500000001"/>
    <n v="0.65760447"/>
    <n v="1.9873848199999999"/>
    <x v="1"/>
  </r>
  <r>
    <x v="15"/>
    <x v="4"/>
    <n v="1600106"/>
    <s v="BACTERSHIELD ANTI-BACT SOAP 34GM WP"/>
    <n v="12"/>
    <n v="12"/>
    <n v="12"/>
    <x v="33"/>
    <n v="5250"/>
    <n v="27430.727919119818"/>
    <n v="19047.165000000001"/>
    <n v="8254.2760000000017"/>
    <n v="58883.504769623934"/>
    <n v="3.291687350294378"/>
    <n v="2.2856597999999999"/>
    <n v="0.99051312000000025"/>
    <n v="3.27617292"/>
    <x v="1"/>
  </r>
  <r>
    <x v="15"/>
    <x v="4"/>
    <n v="1600578"/>
    <s v="BACTERSHIELD ANTI-BACT SOAP 60+10GM WP"/>
    <n v="5"/>
    <n v="5"/>
    <n v="5"/>
    <x v="29"/>
    <n v="5250"/>
    <n v="27430.727919119818"/>
    <n v="19047.165000000001"/>
    <n v="6041.9466000000002"/>
    <n v="56671.175369623939"/>
    <n v="1.371536395955991"/>
    <n v="0.95235825000000007"/>
    <n v="0.30209733"/>
    <n v="1.2544555800000001"/>
    <x v="1"/>
  </r>
  <r>
    <x v="15"/>
    <x v="4"/>
    <n v="1600821"/>
    <s v="BACTERSHIELD NATURALS SOAP 60+10GM WP"/>
    <n v="4"/>
    <m/>
    <n v="4"/>
    <x v="33"/>
    <n v="5250"/>
    <n v="27430.727919119818"/>
    <n v="19047.165000000001"/>
    <n v="6041.9466000000002"/>
    <n v="56671.175369623939"/>
    <n v="0"/>
    <n v="0"/>
    <n v="0.24167786400000002"/>
    <n v="0.24167786400000002"/>
    <x v="1"/>
  </r>
  <r>
    <x v="16"/>
    <x v="3"/>
    <n v="1600750"/>
    <s v="NIVEA CREME SOFT SOAP 75G CT NEW"/>
    <m/>
    <n v="24"/>
    <n v="11"/>
    <x v="34"/>
    <n v="5250"/>
    <n v="32521.553612115204"/>
    <n v="26991.857"/>
    <n v="16984.575400000002"/>
    <n v="106042.64425979552"/>
    <n v="7.8051728669076486"/>
    <n v="6.4780456800000001"/>
    <n v="1.8683032940000002"/>
    <n v="8.3463489739999996"/>
    <x v="1"/>
  </r>
  <r>
    <x v="16"/>
    <x v="3"/>
    <n v="1600752"/>
    <s v="NIVEA CREME SOFT SOAP 75GX4 CT NEW"/>
    <m/>
    <m/>
    <n v="18"/>
    <x v="35"/>
    <n v="5250"/>
    <n v="32521.553612115204"/>
    <n v="26991.857"/>
    <n v="27479.694900000002"/>
    <n v="102418.28465902977"/>
    <n v="0"/>
    <n v="0"/>
    <n v="4.9463450820000006"/>
    <n v="4.9463450820000006"/>
    <x v="1"/>
  </r>
  <r>
    <x v="16"/>
    <x v="9"/>
    <n v="1600854"/>
    <s v="CHANDAN SPARSH SOAP 150GX4"/>
    <m/>
    <n v="30"/>
    <n v="30"/>
    <x v="35"/>
    <n v="5250"/>
    <n v="33383.225173852501"/>
    <n v="18542.051623200001"/>
    <n v="6310.0995489899997"/>
    <n v="72104.149788063893"/>
    <n v="10.014967552155749"/>
    <n v="5.5626154869600004"/>
    <n v="1.8930298646970001"/>
    <n v="7.4556453516570009"/>
    <x v="1"/>
  </r>
  <r>
    <x v="16"/>
    <x v="4"/>
    <n v="1601005"/>
    <s v="JO LIME MINI SOAP 30GM WP"/>
    <m/>
    <n v="180"/>
    <n v="100"/>
    <x v="36"/>
    <n v="5250"/>
    <n v="28556.105458566861"/>
    <n v="13483.34"/>
    <n v="9240.8520000000008"/>
    <n v="55476.79716184346"/>
    <n v="51.400989825420353"/>
    <n v="24.270012000000001"/>
    <n v="9.2408520000000003"/>
    <n v="33.510863999999998"/>
    <x v="1"/>
  </r>
  <r>
    <x v="16"/>
    <x v="4"/>
    <n v="1600027"/>
    <s v="JO LIME SOAP 60GMX5 WP"/>
    <m/>
    <m/>
    <n v="12"/>
    <x v="37"/>
    <n v="5250"/>
    <n v="33037.897456417064"/>
    <n v="12428.3577"/>
    <n v="7029.5510999999997"/>
    <n v="57343.719552303824"/>
    <n v="0"/>
    <n v="0"/>
    <n v="0.84354613199999995"/>
    <n v="0.84354613199999995"/>
    <x v="1"/>
  </r>
  <r>
    <x v="16"/>
    <x v="4"/>
    <n v="1600488"/>
    <s v="JO LIME SOAP 100GMX8 WP"/>
    <m/>
    <m/>
    <n v="17"/>
    <x v="38"/>
    <n v="5250"/>
    <n v="33037.897456417064"/>
    <n v="12453.0232"/>
    <n v="9440.6481999999996"/>
    <n v="59688.065984220935"/>
    <n v="0"/>
    <n v="0"/>
    <n v="1.6049101939999999"/>
    <n v="1.6049101939999999"/>
    <x v="1"/>
  </r>
  <r>
    <x v="16"/>
    <x v="4"/>
    <n v="1600971"/>
    <s v="JO LIME SOAP 100GM X 3+2 WP FREE"/>
    <m/>
    <m/>
    <n v="99"/>
    <x v="39"/>
    <n v="5250"/>
    <n v="33037.897456417064"/>
    <n v="12428.3577"/>
    <n v="7718.6300900000006"/>
    <n v="59371.735480355928"/>
    <n v="0"/>
    <n v="0"/>
    <n v="7.6414437891000011"/>
    <n v="7.6414437891000011"/>
    <x v="1"/>
  </r>
  <r>
    <x v="16"/>
    <x v="4"/>
    <n v="1601007"/>
    <s v="JO NEEM&amp;TULSI MINI SOAP 30GM WP"/>
    <m/>
    <n v="24"/>
    <n v="18"/>
    <x v="39"/>
    <n v="5250"/>
    <n v="28535.225545363894"/>
    <n v="14117.627"/>
    <n v="9216.359199999999"/>
    <n v="56063.175995746904"/>
    <n v="6.8484541308873341"/>
    <n v="3.3882304800000003"/>
    <n v="1.6589446559999999"/>
    <n v="5.0471751359999999"/>
    <x v="1"/>
  </r>
  <r>
    <x v="16"/>
    <x v="4"/>
    <n v="1600934"/>
    <s v="JO NEEM&amp;TULSI SOAP 55GMX3WP+2 JO55G FREE"/>
    <m/>
    <m/>
    <n v="11"/>
    <x v="39"/>
    <n v="5250"/>
    <n v="33344.421599957808"/>
    <n v="13297.803499999998"/>
    <n v="6389.6835999999994"/>
    <n v="57010.045875787808"/>
    <n v="0"/>
    <n v="0"/>
    <n v="0.70286519599999997"/>
    <n v="0.70286519599999997"/>
    <x v="1"/>
  </r>
  <r>
    <x v="16"/>
    <x v="4"/>
    <n v="1600932"/>
    <s v="JO NEEM&amp;TULSI SOAP 55GM+10GM EXTRA X 4WP"/>
    <m/>
    <m/>
    <n v="4"/>
    <x v="39"/>
    <n v="5250"/>
    <n v="33344.421599957801"/>
    <n v="13297.8035"/>
    <n v="6576.0447000000004"/>
    <n v="58012.846355079775"/>
    <n v="0"/>
    <n v="0"/>
    <n v="0.263041788"/>
    <n v="0.263041788"/>
    <x v="1"/>
  </r>
  <r>
    <x v="16"/>
    <x v="4"/>
    <n v="1600939"/>
    <s v="JO NEEM&amp;TULSI SOAP 100GMX8 WP"/>
    <m/>
    <m/>
    <n v="5"/>
    <x v="39"/>
    <n v="5250"/>
    <n v="33344.421599957808"/>
    <n v="13297.803499999998"/>
    <n v="9441.2681999999986"/>
    <n v="60878.069855079775"/>
    <n v="0"/>
    <n v="0"/>
    <n v="0.47206340999999991"/>
    <n v="0.47206340999999991"/>
    <x v="1"/>
  </r>
  <r>
    <x v="16"/>
    <x v="4"/>
    <n v="1601006"/>
    <s v="JO ALMOND MINI SOAP 30GM WP"/>
    <m/>
    <n v="89"/>
    <n v="30"/>
    <x v="39"/>
    <n v="5250"/>
    <n v="26566.74474430902"/>
    <n v="17252.849999999999"/>
    <n v="9177.0056000000004"/>
    <n v="59957.73691112431"/>
    <n v="23.644402822435026"/>
    <n v="15.355036499999999"/>
    <n v="2.7531016799999999"/>
    <n v="18.108138179999997"/>
    <x v="1"/>
  </r>
  <r>
    <x v="16"/>
    <x v="4"/>
    <n v="1600768"/>
    <s v="JO ALMND&amp;CR SOAP 55GMX3WP+2 JO55GM FREE"/>
    <m/>
    <m/>
    <n v="10"/>
    <x v="39"/>
    <n v="5250"/>
    <n v="30961.511594820338"/>
    <n v="15979.349850000001"/>
    <n v="6501.3526000000011"/>
    <n v="58032.178379207195"/>
    <n v="0"/>
    <n v="0"/>
    <n v="0.6501352600000001"/>
    <n v="0.6501352600000001"/>
    <x v="1"/>
  </r>
  <r>
    <x v="16"/>
    <x v="4"/>
    <n v="1600856"/>
    <s v="JO ALMND&amp;CR SOAP 55GM+10GM EXTRA x 4WP"/>
    <m/>
    <m/>
    <n v="10"/>
    <x v="39"/>
    <n v="5250"/>
    <n v="36211.511594820338"/>
    <n v="10729.349850000001"/>
    <n v="6576.0447000000004"/>
    <n v="58015.454311124311"/>
    <n v="0"/>
    <n v="0"/>
    <n v="0.65760447"/>
    <n v="0.65760447"/>
    <x v="1"/>
  </r>
  <r>
    <x v="16"/>
    <x v="4"/>
    <n v="1600972"/>
    <s v="JO ALMND&amp;CR SOAP 100GM X 3+2 WP FREE"/>
    <m/>
    <m/>
    <n v="30"/>
    <x v="39"/>
    <n v="5250"/>
    <n v="30961.511594820338"/>
    <n v="15979.349850000001"/>
    <n v="7718.6300900000006"/>
    <n v="59371.735480355928"/>
    <n v="0"/>
    <n v="0"/>
    <n v="2.3155890270000001"/>
    <n v="2.3155890270000001"/>
    <x v="1"/>
  </r>
  <r>
    <x v="16"/>
    <x v="4"/>
    <n v="1600927"/>
    <s v="JO ALMND&amp;CR SOAP 150GM X 4WP"/>
    <m/>
    <m/>
    <n v="11"/>
    <x v="40"/>
    <n v="5250"/>
    <n v="30961.511594820338"/>
    <n v="15979.349850000001"/>
    <n v="7718.6300900000006"/>
    <n v="59371.735480355928"/>
    <n v="0"/>
    <n v="0"/>
    <n v="0.84904930990000005"/>
    <n v="0.84904930990000005"/>
    <x v="1"/>
  </r>
  <r>
    <x v="16"/>
    <x v="4"/>
    <n v="1600925"/>
    <s v="JO ALMND&amp;CR SOAP 80GM WP"/>
    <m/>
    <m/>
    <n v="15"/>
    <x v="40"/>
    <n v="5250"/>
    <n v="30961.511594820302"/>
    <n v="15979.349850000001"/>
    <n v="6782.2644"/>
    <n v="58221.674011124313"/>
    <n v="0"/>
    <n v="0"/>
    <n v="1.01733966"/>
    <n v="1.01733966"/>
    <x v="1"/>
  </r>
  <r>
    <x v="16"/>
    <x v="4"/>
    <n v="1600862"/>
    <s v="JO PEACH&amp;CREAM SOAP 55GM+10GM EXTRA x4WP"/>
    <m/>
    <m/>
    <n v="10"/>
    <x v="39"/>
    <n v="5250"/>
    <n v="33869.969873578448"/>
    <n v="17463.15035"/>
    <n v="6501.1516000000001"/>
    <n v="57937.953255079774"/>
    <n v="0"/>
    <n v="0"/>
    <n v="0.65011516000000003"/>
    <n v="0.65011516000000003"/>
    <x v="1"/>
  </r>
  <r>
    <x v="16"/>
    <x v="4"/>
    <n v="1600920"/>
    <s v="JO PEACH&amp;CREAM SOAP 100GMX8 WP"/>
    <m/>
    <m/>
    <n v="10"/>
    <x v="40"/>
    <n v="5250"/>
    <n v="30364.065719777638"/>
    <n v="18250.880650000003"/>
    <n v="9423.2132000000001"/>
    <n v="62462.487165680912"/>
    <n v="0"/>
    <n v="0"/>
    <n v="0.94232132000000002"/>
    <n v="0.94232132000000002"/>
    <x v="1"/>
  </r>
  <r>
    <x v="16"/>
    <x v="4"/>
    <n v="1600868"/>
    <s v="JO PEACH&amp;CREAM SOAP 125GM x 4WP"/>
    <m/>
    <m/>
    <n v="5"/>
    <x v="39"/>
    <n v="5250"/>
    <n v="33869.969873578448"/>
    <n v="17463.15035"/>
    <n v="7718.6300900000006"/>
    <n v="59371.735480355928"/>
    <n v="0"/>
    <n v="0"/>
    <n v="0.38593150450000002"/>
    <n v="0.38593150450000002"/>
    <x v="1"/>
  </r>
  <r>
    <x v="16"/>
    <x v="4"/>
    <n v="1600826"/>
    <s v="DOY CARE MILK CRÈAM SOAP 50 GM CT"/>
    <m/>
    <m/>
    <n v="10"/>
    <x v="39"/>
    <n v="5250"/>
    <n v="32706.90233187571"/>
    <n v="16817.491999999998"/>
    <n v="21074.663800000002"/>
    <n v="75737.729299677449"/>
    <n v="0"/>
    <n v="0"/>
    <n v="2.1074663800000004"/>
    <n v="2.1074663800000004"/>
    <x v="1"/>
  </r>
  <r>
    <x v="16"/>
    <x v="4"/>
    <n v="1600828"/>
    <s v="DOY CARE MILK CRÈAM SOAP 125GM CT"/>
    <m/>
    <m/>
    <n v="3"/>
    <x v="40"/>
    <n v="5250"/>
    <n v="32706.90233187571"/>
    <n v="16817.491999999998"/>
    <n v="15144.239099999999"/>
    <n v="69715.888431594562"/>
    <n v="0"/>
    <n v="0"/>
    <n v="0.45432717299999997"/>
    <n v="0.45432717299999997"/>
    <x v="1"/>
  </r>
  <r>
    <x v="16"/>
    <x v="4"/>
    <n v="1601038"/>
    <s v="DOY CARE ALOEVERA SOAP 75GMX4 CT + Sandal 50gm"/>
    <m/>
    <n v="89"/>
    <n v="30"/>
    <x v="39"/>
    <n v="5250"/>
    <n v="31125.242258869803"/>
    <n v="16795.526400000002"/>
    <n v="20899.002700000001"/>
    <n v="74360.023666665176"/>
    <n v="27.701465610394123"/>
    <n v="14.948018496000003"/>
    <n v="6.2697008099999998"/>
    <n v="21.217719306000003"/>
    <x v="1"/>
  </r>
  <r>
    <x v="16"/>
    <x v="4"/>
    <n v="1601018"/>
    <s v="DOY CARE ALOEVERA SOAP 125GMx4 MC +FW50ml"/>
    <m/>
    <m/>
    <n v="50"/>
    <x v="39"/>
    <n v="5250"/>
    <n v="31125.242258869803"/>
    <n v="16795.526400000002"/>
    <n v="17491.7546"/>
    <n v="70861.359398582295"/>
    <n v="0"/>
    <n v="0"/>
    <n v="8.7458773000000001"/>
    <n v="8.7458773000000001"/>
    <x v="1"/>
  </r>
  <r>
    <x v="16"/>
    <x v="4"/>
    <s v="DC"/>
    <s v="DOY CARE HONEY &amp; GLY SOAP125GMx4 MULT-CT Fw50ml"/>
    <m/>
    <n v="19"/>
    <m/>
    <x v="39"/>
    <n v="5250"/>
    <n v="31169.80633522581"/>
    <n v="18184.665417999997"/>
    <n v="17497.7696"/>
    <n v="72307.752976995704"/>
    <n v="5.9222632036929044"/>
    <n v="3.4550864294199997"/>
    <n v="0"/>
    <n v="3.4550864294199997"/>
    <x v="1"/>
  </r>
  <r>
    <x v="16"/>
    <x v="4"/>
    <n v="1600816"/>
    <s v="DOY CARE CUCUMBER SOAP 50GM CT"/>
    <m/>
    <m/>
    <n v="8"/>
    <x v="41"/>
    <n v="5250"/>
    <n v="33418.600411146661"/>
    <n v="15509.18"/>
    <n v="21464.599399999999"/>
    <n v="75625.687829381641"/>
    <n v="0"/>
    <n v="0"/>
    <n v="1.7171679519999998"/>
    <n v="1.7171679519999998"/>
    <x v="1"/>
  </r>
  <r>
    <x v="16"/>
    <x v="4"/>
    <n v="1600961"/>
    <s v="DOY CARE SANDAL SOAP 75GMX4 CT"/>
    <m/>
    <m/>
    <n v="12"/>
    <x v="40"/>
    <n v="5250"/>
    <n v="31169.80633522581"/>
    <n v="18184.665417999997"/>
    <n v="20826.346700000002"/>
    <n v="75489.412199677448"/>
    <n v="0"/>
    <n v="0"/>
    <n v="2.4991616040000002"/>
    <n v="2.4991616040000002"/>
    <x v="1"/>
  </r>
  <r>
    <x v="16"/>
    <x v="4"/>
    <n v="1600578"/>
    <s v="BACTERSHIELD ANTI-BACT SOAP 60+10GM WP"/>
    <m/>
    <n v="16"/>
    <n v="8"/>
    <x v="39"/>
    <n v="5250"/>
    <n v="27430.727919119818"/>
    <n v="19047.165000000001"/>
    <n v="6041.9466000000002"/>
    <n v="56671.175369623939"/>
    <n v="4.3889164670591709"/>
    <n v="3.0475464000000003"/>
    <n v="0.48335572800000004"/>
    <n v="3.5309021280000001"/>
    <x v="1"/>
  </r>
  <r>
    <x v="16"/>
    <x v="4"/>
    <n v="1600110"/>
    <s v="BACTERSHIELD ANTI-BACT SOAP 125GMX4 WP"/>
    <m/>
    <m/>
    <n v="8"/>
    <x v="39"/>
    <n v="5250"/>
    <n v="27430.727919119818"/>
    <n v="19047.165000000001"/>
    <n v="5187.5169999999998"/>
    <n v="55816.745769623936"/>
    <n v="0"/>
    <n v="0"/>
    <n v="0.41500135999999999"/>
    <n v="0.41500135999999999"/>
    <x v="1"/>
  </r>
  <r>
    <x v="16"/>
    <x v="4"/>
    <n v="1600821"/>
    <s v="BACTERSHIELD NATURALS SOAP 60+10GM WP"/>
    <m/>
    <n v="21"/>
    <n v="16"/>
    <x v="39"/>
    <n v="5250"/>
    <n v="27430.727919119818"/>
    <n v="19047.165000000001"/>
    <n v="6041.9466000000002"/>
    <n v="56671.175369623939"/>
    <n v="5.7604528630151624"/>
    <n v="3.9999046500000004"/>
    <n v="0.96671145600000008"/>
    <n v="4.966616106"/>
    <x v="1"/>
  </r>
  <r>
    <x v="16"/>
    <x v="4"/>
    <n v="1600825"/>
    <s v="BACTERSHIELD NATURALS SOAP 125GMX4 WP"/>
    <m/>
    <m/>
    <n v="5"/>
    <x v="39"/>
    <n v="5250"/>
    <n v="27430.727919119818"/>
    <n v="19047.165000000001"/>
    <n v="5187.5169999999998"/>
    <n v="55816.745769623936"/>
    <n v="0"/>
    <n v="0"/>
    <n v="0.25937585000000002"/>
    <n v="0.25937585000000002"/>
    <x v="1"/>
  </r>
  <r>
    <x v="16"/>
    <x v="15"/>
    <n v="1600520"/>
    <s v="DETTOL HAND SANITIZER 50ML"/>
    <m/>
    <n v="314760"/>
    <n v="350688"/>
    <x v="39"/>
    <m/>
    <n v="0"/>
    <n v="3.5777382250193601"/>
    <n v="4.2843681802182321"/>
    <n v="10.581703516910569"/>
    <n v="0"/>
    <n v="11.261288837070937"/>
    <n v="15.024765083843715"/>
    <n v="26.286053920914654"/>
    <x v="1"/>
  </r>
  <r>
    <x v="16"/>
    <x v="4"/>
    <n v="1600686"/>
    <s v="BACTERSHIELD HW 900ML+1BOTTLE 215ML FREE"/>
    <n v="1.3426829999999999E-2"/>
    <n v="12.042"/>
    <n v="12.042"/>
    <x v="42"/>
    <m/>
    <n v="0"/>
    <n v="31834.3321"/>
    <n v="10832.961579999999"/>
    <n v="78630.99336977565"/>
    <n v="0"/>
    <n v="3.8334902714819998"/>
    <n v="1.3045052334635998"/>
    <n v="5.1379955049456001"/>
    <x v="1"/>
  </r>
  <r>
    <x v="16"/>
    <x v="4"/>
    <n v="1600677"/>
    <s v="BACTERSHIELD HW 900ML POUCH"/>
    <n v="1.2636E-2"/>
    <n v="14.04"/>
    <n v="14.04"/>
    <x v="43"/>
    <m/>
    <n v="0"/>
    <n v="31834.3321"/>
    <n v="10832.961579999999"/>
    <n v="54722.575496338046"/>
    <n v="0"/>
    <n v="4.4695402268399995"/>
    <n v="1.5209478058319998"/>
    <n v="5.9904880326719994"/>
    <x v="1"/>
  </r>
  <r>
    <x v="16"/>
    <x v="4"/>
    <n v="1600807"/>
    <s v="BACTERSHIELD HW Naturals 900ML POUCH"/>
    <n v="1.8403199999999999E-3"/>
    <n v="2.0448"/>
    <n v="2.0448"/>
    <x v="43"/>
    <m/>
    <m/>
    <n v="34225.846904400001"/>
    <n v="10832.961579999999"/>
    <n v="57182.467015376453"/>
    <n v="0"/>
    <n v="0.69985011750117121"/>
    <n v="0.22151239838783995"/>
    <n v="0.92136251588901119"/>
    <x v="1"/>
  </r>
  <r>
    <x v="16"/>
    <x v="4"/>
    <n v="1600981"/>
    <s v="BACTERSHIELD HW Naturals 900ML POUCH + 215ml Free"/>
    <n v="5.5199190000000007E-3"/>
    <n v="4.9506000000000006"/>
    <n v="4.9506000000000006"/>
    <x v="43"/>
    <m/>
    <n v="0"/>
    <n v="35039.874200000006"/>
    <n v="19896.495699999999"/>
    <n v="78630.99336977565"/>
    <n v="0"/>
    <n v="1.7346840121452003"/>
    <n v="0.98499591612420012"/>
    <n v="2.7196799282694002"/>
    <x v="1"/>
  </r>
  <r>
    <x v="16"/>
    <x v="4"/>
    <n v="1600620"/>
    <s v="DOY CARE ALOEVERA FACEWASH 15ML JAR PACK"/>
    <n v="1.08E-3"/>
    <n v="7.2"/>
    <n v="7.2"/>
    <x v="44"/>
    <m/>
    <n v="0"/>
    <n v="94442.009319999997"/>
    <n v="279175.68229999999"/>
    <n v="396595.11745960917"/>
    <n v="0"/>
    <n v="6.7998246710400005"/>
    <n v="20.100649125599997"/>
    <n v="26.900473796639996"/>
    <x v="1"/>
  </r>
  <r>
    <x v="16"/>
    <x v="4"/>
    <n v="1600847"/>
    <s v="DOY CARE ALOEVERA FACEWASH 50ML 1 + 1 FREE"/>
    <n v="8.4888000000000021E-4"/>
    <n v="8.4888000000000012"/>
    <n v="8.4888000000000012"/>
    <x v="45"/>
    <m/>
    <n v="0"/>
    <n v="93814.605519999983"/>
    <n v="159218.44440000001"/>
    <n v="267185.02463041915"/>
    <n v="0"/>
    <n v="7.9637342333817598"/>
    <n v="13.515735308227201"/>
    <n v="21.47946954160896"/>
    <x v="1"/>
  </r>
  <r>
    <x v="16"/>
    <x v="4"/>
    <n v="1600621"/>
    <s v="DOY CARE ALOEVERA FACEWASH 50ML (Only for Baddi Offer pack)"/>
    <n v="3.0000000000000003E-4"/>
    <n v="6"/>
    <n v="6"/>
    <x v="43"/>
    <m/>
    <n v="0"/>
    <n v="94442.009319999997"/>
    <n v="144659.52899999998"/>
    <n v="297955.75419930019"/>
    <n v="0"/>
    <n v="5.6665205591999994"/>
    <n v="8.6795717399999983"/>
    <n v="14.346092299199999"/>
    <x v="1"/>
  </r>
  <r>
    <x v="17"/>
    <x v="2"/>
    <n v="1600555"/>
    <s v="J&amp;J BABY(11+1)OFFER SOAP 25G FW"/>
    <n v="128"/>
    <n v="128"/>
    <n v="128"/>
    <x v="0"/>
    <n v="5250"/>
    <n v="40515.931067269281"/>
    <n v="18360.094369999999"/>
    <n v="34270.658000000003"/>
    <n v="114970.42324228735"/>
    <n v="51.860391766104676"/>
    <n v="23.500920793599999"/>
    <n v="43.866442240000005"/>
    <n v="67.3673630336"/>
    <x v="1"/>
  </r>
  <r>
    <x v="17"/>
    <x v="2"/>
    <n v="1600200"/>
    <s v="J&amp;J BABY 1/4LOTION SOAP 75G CT"/>
    <n v="71"/>
    <n v="71"/>
    <n v="71"/>
    <x v="0"/>
    <n v="5250"/>
    <n v="40515.931067269281"/>
    <n v="18360.094369999999"/>
    <n v="16462.692799999997"/>
    <n v="111703.35646383473"/>
    <n v="28.76631105776119"/>
    <n v="13.035667002699999"/>
    <n v="11.688511887999999"/>
    <n v="24.724178890699996"/>
    <x v="1"/>
  </r>
  <r>
    <x v="17"/>
    <x v="3"/>
    <n v="1600752"/>
    <s v="NIVEA CREME SOFT SOAP 75GX4 CT NEW"/>
    <n v="16"/>
    <n v="0"/>
    <n v="16"/>
    <x v="0"/>
    <n v="5250"/>
    <n v="32521.553612115204"/>
    <n v="26991.857"/>
    <n v="27479.694900000002"/>
    <n v="102418.28465902977"/>
    <n v="0"/>
    <n v="0"/>
    <n v="4.3967511840000002"/>
    <n v="4.3967511840000002"/>
    <x v="1"/>
  </r>
  <r>
    <x v="17"/>
    <x v="4"/>
    <n v="1600859"/>
    <s v="JO LIME SOAP 55GM+10GM EXTRA x 4WP"/>
    <n v="62"/>
    <n v="62"/>
    <n v="62"/>
    <x v="0"/>
    <n v="5250"/>
    <n v="36211.511594820338"/>
    <n v="10729.349850000001"/>
    <n v="6576.0447000000004"/>
    <n v="58015.454311124311"/>
    <n v="22.451137188788611"/>
    <n v="6.6521969070000004"/>
    <n v="4.0771477140000005"/>
    <n v="10.729344621000001"/>
    <x v="1"/>
  </r>
  <r>
    <x v="17"/>
    <x v="4"/>
    <n v="1600924"/>
    <s v="JO LIME SOAP 80GM WP"/>
    <n v="49"/>
    <n v="49"/>
    <n v="49"/>
    <x v="0"/>
    <n v="5250"/>
    <n v="33037.897456417064"/>
    <n v="12428.3577"/>
    <n v="6289.4019000000008"/>
    <n v="56512.154184220948"/>
    <n v="16.188569753644362"/>
    <n v="6.0898952730000007"/>
    <n v="3.0818069310000005"/>
    <n v="9.1717022040000007"/>
    <x v="1"/>
  </r>
  <r>
    <x v="17"/>
    <x v="4"/>
    <n v="1600696"/>
    <s v="JO ALMOND SOAP 30GM WP"/>
    <n v="35"/>
    <n v="35"/>
    <n v="35"/>
    <x v="0"/>
    <n v="5250"/>
    <n v="30961.511594820338"/>
    <n v="15979.349850000001"/>
    <n v="8518.3273000000008"/>
    <n v="59957.73691112431"/>
    <n v="10.836529058187118"/>
    <n v="5.5927724475000007"/>
    <n v="2.9814145550000002"/>
    <n v="8.5741870025000004"/>
    <x v="1"/>
  </r>
  <r>
    <x v="17"/>
    <x v="4"/>
    <n v="1600768"/>
    <s v="JO ALMND&amp;CR SOAP 55GMX3WP+2 JO55GM FREE"/>
    <n v="10"/>
    <n v="10"/>
    <n v="10"/>
    <x v="0"/>
    <n v="5250"/>
    <n v="30961.511594820338"/>
    <n v="15979.349850000001"/>
    <n v="6501.3526000000011"/>
    <n v="58032.178379207195"/>
    <n v="3.0961511594820337"/>
    <n v="1.5979349850000002"/>
    <n v="0.6501352600000001"/>
    <n v="2.2480702450000001"/>
    <x v="1"/>
  </r>
  <r>
    <x v="17"/>
    <x v="4"/>
    <n v="1600856"/>
    <s v="JO ALMND&amp;CR SOAP 55GM+10GM EXTRA x 4WP"/>
    <n v="45"/>
    <n v="45"/>
    <n v="45"/>
    <x v="0"/>
    <n v="5250"/>
    <n v="36211.511594820338"/>
    <n v="10729.349850000001"/>
    <n v="6576.0447000000004"/>
    <n v="58015.454311124311"/>
    <n v="16.295180217669152"/>
    <n v="4.8282074325000002"/>
    <n v="2.9592201150000004"/>
    <n v="7.7874275475000001"/>
    <x v="1"/>
  </r>
  <r>
    <x v="17"/>
    <x v="4"/>
    <n v="1600866"/>
    <s v="JO ALMND&amp;CR SOAP 125GM x 4WP"/>
    <n v="30"/>
    <n v="30"/>
    <n v="30"/>
    <x v="0"/>
    <n v="5250"/>
    <n v="30961.511594820338"/>
    <n v="15979.349850000001"/>
    <n v="7718.6300900000006"/>
    <n v="59371.735480355928"/>
    <n v="9.288453478446101"/>
    <n v="4.7938049550000006"/>
    <n v="2.3155890270000001"/>
    <n v="7.1093939820000003"/>
    <x v="1"/>
  </r>
  <r>
    <x v="17"/>
    <x v="4"/>
    <n v="1600804"/>
    <s v="JO PEACH&amp;CR SOAP 55GMX3WP+2 JO55GM FREE"/>
    <n v="35"/>
    <n v="35"/>
    <n v="35"/>
    <x v="0"/>
    <n v="5250"/>
    <n v="33869.969873578448"/>
    <n v="17463.15035"/>
    <n v="6501.1516000000001"/>
    <n v="57937.953255079774"/>
    <n v="11.854489455752457"/>
    <n v="6.1121026225000001"/>
    <n v="2.2754030599999999"/>
    <n v="8.3875056825000005"/>
    <x v="1"/>
  </r>
  <r>
    <x v="17"/>
    <x v="4"/>
    <n v="1600862"/>
    <s v="JO PEACH&amp;CREAM SOAP 55GM+10GM EXTRA x4WP"/>
    <n v="12"/>
    <n v="12"/>
    <n v="12"/>
    <x v="0"/>
    <n v="5250"/>
    <n v="33869.969873578448"/>
    <n v="17463.15035"/>
    <n v="6501.1516000000001"/>
    <n v="57937.953255079774"/>
    <n v="4.064396384829414"/>
    <n v="2.0955780420000001"/>
    <n v="0.78013819200000001"/>
    <n v="2.875716234"/>
    <x v="1"/>
  </r>
  <r>
    <x v="17"/>
    <x v="4"/>
    <n v="1600868"/>
    <s v="JO PEACH&amp;CREAM SOAP 125GM x 4WP"/>
    <n v="20"/>
    <n v="20"/>
    <n v="20"/>
    <x v="0"/>
    <n v="5250"/>
    <n v="33869.969873578448"/>
    <n v="17463.15035"/>
    <n v="7718.6300900000006"/>
    <n v="59371.735480355928"/>
    <n v="6.7739939747156903"/>
    <n v="3.4926300699999997"/>
    <n v="1.5437260180000001"/>
    <n v="5.0363560879999998"/>
    <x v="1"/>
  </r>
  <r>
    <x v="17"/>
    <x v="4"/>
    <n v="1600088"/>
    <s v="DOY CARE ALOEVERA SOAP 125GM CT"/>
    <n v="10"/>
    <n v="10"/>
    <n v="10"/>
    <x v="0"/>
    <n v="5250"/>
    <n v="31125.242258869752"/>
    <n v="16795.526399999999"/>
    <n v="15098.1196"/>
    <n v="68467.724398582301"/>
    <n v="3.112524225886975"/>
    <n v="1.67955264"/>
    <n v="1.50981196"/>
    <n v="3.1893646000000002"/>
    <x v="1"/>
  </r>
  <r>
    <x v="17"/>
    <x v="4"/>
    <n v="1600816"/>
    <s v="DOY CARE CUCUMBER SOAP 50GM CT"/>
    <n v="12"/>
    <n v="12"/>
    <n v="12"/>
    <x v="0"/>
    <n v="5250"/>
    <n v="33418.600411146661"/>
    <n v="15509.18"/>
    <n v="21464.599399999999"/>
    <n v="75625.687829381641"/>
    <n v="4.0102320493375991"/>
    <n v="1.8611016"/>
    <n v="2.5757519279999999"/>
    <n v="4.4368535280000003"/>
    <x v="1"/>
  </r>
  <r>
    <x v="17"/>
    <x v="4"/>
    <n v="1600836"/>
    <s v="DOY CARE CUCUMBER SOAP 125GMX4 MULTI-CT"/>
    <n v="22"/>
    <n v="22"/>
    <n v="22"/>
    <x v="0"/>
    <n v="5250"/>
    <n v="33418.600411146661"/>
    <n v="15509.18"/>
    <n v="17790.372599999999"/>
    <n v="71860.044861298753"/>
    <n v="7.352092090452266"/>
    <n v="3.4120196000000003"/>
    <n v="3.913881972"/>
    <n v="7.3259015720000003"/>
    <x v="1"/>
  </r>
  <r>
    <x v="17"/>
    <x v="4"/>
    <n v="1600578"/>
    <s v="BACTERSHIELD ANTI-BACT SOAP 60+10GM WP"/>
    <n v="5"/>
    <n v="5"/>
    <n v="5"/>
    <x v="0"/>
    <n v="5250"/>
    <n v="27430.727919119818"/>
    <n v="19047.165000000001"/>
    <n v="6041.9466000000002"/>
    <n v="56671.175369623939"/>
    <n v="1.371536395955991"/>
    <n v="0.95235825000000007"/>
    <n v="0.30209733"/>
    <n v="1.2544555800000001"/>
    <x v="1"/>
  </r>
  <r>
    <x v="17"/>
    <x v="4"/>
    <n v="1600821"/>
    <s v="BACTERSHIELD NATURALS SOAP 60+10GM WP"/>
    <n v="6"/>
    <n v="6"/>
    <n v="6"/>
    <x v="0"/>
    <n v="5250"/>
    <n v="27430.727919119818"/>
    <n v="19047.165000000001"/>
    <n v="6041.9466000000002"/>
    <n v="56671.175369623939"/>
    <n v="1.645843675147189"/>
    <n v="1.1428299"/>
    <n v="0.36251679600000003"/>
    <n v="1.5053466959999999"/>
    <x v="1"/>
  </r>
  <r>
    <x v="17"/>
    <x v="4"/>
    <n v="1600825"/>
    <s v="BACTERSHIELD NATURALS SOAP 125GMX4 WP"/>
    <n v="5"/>
    <n v="5"/>
    <n v="5"/>
    <x v="0"/>
    <n v="5250"/>
    <n v="27430.727919119818"/>
    <n v="19047.165000000001"/>
    <n v="5187.5169999999998"/>
    <n v="55816.745769623936"/>
    <n v="1.371536395955991"/>
    <n v="0.95235825000000007"/>
    <n v="0.25937585000000002"/>
    <n v="1.2117341000000001"/>
    <x v="1"/>
  </r>
  <r>
    <x v="17"/>
    <x v="15"/>
    <s v="New"/>
    <s v="DHS NATURAL 50ML"/>
    <n v="100000"/>
    <n v="0"/>
    <n v="100000"/>
    <x v="0"/>
    <m/>
    <n v="0"/>
    <n v="3.5777382250193601"/>
    <n v="4.2843681802182321"/>
    <n v="10.581703516910569"/>
    <n v="0"/>
    <n v="0"/>
    <n v="4.2843681802182321"/>
    <n v="4.2843681802182321"/>
    <x v="1"/>
  </r>
  <r>
    <x v="17"/>
    <x v="4"/>
    <n v="1600560"/>
    <s v="BACTERSHIELD HW 215ML BOTTLE+1 REFILFREE KIT"/>
    <n v="3.9420000000000002"/>
    <n v="3.9420000000000002"/>
    <n v="3.9420000000000002"/>
    <x v="0"/>
    <m/>
    <n v="0"/>
    <n v="31834.3321"/>
    <n v="37380.833999999995"/>
    <n v="81336.623294367208"/>
    <n v="0"/>
    <n v="1.2549093713820001"/>
    <n v="1.4735524762799999"/>
    <n v="2.728461847662"/>
    <x v="1"/>
  </r>
  <r>
    <x v="17"/>
    <x v="4"/>
    <n v="1600686"/>
    <s v="BACTERSHIELD HW 900ML+1BOTTLE 215ML FREE"/>
    <n v="14.048999999999999"/>
    <n v="14.048999999999999"/>
    <n v="14.048999999999999"/>
    <x v="0"/>
    <m/>
    <n v="0"/>
    <n v="31834.3321"/>
    <n v="10832.961579999999"/>
    <n v="78630.99336977565"/>
    <n v="0"/>
    <n v="4.4724053167289997"/>
    <n v="1.5219227723741997"/>
    <n v="5.9943280891031989"/>
    <x v="1"/>
  </r>
  <r>
    <x v="17"/>
    <x v="4"/>
    <n v="1600805"/>
    <s v="BACTERSHIELD HW Naturals 215ML BOTTLE+1 REFILFREE KIT"/>
    <n v="2.3435999999999999"/>
    <n v="2.3435999999999999"/>
    <n v="2.3435999999999999"/>
    <x v="0"/>
    <m/>
    <m/>
    <n v="34225.846904400001"/>
    <n v="37380.833999999995"/>
    <n v="83729.79446382662"/>
    <n v="0"/>
    <n v="0.80211694805151845"/>
    <n v="0.87605722562399979"/>
    <n v="1.6781741736755182"/>
    <x v="1"/>
  </r>
  <r>
    <x v="17"/>
    <x v="4"/>
    <n v="1600806"/>
    <s v="BACTERSHIELD HW Naturals 185MLx2 REFILL+1 FREE KIT"/>
    <n v="4.1669400000000003"/>
    <n v="4.1669400000000003"/>
    <n v="4.1669400000000003"/>
    <x v="0"/>
    <m/>
    <m/>
    <n v="34225.846904400001"/>
    <n v="13463.2637"/>
    <n v="59722.874502061393"/>
    <n v="0"/>
    <n v="1.4261705049982056"/>
    <n v="0.56100612042078002"/>
    <n v="1.9871766254189858"/>
    <x v="1"/>
  </r>
  <r>
    <x v="17"/>
    <x v="4"/>
    <n v="1600620"/>
    <s v="DOY CARE ALOEVERA FACEWASH 15ML JAR PACK"/>
    <n v="0.8478"/>
    <n v="0.8478"/>
    <n v="0.8478"/>
    <x v="0"/>
    <m/>
    <n v="0"/>
    <n v="94442.009319999997"/>
    <n v="279175.68229999999"/>
    <n v="396595.11745960917"/>
    <n v="0"/>
    <n v="0.80067935501496001"/>
    <n v="2.3668514345394001"/>
    <n v="3.1675307895543598"/>
    <x v="1"/>
  </r>
  <r>
    <x v="18"/>
    <x v="2"/>
    <n v="1600555"/>
    <s v="J&amp;J BABY(11+1)OFFER SOAP 25G FW"/>
    <m/>
    <n v="108"/>
    <n v="92"/>
    <x v="0"/>
    <n v="5250"/>
    <n v="40515.931067269281"/>
    <n v="18360.094369999999"/>
    <n v="34270.658000000003"/>
    <n v="114970.42324228735"/>
    <n v="43.757205552650824"/>
    <n v="19.8289019196"/>
    <n v="31.529005360000003"/>
    <n v="51.357907279599999"/>
    <x v="1"/>
  </r>
  <r>
    <x v="18"/>
    <x v="2"/>
    <n v="1600200"/>
    <s v="J&amp;J BABY 1/4LOTION SOAP 75G CT"/>
    <m/>
    <n v="78"/>
    <n v="140"/>
    <x v="0"/>
    <n v="5250"/>
    <n v="40515.931067269281"/>
    <n v="18360.094369999999"/>
    <n v="16462.692799999997"/>
    <n v="111703.35646383473"/>
    <n v="31.602426232470041"/>
    <n v="14.320873608599999"/>
    <n v="23.047769919999997"/>
    <n v="37.368643528599996"/>
    <x v="1"/>
  </r>
  <r>
    <x v="18"/>
    <x v="2"/>
    <n v="1600202"/>
    <s v="J&amp;J BABY(33%EXTRA) SOAP 75G CT"/>
    <m/>
    <n v="168"/>
    <n v="0"/>
    <x v="0"/>
    <n v="5250"/>
    <n v="40515.931067269281"/>
    <n v="18360.094369999999"/>
    <n v="13698.5031"/>
    <n v="100869.48488340697"/>
    <n v="68.066764193012389"/>
    <n v="30.844958541599997"/>
    <n v="0"/>
    <n v="30.844958541599997"/>
    <x v="1"/>
  </r>
  <r>
    <x v="18"/>
    <x v="7"/>
    <n v="1600630"/>
    <s v="SAVLON GLYCERINE SOAP 75GX3 ITC"/>
    <m/>
    <n v="110"/>
    <n v="110"/>
    <x v="0"/>
    <n v="5250"/>
    <n v="31104.955741734702"/>
    <n v="17972.481619999999"/>
    <n v="9766.2667999999994"/>
    <n v="78970.685553604068"/>
    <n v="34.215451315908169"/>
    <n v="19.769729781999999"/>
    <n v="10.742893479999999"/>
    <n v="30.512623261999998"/>
    <x v="1"/>
  </r>
  <r>
    <x v="18"/>
    <x v="5"/>
    <n v="1600685"/>
    <s v="TETMOSOL SOAP 75g (EXPORT)"/>
    <m/>
    <n v="13"/>
    <n v="0"/>
    <x v="0"/>
    <n v="5250"/>
    <n v="34496.991128468391"/>
    <n v="64578.951999999997"/>
    <n v="18180.198399999997"/>
    <n v="122801.28397948144"/>
    <n v="4.4846088467008913"/>
    <n v="8.3952637599999989"/>
    <n v="0"/>
    <n v="8.3952637599999989"/>
    <x v="1"/>
  </r>
  <r>
    <x v="18"/>
    <x v="4"/>
    <n v="1600029"/>
    <s v="JO LIME SOAP 65GM WP"/>
    <m/>
    <n v="0"/>
    <n v="13"/>
    <x v="0"/>
    <n v="5250"/>
    <n v="33037.897456417064"/>
    <n v="12428.3577"/>
    <n v="6120.2888999999996"/>
    <n v="56434.457352303827"/>
    <n v="0"/>
    <n v="0"/>
    <n v="0.79563755699999994"/>
    <n v="0.79563755699999994"/>
    <x v="1"/>
  </r>
  <r>
    <x v="18"/>
    <x v="4"/>
    <n v="1600924"/>
    <s v="JO LIME SOAP 80GM WP"/>
    <m/>
    <n v="0"/>
    <n v="30"/>
    <x v="0"/>
    <n v="5250"/>
    <n v="33037.897456417064"/>
    <n v="12428.3577"/>
    <n v="6289.4019000000008"/>
    <n v="56512.154184220948"/>
    <n v="0"/>
    <n v="0"/>
    <n v="1.8868205700000003"/>
    <n v="1.8868205700000003"/>
    <x v="1"/>
  </r>
  <r>
    <x v="18"/>
    <x v="4"/>
    <n v="1600856"/>
    <s v="JO ALMND&amp;CR SOAP 55GM+10GM EXTRA x 4WP"/>
    <m/>
    <n v="0"/>
    <n v="28"/>
    <x v="0"/>
    <n v="5250"/>
    <n v="36211.511594820338"/>
    <n v="10729.349850000001"/>
    <n v="6576.0447000000004"/>
    <n v="58015.454311124311"/>
    <n v="0"/>
    <n v="0"/>
    <n v="1.8412925160000002"/>
    <n v="1.8412925160000002"/>
    <x v="1"/>
  </r>
  <r>
    <x v="18"/>
    <x v="4"/>
    <n v="1600039"/>
    <s v="JO ALMOND&amp;CREAM SOAP 60GMX5 WP"/>
    <m/>
    <n v="0"/>
    <n v="20"/>
    <x v="0"/>
    <n v="5250"/>
    <n v="30961.511594820338"/>
    <n v="15979.349850000001"/>
    <n v="7011.2470999999996"/>
    <n v="58542.072879207197"/>
    <n v="0"/>
    <n v="0"/>
    <n v="1.4022494199999997"/>
    <n v="1.4022494199999997"/>
    <x v="1"/>
  </r>
  <r>
    <x v="18"/>
    <x v="4"/>
    <n v="1600862"/>
    <s v="JO PEACH&amp;CREAM SOAP 55GM+10GM EXTRA x4WP"/>
    <m/>
    <n v="0"/>
    <n v="10"/>
    <x v="0"/>
    <n v="5250"/>
    <n v="33869.969873578448"/>
    <n v="17463.15035"/>
    <n v="6501.1516000000001"/>
    <n v="57937.953255079774"/>
    <n v="0"/>
    <n v="0"/>
    <n v="0.65011516000000003"/>
    <n v="0.65011516000000003"/>
    <x v="1"/>
  </r>
  <r>
    <x v="18"/>
    <x v="4"/>
    <n v="1600804"/>
    <s v="JO PEACH&amp;CREAM SOAP 100GM X 3+2 WP FREE"/>
    <m/>
    <n v="0"/>
    <n v="35"/>
    <x v="0"/>
    <n v="5250"/>
    <n v="33869.969873578448"/>
    <n v="17463.15035"/>
    <n v="6501.1516000000001"/>
    <n v="57937.953255079774"/>
    <n v="0"/>
    <n v="0"/>
    <n v="2.2754030599999999"/>
    <n v="2.2754030599999999"/>
    <x v="1"/>
  </r>
  <r>
    <x v="18"/>
    <x v="4"/>
    <n v="1600826"/>
    <s v="DOY CARE MILK CRÈAM SOAP 50 GM CT"/>
    <m/>
    <n v="45"/>
    <n v="10"/>
    <x v="0"/>
    <n v="5250"/>
    <n v="32706.90233187571"/>
    <n v="16817.491999999998"/>
    <n v="21074.663800000002"/>
    <n v="75737.729299677449"/>
    <n v="14.718106049344069"/>
    <n v="7.5678713999999987"/>
    <n v="2.1074663800000004"/>
    <n v="9.6753377799999996"/>
    <x v="1"/>
  </r>
  <r>
    <x v="18"/>
    <x v="4"/>
    <n v="1600828"/>
    <s v="DOY CARE MILK CRÈAM SOAP 125GM CT"/>
    <m/>
    <n v="0"/>
    <n v="17"/>
    <x v="0"/>
    <n v="5250"/>
    <n v="32706.90233187571"/>
    <n v="16817.491999999998"/>
    <n v="15144.239099999999"/>
    <n v="69715.888431594562"/>
    <n v="0"/>
    <n v="0"/>
    <n v="2.5745206469999999"/>
    <n v="2.5745206469999999"/>
    <x v="1"/>
  </r>
  <r>
    <x v="18"/>
    <x v="4"/>
    <n v="1600831"/>
    <s v="DOY CARE MILK CRÈAM SOAP 125GMX4MULTI-CT"/>
    <m/>
    <n v="0"/>
    <n v="7"/>
    <x v="0"/>
    <n v="5250"/>
    <n v="32706.90233187571"/>
    <n v="16817.491999999998"/>
    <n v="25553.744999999999"/>
    <n v="78923.349798582291"/>
    <n v="0"/>
    <n v="0"/>
    <n v="1.7887621499999999"/>
    <n v="1.7887621499999999"/>
    <x v="1"/>
  </r>
  <r>
    <x v="18"/>
    <x v="4"/>
    <n v="1600827"/>
    <s v="DOY CARE MILK CRÈAM SOAP 75GMX4 CT"/>
    <m/>
    <n v="0"/>
    <n v="12"/>
    <x v="0"/>
    <n v="5250"/>
    <n v="32706.90233187571"/>
    <n v="16817.491999999998"/>
    <n v="20826.346700000002"/>
    <n v="75489.412199677448"/>
    <n v="0"/>
    <n v="0"/>
    <n v="2.4991616040000002"/>
    <n v="2.4991616040000002"/>
    <x v="1"/>
  </r>
  <r>
    <x v="18"/>
    <x v="4"/>
    <n v="1600478"/>
    <s v="DOY CARE ALOEVERA SOAP 50GM CT"/>
    <m/>
    <n v="37"/>
    <n v="10"/>
    <x v="0"/>
    <n v="5250"/>
    <n v="31125.242258869752"/>
    <n v="16795.526399999999"/>
    <n v="21783.801599999999"/>
    <n v="75244.822566665171"/>
    <n v="11.516339635781808"/>
    <n v="6.2143447679999992"/>
    <n v="2.1783801600000001"/>
    <n v="8.3927249279999998"/>
    <x v="1"/>
  </r>
  <r>
    <x v="18"/>
    <x v="4"/>
    <n v="1600085"/>
    <s v="DOY CARE ALOEVERA SOAP 75GMX4 CT"/>
    <m/>
    <n v="0"/>
    <n v="5"/>
    <x v="0"/>
    <n v="5250"/>
    <n v="31125.242258869752"/>
    <n v="16795.526399999999"/>
    <n v="20899.002700000001"/>
    <n v="74360.023666665176"/>
    <n v="0"/>
    <n v="0"/>
    <n v="1.0449501350000001"/>
    <n v="1.0449501350000001"/>
    <x v="1"/>
  </r>
  <r>
    <x v="18"/>
    <x v="4"/>
    <n v="1600088"/>
    <s v="DOY CARE ALOEVERA SOAP 125GM CT"/>
    <m/>
    <n v="0"/>
    <n v="12"/>
    <x v="0"/>
    <n v="5250"/>
    <n v="31125.242258869752"/>
    <n v="16795.526399999999"/>
    <n v="15098.1196"/>
    <n v="68467.724398582301"/>
    <n v="0"/>
    <n v="0"/>
    <n v="1.811774352"/>
    <n v="1.811774352"/>
    <x v="1"/>
  </r>
  <r>
    <x v="18"/>
    <x v="4"/>
    <n v="1600090"/>
    <s v="DOY CARE ALOEVERA SOAP 125GMX4 CT"/>
    <m/>
    <n v="0"/>
    <n v="2"/>
    <x v="0"/>
    <n v="5250"/>
    <n v="31125.242258869752"/>
    <n v="16795.526399999999"/>
    <n v="17491.7546"/>
    <n v="70861.359398582295"/>
    <n v="0"/>
    <n v="0"/>
    <n v="0.34983509200000001"/>
    <n v="0.34983509200000001"/>
    <x v="1"/>
  </r>
  <r>
    <x v="18"/>
    <x v="4"/>
    <n v="1600716"/>
    <s v="DOY CARE HONEY &amp; GLY SOAP125GMx4 MULT-CT"/>
    <m/>
    <n v="6"/>
    <n v="6"/>
    <x v="0"/>
    <n v="5250"/>
    <n v="31169.80633522581"/>
    <n v="18184.665417999997"/>
    <n v="25973.760000000002"/>
    <n v="80783.743376995713"/>
    <n v="1.8701883801135484"/>
    <n v="1.0910799250799998"/>
    <n v="1.5584256000000001"/>
    <n v="2.6495055250799999"/>
    <x v="1"/>
  </r>
  <r>
    <x v="18"/>
    <x v="4"/>
    <n v="1600816"/>
    <s v="DOY CARE CUCUMBER SOAP 50GM CT"/>
    <m/>
    <n v="58"/>
    <n v="14"/>
    <x v="0"/>
    <n v="5250"/>
    <n v="33418.600411146661"/>
    <n v="15509.18"/>
    <n v="21464.599399999999"/>
    <n v="75625.687829381641"/>
    <n v="19.382788238465064"/>
    <n v="8.9953244000000012"/>
    <n v="3.0050439159999995"/>
    <n v="12.000368316000001"/>
    <x v="1"/>
  </r>
  <r>
    <x v="18"/>
    <x v="4"/>
    <n v="1600817"/>
    <s v="DOY CARE CUCUMBER SOAP 75GMX4 CT"/>
    <m/>
    <n v="0"/>
    <n v="36"/>
    <x v="0"/>
    <n v="5250"/>
    <n v="33418.600411146661"/>
    <n v="15509.18"/>
    <n v="17999.0056"/>
    <n v="72068.677861298755"/>
    <n v="0"/>
    <n v="0"/>
    <n v="6.4796420160000006"/>
    <n v="6.4796420160000006"/>
    <x v="1"/>
  </r>
  <r>
    <x v="18"/>
    <x v="4"/>
    <n v="1600836"/>
    <s v="DOY CARE CUCUMBER SOAP 125GMX4 MULTI-CT"/>
    <m/>
    <n v="0"/>
    <n v="8"/>
    <x v="0"/>
    <n v="5250"/>
    <n v="33418.600411146661"/>
    <n v="15509.18"/>
    <n v="17790.372599999999"/>
    <n v="71860.044861298753"/>
    <n v="0"/>
    <n v="0"/>
    <n v="1.4232298079999999"/>
    <n v="1.4232298079999999"/>
    <x v="1"/>
  </r>
  <r>
    <x v="18"/>
    <x v="4"/>
    <n v="1600819"/>
    <s v="BACTERSHIELD NATURALS SOAP 34GM WP"/>
    <m/>
    <n v="37"/>
    <n v="12"/>
    <x v="0"/>
    <n v="5250"/>
    <n v="27430.727919119818"/>
    <n v="19047.165000000001"/>
    <n v="8254.2760000000017"/>
    <n v="58883.504769623934"/>
    <n v="10.149369330074332"/>
    <n v="7.0474510499999994"/>
    <n v="0.99051312000000025"/>
    <n v="8.0379641700000004"/>
    <x v="1"/>
  </r>
  <r>
    <x v="18"/>
    <x v="4"/>
    <n v="1600821"/>
    <s v="BACTERSHIELD NATURALS SOAP 60+10GM WP"/>
    <m/>
    <n v="0"/>
    <n v="15"/>
    <x v="0"/>
    <n v="5250"/>
    <n v="27430.727919119818"/>
    <n v="19047.165000000001"/>
    <n v="6041.9466000000002"/>
    <n v="56671.175369623939"/>
    <n v="0"/>
    <n v="0"/>
    <n v="0.90629199000000005"/>
    <n v="0.90629199000000005"/>
    <x v="1"/>
  </r>
  <r>
    <x v="18"/>
    <x v="4"/>
    <n v="1600825"/>
    <s v="BACTERSHIELD NATURALS SOAP 125GMX4 WP"/>
    <m/>
    <n v="0"/>
    <n v="10"/>
    <x v="0"/>
    <n v="5250"/>
    <n v="27430.727919119818"/>
    <n v="19047.165000000001"/>
    <n v="5187.5169999999998"/>
    <n v="55816.745769623936"/>
    <n v="0"/>
    <n v="0"/>
    <n v="0.51875170000000004"/>
    <n v="0.51875170000000004"/>
    <x v="1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  <r>
    <x v="0"/>
    <x v="0"/>
    <m/>
    <m/>
    <m/>
    <m/>
    <m/>
    <x v="0"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>
  <location ref="B19:D26" firstHeaderRow="0" firstDataRow="1" firstDataCol="1"/>
  <pivotFields count="19">
    <pivotField axis="axisRow" showAll="0">
      <items count="20">
        <item h="1" x="18"/>
        <item h="1" x="17"/>
        <item h="1" x="16"/>
        <item h="1" x="15"/>
        <item h="1" x="14"/>
        <item h="1" x="0"/>
        <item h="1" x="13"/>
        <item h="1" x="12"/>
        <item h="1" x="11"/>
        <item h="1" x="10"/>
        <item h="1" x="9"/>
        <item h="1" x="8"/>
        <item h="1" x="7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2" showAll="0"/>
    <pivotField dataField="1" numFmtId="2" showAll="0"/>
    <pivotField dataField="1" numFmtId="2" showAll="0"/>
    <pivotField numFmtId="2" showAll="0"/>
    <pivotField multipleItemSelectionAllowed="1" showAll="0">
      <items count="5">
        <item h="1" m="1" x="2"/>
        <item m="1" x="3"/>
        <item h="1" x="0"/>
        <item h="1" x="1"/>
        <item t="default"/>
      </items>
    </pivotField>
    <pivotField dragToRow="0" dragToCol="0" dragToPage="0" showAll="0" defaultSubtotal="0"/>
  </pivotFields>
  <rowFields count="1">
    <field x="0"/>
  </rowFields>
  <rowItems count="7"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RM Value  " fld="14" baseField="0" baseItem="0"/>
    <dataField name="PM Value  " fld="15" baseField="0" baseItem="0"/>
  </dataFields>
  <formats count="16">
    <format dxfId="15">
      <pivotArea outline="0" collapsedLevelsAreSubtotals="1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B4:H16" firstHeaderRow="1" firstDataRow="2" firstDataCol="1"/>
  <pivotFields count="19">
    <pivotField axis="axisCol" showAll="0">
      <items count="20">
        <item h="1" x="18"/>
        <item h="1" x="17"/>
        <item h="1" x="16"/>
        <item h="1" x="15"/>
        <item h="1" x="14"/>
        <item h="1" x="0"/>
        <item h="1" x="13"/>
        <item h="1" x="12"/>
        <item h="1" x="11"/>
        <item h="1" x="10"/>
        <item h="1" x="9"/>
        <item h="1" x="8"/>
        <item h="1" x="7"/>
        <item x="6"/>
        <item x="5"/>
        <item x="4"/>
        <item x="3"/>
        <item x="2"/>
        <item x="1"/>
        <item t="default"/>
      </items>
    </pivotField>
    <pivotField axis="axisRow" showAll="0" sortType="descending">
      <items count="18">
        <item x="1"/>
        <item x="4"/>
        <item x="9"/>
        <item x="8"/>
        <item x="2"/>
        <item x="3"/>
        <item x="12"/>
        <item x="15"/>
        <item x="0"/>
        <item x="7"/>
        <item x="5"/>
        <item x="13"/>
        <item x="14"/>
        <item x="10"/>
        <item m="1" x="16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2" showAll="0"/>
    <pivotField numFmtId="2" showAll="0"/>
    <pivotField numFmtId="2" showAll="0"/>
    <pivotField dataField="1" numFmtId="2" showAll="0"/>
    <pivotField multipleItemSelectionAllowed="1" showAll="0">
      <items count="5">
        <item m="1" x="2"/>
        <item m="1" x="3"/>
        <item h="1" x="0"/>
        <item x="1"/>
        <item t="default"/>
      </items>
    </pivotField>
    <pivotField dragToRow="0" dragToCol="0" dragToPage="0" showAll="0" defaultSubtotal="0"/>
  </pivotFields>
  <rowFields count="1">
    <field x="1"/>
  </rowFields>
  <rowItems count="11">
    <i>
      <x v="1"/>
    </i>
    <i>
      <x v="4"/>
    </i>
    <i>
      <x v="10"/>
    </i>
    <i>
      <x v="5"/>
    </i>
    <i>
      <x/>
    </i>
    <i>
      <x v="2"/>
    </i>
    <i>
      <x v="9"/>
    </i>
    <i>
      <x v="13"/>
    </i>
    <i>
      <x v="16"/>
    </i>
    <i>
      <x v="3"/>
    </i>
    <i t="grand">
      <x/>
    </i>
  </rowItems>
  <colFields count="1">
    <field x="0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Sum of RM+PM Value" fld="16" baseField="0" baseItem="0" numFmtId="1"/>
  </dataFields>
  <formats count="19">
    <format dxfId="34">
      <pivotArea outline="0" collapsedLevelsAreSubtotals="1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outline="0" collapsedLevelsAreSubtotals="1" fieldPosition="0">
        <references count="1">
          <reference field="0" count="6" selected="0">
            <x v="0"/>
            <x v="1"/>
            <x v="2"/>
            <x v="3"/>
            <x v="4"/>
            <x v="6"/>
          </reference>
        </references>
      </pivotArea>
    </format>
    <format dxfId="29">
      <pivotArea field="0" type="button" dataOnly="0" labelOnly="1" outline="0" axis="axisCol" fieldPosition="0"/>
    </format>
    <format dxfId="28">
      <pivotArea type="topRight" dataOnly="0" labelOnly="1" outline="0" fieldPosition="0"/>
    </format>
    <format dxfId="27">
      <pivotArea outline="0" collapsedLevelsAreSubtotals="1" fieldPosition="0">
        <references count="1">
          <reference field="0" count="6" selected="0">
            <x v="0"/>
            <x v="1"/>
            <x v="2"/>
            <x v="3"/>
            <x v="4"/>
            <x v="6"/>
          </reference>
        </references>
      </pivotArea>
    </format>
    <format dxfId="26">
      <pivotArea type="topRight" dataOnly="0" labelOnly="1" outline="0" fieldPosition="0"/>
    </format>
    <format dxfId="25">
      <pivotArea field="0" type="button" dataOnly="0" labelOnly="1" outline="0" axis="axisCol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Col="1" outline="0" fieldPosition="0"/>
    </format>
    <format dxfId="18">
      <pivotArea type="all" dataOnly="0" outline="0" fieldPosition="0"/>
    </format>
    <format dxfId="17">
      <pivotArea field="1" type="button" dataOnly="0" labelOnly="1" outline="0" axis="axisRow" fieldPosition="0"/>
    </format>
    <format dxfId="16">
      <pivotArea field="1" type="button" dataOnly="0" labelOnly="1" outline="0" axis="axisRow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22"/>
  <sheetViews>
    <sheetView showGridLines="0" tabSelected="1" zoomScale="60" zoomScaleNormal="6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W1" sqref="W1"/>
    </sheetView>
  </sheetViews>
  <sheetFormatPr defaultRowHeight="12.75" x14ac:dyDescent="0.2"/>
  <cols>
    <col min="1" max="3" width="9.140625" style="4"/>
    <col min="4" max="4" width="68" style="3" customWidth="1"/>
    <col min="5" max="5" width="18.140625" style="3" hidden="1" customWidth="1"/>
    <col min="6" max="6" width="15.140625" style="3" customWidth="1"/>
    <col min="7" max="7" width="15.140625" style="3" hidden="1" customWidth="1"/>
    <col min="8" max="9" width="15.140625" style="3" customWidth="1"/>
    <col min="10" max="10" width="18.140625" style="3" customWidth="1"/>
    <col min="11" max="12" width="18.140625" style="3" hidden="1" customWidth="1"/>
    <col min="13" max="13" width="18.140625" style="3" customWidth="1"/>
    <col min="14" max="15" width="18.140625" style="3" hidden="1" customWidth="1"/>
    <col min="16" max="16" width="18.140625" style="3" customWidth="1"/>
    <col min="17" max="18" width="18.140625" style="3" hidden="1" customWidth="1"/>
    <col min="19" max="21" width="18.140625" style="3" customWidth="1"/>
    <col min="22" max="22" width="20.140625" style="3" bestFit="1" customWidth="1"/>
    <col min="23" max="23" width="12.5703125" style="4" customWidth="1"/>
    <col min="24" max="24" width="9.140625" style="4"/>
    <col min="25" max="25" width="24.42578125" style="4" bestFit="1" customWidth="1"/>
    <col min="26" max="27" width="9.140625" style="4"/>
    <col min="28" max="28" width="9.85546875" style="4" bestFit="1" customWidth="1"/>
    <col min="29" max="16384" width="9.140625" style="4"/>
  </cols>
  <sheetData>
    <row r="1" spans="3:31" ht="69" customHeight="1" thickBot="1" x14ac:dyDescent="0.25">
      <c r="C1" s="208" t="s">
        <v>351</v>
      </c>
      <c r="D1" s="209"/>
      <c r="E1" s="16" t="s">
        <v>0</v>
      </c>
      <c r="F1" s="16" t="s">
        <v>1</v>
      </c>
      <c r="G1" s="16" t="s">
        <v>7</v>
      </c>
      <c r="H1" s="16" t="s">
        <v>352</v>
      </c>
      <c r="I1" s="16" t="s">
        <v>323</v>
      </c>
      <c r="J1" s="16" t="s">
        <v>336</v>
      </c>
      <c r="K1" s="16" t="s">
        <v>337</v>
      </c>
      <c r="L1" s="16" t="s">
        <v>338</v>
      </c>
      <c r="M1" s="16" t="s">
        <v>339</v>
      </c>
      <c r="N1" s="16" t="s">
        <v>379</v>
      </c>
      <c r="O1" s="16" t="s">
        <v>415</v>
      </c>
      <c r="P1" s="16" t="s">
        <v>381</v>
      </c>
      <c r="Q1" s="16" t="s">
        <v>382</v>
      </c>
      <c r="R1" s="16" t="s">
        <v>383</v>
      </c>
      <c r="S1" s="16" t="s">
        <v>384</v>
      </c>
      <c r="T1" s="16" t="s">
        <v>385</v>
      </c>
      <c r="U1" s="16" t="s">
        <v>386</v>
      </c>
      <c r="V1" s="19" t="s">
        <v>22</v>
      </c>
      <c r="W1" s="3"/>
    </row>
    <row r="2" spans="3:31" ht="65.25" customHeight="1" thickTop="1" x14ac:dyDescent="0.2">
      <c r="C2" s="210" t="s">
        <v>4</v>
      </c>
      <c r="D2" s="5" t="s">
        <v>340</v>
      </c>
      <c r="E2" s="6">
        <v>75</v>
      </c>
      <c r="F2" s="6">
        <v>74</v>
      </c>
      <c r="G2" s="6">
        <v>78</v>
      </c>
      <c r="H2" s="6">
        <v>82.909090909090907</v>
      </c>
      <c r="I2" s="6">
        <v>88</v>
      </c>
      <c r="J2" s="7">
        <v>74.660633484162901</v>
      </c>
      <c r="K2" s="7">
        <v>81.481481481481495</v>
      </c>
      <c r="L2" s="7">
        <v>88.151658767772503</v>
      </c>
      <c r="M2" s="7">
        <v>87.837837837837796</v>
      </c>
      <c r="N2" s="6">
        <v>80.132450331125796</v>
      </c>
      <c r="O2" s="6">
        <v>62.209302325581397</v>
      </c>
      <c r="P2" s="6">
        <v>53.521126760563398</v>
      </c>
      <c r="Q2" s="7">
        <v>81.679389312977094</v>
      </c>
      <c r="R2" s="6">
        <v>88.721804511278194</v>
      </c>
      <c r="S2" s="6">
        <v>86.6666666666667</v>
      </c>
      <c r="T2" s="6">
        <v>84.353741496598602</v>
      </c>
      <c r="U2" s="6">
        <v>84.285714285714306</v>
      </c>
      <c r="V2" s="11">
        <f>AVERAGE(J2:U2)</f>
        <v>79.475150605146681</v>
      </c>
      <c r="X2" s="20">
        <f>I2-(I2*10%)</f>
        <v>79.2</v>
      </c>
      <c r="Y2" s="4">
        <f>I2-(I2*20%)</f>
        <v>70.400000000000006</v>
      </c>
    </row>
    <row r="3" spans="3:31" ht="65.25" customHeight="1" x14ac:dyDescent="0.25">
      <c r="C3" s="211"/>
      <c r="D3" s="8" t="s">
        <v>3</v>
      </c>
      <c r="E3" s="9">
        <v>95</v>
      </c>
      <c r="F3" s="9">
        <v>89</v>
      </c>
      <c r="G3" s="9">
        <v>95</v>
      </c>
      <c r="H3" s="9">
        <v>96.304545454545448</v>
      </c>
      <c r="I3" s="9">
        <v>96</v>
      </c>
      <c r="J3" s="9">
        <v>96.183206106870202</v>
      </c>
      <c r="K3" s="9">
        <v>99.248120300751907</v>
      </c>
      <c r="L3" s="9">
        <v>99</v>
      </c>
      <c r="M3" s="9">
        <v>95.945945945945894</v>
      </c>
      <c r="N3" s="9">
        <v>94.701986754966896</v>
      </c>
      <c r="O3" s="9">
        <v>98.255813953488399</v>
      </c>
      <c r="P3" s="9">
        <v>98.449612403100801</v>
      </c>
      <c r="Q3" s="169">
        <v>94.656488549618302</v>
      </c>
      <c r="R3" s="9">
        <v>97.744360902255593</v>
      </c>
      <c r="S3" s="9">
        <v>97.037037037036995</v>
      </c>
      <c r="T3" s="9">
        <v>97.959183673469397</v>
      </c>
      <c r="U3" s="9">
        <v>95</v>
      </c>
      <c r="V3" s="9">
        <f>AVERAGE(J3:U3)</f>
        <v>97.015146302292024</v>
      </c>
      <c r="W3" s="207"/>
      <c r="X3" s="20">
        <f>I3-(I3*10%)</f>
        <v>86.4</v>
      </c>
      <c r="Y3" s="4">
        <f>I3-(I3*20%)</f>
        <v>76.8</v>
      </c>
      <c r="Z3" s="91"/>
      <c r="AA3" s="165">
        <f>V3*V4</f>
        <v>9334.5187399006627</v>
      </c>
    </row>
    <row r="4" spans="3:31" ht="65.25" customHeight="1" thickBot="1" x14ac:dyDescent="0.25">
      <c r="C4" s="211"/>
      <c r="D4" s="5" t="s">
        <v>448</v>
      </c>
      <c r="E4" s="6"/>
      <c r="F4" s="6">
        <v>93.48</v>
      </c>
      <c r="G4" s="6">
        <v>95</v>
      </c>
      <c r="H4" s="6">
        <v>95.181818181818187</v>
      </c>
      <c r="I4" s="6">
        <v>96</v>
      </c>
      <c r="J4" s="6">
        <v>94.117647058823493</v>
      </c>
      <c r="K4" s="6">
        <v>94.409937888198797</v>
      </c>
      <c r="L4" s="6">
        <v>98.780487804878007</v>
      </c>
      <c r="M4" s="6">
        <v>95.945945945945894</v>
      </c>
      <c r="N4" s="6">
        <v>97.350993377483405</v>
      </c>
      <c r="O4" s="6">
        <v>98.546511627906995</v>
      </c>
      <c r="P4" s="6">
        <v>95.774647887323894</v>
      </c>
      <c r="Q4" s="7">
        <v>94.656488549618302</v>
      </c>
      <c r="R4" s="6">
        <v>99.248120300751907</v>
      </c>
      <c r="S4" s="6">
        <v>94.074074074074105</v>
      </c>
      <c r="T4" s="6">
        <v>94.557823129251702</v>
      </c>
      <c r="U4" s="6">
        <v>97.142857142857096</v>
      </c>
      <c r="V4" s="11">
        <f>AVERAGE(J4:U4)</f>
        <v>96.217127898926137</v>
      </c>
      <c r="X4" s="20">
        <f>I4-(I4*10%)</f>
        <v>86.4</v>
      </c>
      <c r="Y4" s="4">
        <f>I4-(I4*20%)</f>
        <v>76.8</v>
      </c>
      <c r="AE4" s="71">
        <f>(14+11)/2</f>
        <v>12.5</v>
      </c>
    </row>
    <row r="5" spans="3:31" ht="65.25" customHeight="1" thickTop="1" x14ac:dyDescent="0.2">
      <c r="C5" s="212" t="s">
        <v>5</v>
      </c>
      <c r="D5" s="26" t="s">
        <v>412</v>
      </c>
      <c r="E5" s="13"/>
      <c r="F5" s="13" t="s">
        <v>413</v>
      </c>
      <c r="G5" s="13" t="s">
        <v>413</v>
      </c>
      <c r="H5" s="13">
        <v>42</v>
      </c>
      <c r="I5" s="13">
        <v>42</v>
      </c>
      <c r="J5" s="13">
        <v>39.488316987022415</v>
      </c>
      <c r="K5" s="13">
        <v>43.718582144399306</v>
      </c>
      <c r="L5" s="13">
        <v>48.007727123622267</v>
      </c>
      <c r="M5" s="13">
        <v>42.420706574665388</v>
      </c>
      <c r="N5" s="13">
        <v>37.687308055564671</v>
      </c>
      <c r="O5" s="13">
        <v>38.374160810947508</v>
      </c>
      <c r="P5" s="13">
        <v>47.312280706577425</v>
      </c>
      <c r="Q5" s="13">
        <v>59.165645568714375</v>
      </c>
      <c r="R5" s="13">
        <v>60.440713536201471</v>
      </c>
      <c r="S5" s="13">
        <v>50.765857936275943</v>
      </c>
      <c r="T5" s="13">
        <v>40.226240313529878</v>
      </c>
      <c r="U5" s="13">
        <v>38.36662046610239</v>
      </c>
      <c r="V5" s="13">
        <f>AVERAGE(J5:U5)</f>
        <v>45.497846685301916</v>
      </c>
      <c r="W5" s="1"/>
      <c r="X5" s="144">
        <f>I5+(I5*10%)</f>
        <v>46.2</v>
      </c>
      <c r="Y5" s="144">
        <f>I5+(I5*20%)</f>
        <v>50.4</v>
      </c>
      <c r="Z5" s="144"/>
      <c r="AE5" s="71">
        <f>(21+16)/2</f>
        <v>18.5</v>
      </c>
    </row>
    <row r="6" spans="3:31" ht="65.25" customHeight="1" thickBot="1" x14ac:dyDescent="0.25">
      <c r="C6" s="213"/>
      <c r="D6" s="27" t="s">
        <v>492</v>
      </c>
      <c r="E6" s="6"/>
      <c r="F6" s="6">
        <v>731.04519579999987</v>
      </c>
      <c r="G6" s="6"/>
      <c r="H6" s="6">
        <v>546</v>
      </c>
      <c r="I6" s="6">
        <v>382</v>
      </c>
      <c r="J6" s="6">
        <v>546.4456763000004</v>
      </c>
      <c r="K6" s="6">
        <v>569.72859240000048</v>
      </c>
      <c r="L6" s="6">
        <v>593.96725260000017</v>
      </c>
      <c r="M6" s="6">
        <v>597.90607520000003</v>
      </c>
      <c r="N6" s="6">
        <v>526.8016577999997</v>
      </c>
      <c r="O6" s="6">
        <v>504.37462520000008</v>
      </c>
      <c r="P6" s="6">
        <v>551.34695649999969</v>
      </c>
      <c r="Q6" s="6">
        <v>519.08931900000005</v>
      </c>
      <c r="R6" s="6">
        <v>581.16499430000033</v>
      </c>
      <c r="S6" s="6">
        <v>606.74333139999987</v>
      </c>
      <c r="T6" s="6">
        <v>512.92374239999981</v>
      </c>
      <c r="U6" s="6">
        <v>676.96803510000007</v>
      </c>
      <c r="V6" s="12">
        <f>U6</f>
        <v>676.96803510000007</v>
      </c>
      <c r="X6" s="144">
        <f>I6+(I6*10%)</f>
        <v>420.2</v>
      </c>
      <c r="Y6" s="144">
        <f>I6+(I6*20%)</f>
        <v>458.4</v>
      </c>
      <c r="Z6" s="144">
        <f>H6-(H6*30%)</f>
        <v>382.20000000000005</v>
      </c>
      <c r="AE6" s="71">
        <f>(25+19)/2</f>
        <v>22</v>
      </c>
    </row>
    <row r="7" spans="3:31" ht="65.25" hidden="1" customHeight="1" thickTop="1" thickBot="1" x14ac:dyDescent="0.25">
      <c r="C7" s="98" t="s">
        <v>6</v>
      </c>
      <c r="D7" s="14" t="s">
        <v>8</v>
      </c>
      <c r="E7" s="15"/>
      <c r="F7" s="10"/>
      <c r="G7" s="29">
        <v>30</v>
      </c>
      <c r="H7" s="29"/>
      <c r="I7" s="29"/>
      <c r="J7" s="30"/>
      <c r="K7" s="30"/>
      <c r="L7" s="30"/>
      <c r="M7" s="10"/>
      <c r="N7" s="30"/>
      <c r="O7" s="30"/>
      <c r="P7" s="10"/>
      <c r="Q7" s="30"/>
      <c r="R7" s="10"/>
      <c r="S7" s="30"/>
      <c r="T7" s="30"/>
      <c r="U7" s="9"/>
      <c r="V7" s="10"/>
      <c r="W7" s="1"/>
      <c r="X7" s="144">
        <f>I7+(I7*10%)</f>
        <v>0</v>
      </c>
      <c r="Y7" s="144">
        <f>I7+(I7*20%)</f>
        <v>0</v>
      </c>
      <c r="Z7" s="144"/>
    </row>
    <row r="8" spans="3:31" ht="22.5" customHeight="1" thickTop="1" x14ac:dyDescent="0.2">
      <c r="C8" s="2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X8" s="24"/>
    </row>
    <row r="9" spans="3:31" ht="28.5" customHeight="1" x14ac:dyDescent="0.2">
      <c r="C9" s="214" t="s">
        <v>414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Z9" s="22"/>
      <c r="AB9" s="20"/>
    </row>
    <row r="10" spans="3:31" ht="22.5" customHeight="1" x14ac:dyDescent="0.2">
      <c r="Z10" s="22"/>
    </row>
    <row r="11" spans="3:31" ht="22.5" customHeight="1" x14ac:dyDescent="0.2">
      <c r="Z11" s="22"/>
    </row>
    <row r="12" spans="3:31" ht="22.5" customHeight="1" x14ac:dyDescent="0.2">
      <c r="N12" s="21"/>
      <c r="Y12" s="20"/>
    </row>
    <row r="13" spans="3:31" ht="22.5" customHeight="1" x14ac:dyDescent="0.2"/>
    <row r="14" spans="3:31" ht="22.5" customHeight="1" x14ac:dyDescent="0.2"/>
    <row r="15" spans="3:31" ht="22.5" customHeight="1" x14ac:dyDescent="0.2"/>
    <row r="16" spans="3:31" ht="22.5" customHeight="1" x14ac:dyDescent="0.2">
      <c r="I16" s="21"/>
    </row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</sheetData>
  <mergeCells count="4">
    <mergeCell ref="C1:D1"/>
    <mergeCell ref="C2:C4"/>
    <mergeCell ref="C5:C6"/>
    <mergeCell ref="C9:V9"/>
  </mergeCells>
  <conditionalFormatting sqref="C9">
    <cfRule type="iconSet" priority="38">
      <iconSet>
        <cfvo type="percent" val="0"/>
        <cfvo type="percent" val="33"/>
        <cfvo type="percent" val="67"/>
      </iconSet>
    </cfRule>
  </conditionalFormatting>
  <conditionalFormatting sqref="J7:L7">
    <cfRule type="iconSet" priority="37">
      <iconSet reverse="1">
        <cfvo type="percent" val="0"/>
        <cfvo type="num" val="4.5"/>
        <cfvo type="num" val="5.4"/>
      </iconSet>
    </cfRule>
  </conditionalFormatting>
  <conditionalFormatting sqref="M7">
    <cfRule type="iconSet" priority="35">
      <iconSet reverse="1">
        <cfvo type="percent" val="0"/>
        <cfvo type="num" val="4.5"/>
        <cfvo type="num" val="5.4"/>
      </iconSet>
    </cfRule>
  </conditionalFormatting>
  <conditionalFormatting sqref="N7">
    <cfRule type="iconSet" priority="26">
      <iconSet reverse="1">
        <cfvo type="percent" val="0"/>
        <cfvo type="num" val="4.5"/>
        <cfvo type="num" val="5.4"/>
      </iconSet>
    </cfRule>
  </conditionalFormatting>
  <conditionalFormatting sqref="O7">
    <cfRule type="iconSet" priority="25">
      <iconSet reverse="1">
        <cfvo type="percent" val="0"/>
        <cfvo type="num" val="4.5"/>
        <cfvo type="num" val="5.4"/>
      </iconSet>
    </cfRule>
  </conditionalFormatting>
  <conditionalFormatting sqref="P7">
    <cfRule type="iconSet" priority="18">
      <iconSet reverse="1">
        <cfvo type="percent" val="0"/>
        <cfvo type="num" val="4.5"/>
        <cfvo type="num" val="5.4"/>
      </iconSet>
    </cfRule>
  </conditionalFormatting>
  <conditionalFormatting sqref="Q7">
    <cfRule type="iconSet" priority="16">
      <iconSet reverse="1">
        <cfvo type="percent" val="0"/>
        <cfvo type="num" val="4.5"/>
        <cfvo type="num" val="5.4"/>
      </iconSet>
    </cfRule>
  </conditionalFormatting>
  <conditionalFormatting sqref="R7">
    <cfRule type="iconSet" priority="15">
      <iconSet reverse="1">
        <cfvo type="percent" val="0"/>
        <cfvo type="num" val="4.5"/>
        <cfvo type="num" val="5.4"/>
      </iconSet>
    </cfRule>
  </conditionalFormatting>
  <conditionalFormatting sqref="S7">
    <cfRule type="iconSet" priority="12">
      <iconSet reverse="1">
        <cfvo type="percent" val="0"/>
        <cfvo type="num" val="4.5"/>
        <cfvo type="num" val="5.4"/>
      </iconSet>
    </cfRule>
  </conditionalFormatting>
  <conditionalFormatting sqref="T7">
    <cfRule type="iconSet" priority="10">
      <iconSet reverse="1">
        <cfvo type="percent" val="0"/>
        <cfvo type="num" val="4.5"/>
        <cfvo type="num" val="5.4"/>
      </iconSet>
    </cfRule>
  </conditionalFormatting>
  <conditionalFormatting sqref="V7">
    <cfRule type="iconSet" priority="7">
      <iconSet>
        <cfvo type="percent" val="0"/>
        <cfvo type="num" val="77"/>
        <cfvo type="num" val="87"/>
      </iconSet>
    </cfRule>
  </conditionalFormatting>
  <conditionalFormatting sqref="J3:V4">
    <cfRule type="iconSet" priority="5">
      <iconSet>
        <cfvo type="percent" val="0"/>
        <cfvo type="num" val="86"/>
        <cfvo type="num" val="96"/>
      </iconSet>
    </cfRule>
  </conditionalFormatting>
  <conditionalFormatting sqref="J2:V2">
    <cfRule type="iconSet" priority="4">
      <iconSet>
        <cfvo type="percent" val="0"/>
        <cfvo type="num" val="79"/>
        <cfvo type="num" val="96"/>
      </iconSet>
    </cfRule>
  </conditionalFormatting>
  <conditionalFormatting sqref="J5:V5">
    <cfRule type="iconSet" priority="2">
      <iconSet reverse="1">
        <cfvo type="percent" val="0"/>
        <cfvo type="num" val="42"/>
        <cfvo type="num" val="46.2"/>
      </iconSet>
    </cfRule>
  </conditionalFormatting>
  <conditionalFormatting sqref="J6:V6">
    <cfRule type="iconSet" priority="1">
      <iconSet reverse="1">
        <cfvo type="percent" val="0"/>
        <cfvo type="num" val="420.2"/>
        <cfvo type="num" val="458.4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49"/>
  <sheetViews>
    <sheetView showGridLines="0" zoomScale="67" zoomScaleNormal="67" workbookViewId="0">
      <selection activeCell="A42" sqref="A42"/>
    </sheetView>
  </sheetViews>
  <sheetFormatPr defaultRowHeight="12.75" x14ac:dyDescent="0.2"/>
  <cols>
    <col min="1" max="1" width="23.140625" bestFit="1" customWidth="1"/>
    <col min="18" max="18" width="24.28515625" bestFit="1" customWidth="1"/>
  </cols>
  <sheetData>
    <row r="3" spans="1:31" x14ac:dyDescent="0.2">
      <c r="A3" t="s">
        <v>78</v>
      </c>
    </row>
    <row r="4" spans="1:31" x14ac:dyDescent="0.2">
      <c r="A4" t="s">
        <v>31</v>
      </c>
      <c r="B4" t="s">
        <v>32</v>
      </c>
      <c r="C4" t="s">
        <v>33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38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R4" t="str">
        <f>A4</f>
        <v>Total Inventory</v>
      </c>
      <c r="S4" s="69" t="str">
        <f>D4</f>
        <v>Mar' 15</v>
      </c>
      <c r="T4" s="69" t="str">
        <f t="shared" ref="T4:AE8" si="0">E4</f>
        <v>Apr' 15</v>
      </c>
      <c r="U4" s="69" t="str">
        <f t="shared" si="0"/>
        <v>May' 15</v>
      </c>
      <c r="V4" s="69" t="str">
        <f t="shared" si="0"/>
        <v>Jun' 15</v>
      </c>
      <c r="W4" s="69" t="str">
        <f t="shared" si="0"/>
        <v>July' 15</v>
      </c>
      <c r="X4" s="69" t="str">
        <f t="shared" si="0"/>
        <v>Aug' 15</v>
      </c>
      <c r="Y4" s="69" t="str">
        <f t="shared" si="0"/>
        <v>Sept' 15</v>
      </c>
      <c r="Z4" s="69" t="str">
        <f t="shared" si="0"/>
        <v>Oct' 15</v>
      </c>
      <c r="AA4" s="69" t="str">
        <f t="shared" si="0"/>
        <v>Nov' 15</v>
      </c>
      <c r="AB4" s="69" t="str">
        <f t="shared" si="0"/>
        <v>Dec' 15</v>
      </c>
      <c r="AC4" s="69" t="str">
        <f t="shared" si="0"/>
        <v>Jan' 16</v>
      </c>
      <c r="AD4" s="69" t="str">
        <f t="shared" si="0"/>
        <v>Feb' 16</v>
      </c>
      <c r="AE4" s="69" t="str">
        <f t="shared" si="0"/>
        <v>Mar' 16</v>
      </c>
    </row>
    <row r="5" spans="1:31" x14ac:dyDescent="0.2">
      <c r="A5" t="s">
        <v>82</v>
      </c>
      <c r="B5" s="67"/>
      <c r="C5" s="67"/>
      <c r="D5" s="67">
        <v>11.494831473999994</v>
      </c>
      <c r="E5" s="67">
        <v>9.2494520169999976</v>
      </c>
      <c r="F5" s="67">
        <v>8.058494915999999</v>
      </c>
      <c r="G5" s="67">
        <v>8.7129112839999987</v>
      </c>
      <c r="H5" s="67">
        <v>8.6113403159999979</v>
      </c>
      <c r="I5" s="67">
        <v>8.7633204199999994</v>
      </c>
      <c r="J5" s="67">
        <v>7.8098287090000031</v>
      </c>
      <c r="K5" s="67">
        <v>7.4851978019999965</v>
      </c>
      <c r="L5" s="67">
        <v>9.3401162299999996</v>
      </c>
      <c r="M5" s="67">
        <v>8.0062667509999983</v>
      </c>
      <c r="N5" s="67">
        <v>7.7725925449999975</v>
      </c>
      <c r="O5" s="67">
        <v>9.0058071650000038</v>
      </c>
      <c r="P5" s="67"/>
      <c r="Q5" s="67">
        <f>AVERAGE(E5:P5)</f>
        <v>8.4377571049999993</v>
      </c>
      <c r="R5" t="str">
        <f t="shared" ref="R5:R14" si="1">A5</f>
        <v>RM Total Inventory</v>
      </c>
      <c r="S5" s="67">
        <f>D5</f>
        <v>11.494831473999994</v>
      </c>
      <c r="T5" s="67">
        <f t="shared" si="0"/>
        <v>9.2494520169999976</v>
      </c>
      <c r="U5" s="67">
        <f t="shared" si="0"/>
        <v>8.058494915999999</v>
      </c>
      <c r="V5" s="67">
        <f t="shared" si="0"/>
        <v>8.7129112839999987</v>
      </c>
      <c r="W5" s="67">
        <f t="shared" si="0"/>
        <v>8.6113403159999979</v>
      </c>
      <c r="X5" s="67">
        <f t="shared" si="0"/>
        <v>8.7633204199999994</v>
      </c>
      <c r="Y5" s="67">
        <f t="shared" si="0"/>
        <v>7.8098287090000031</v>
      </c>
      <c r="Z5" s="67">
        <f t="shared" si="0"/>
        <v>7.4851978019999965</v>
      </c>
      <c r="AA5" s="67">
        <f t="shared" si="0"/>
        <v>9.3401162299999996</v>
      </c>
      <c r="AB5" s="67">
        <f t="shared" si="0"/>
        <v>8.0062667509999983</v>
      </c>
      <c r="AC5" s="67">
        <f t="shared" si="0"/>
        <v>7.7725925449999975</v>
      </c>
      <c r="AD5" s="67">
        <f t="shared" si="0"/>
        <v>9.0058071650000038</v>
      </c>
      <c r="AE5" s="67">
        <f t="shared" si="0"/>
        <v>0</v>
      </c>
    </row>
    <row r="6" spans="1:31" x14ac:dyDescent="0.2">
      <c r="A6" t="s">
        <v>74</v>
      </c>
      <c r="B6" s="67"/>
      <c r="C6" s="67"/>
      <c r="D6" s="67">
        <f t="shared" ref="D6:J6" si="2">AVERAGE(B8:D8)</f>
        <v>8.5885521208487123</v>
      </c>
      <c r="E6" s="67">
        <f t="shared" si="2"/>
        <v>8.1641548165749338</v>
      </c>
      <c r="F6" s="67">
        <f t="shared" si="2"/>
        <v>9.55057487889054</v>
      </c>
      <c r="G6" s="67">
        <f t="shared" si="2"/>
        <v>10.577400023312814</v>
      </c>
      <c r="H6" s="67">
        <f t="shared" si="2"/>
        <v>11.25433185093069</v>
      </c>
      <c r="I6" s="67">
        <f t="shared" si="2"/>
        <v>10.112100531242023</v>
      </c>
      <c r="J6" s="67">
        <f t="shared" si="2"/>
        <v>8.5575218383507003</v>
      </c>
      <c r="K6" s="67">
        <f>AVERAGE(I8:K8)</f>
        <v>8.0125800407327059</v>
      </c>
      <c r="L6" s="67">
        <f>AVERAGE(J8:L8)</f>
        <v>8.0299941050726975</v>
      </c>
      <c r="M6" s="67">
        <f>AVERAGE(K8:M8)</f>
        <v>8.8829348261393175</v>
      </c>
      <c r="N6" s="67">
        <f>AVERAGE(L8:N8)</f>
        <v>8.5152498013807776</v>
      </c>
      <c r="O6" s="67">
        <f>AVERAGE(M8:O8)</f>
        <v>8.4805775767688605</v>
      </c>
      <c r="P6" s="67"/>
      <c r="Q6" s="67">
        <f>AVERAGE(E6:P6)</f>
        <v>9.1034018444905502</v>
      </c>
      <c r="R6" t="str">
        <f t="shared" si="1"/>
        <v>Avg RM Consum</v>
      </c>
      <c r="S6" s="67">
        <f>D6</f>
        <v>8.5885521208487123</v>
      </c>
      <c r="T6" s="67">
        <f t="shared" si="0"/>
        <v>8.1641548165749338</v>
      </c>
      <c r="U6" s="67">
        <f t="shared" si="0"/>
        <v>9.55057487889054</v>
      </c>
      <c r="V6" s="67">
        <f t="shared" si="0"/>
        <v>10.577400023312814</v>
      </c>
      <c r="W6" s="67">
        <f t="shared" si="0"/>
        <v>11.25433185093069</v>
      </c>
      <c r="X6" s="67">
        <f t="shared" si="0"/>
        <v>10.112100531242023</v>
      </c>
      <c r="Y6" s="67">
        <f t="shared" si="0"/>
        <v>8.5575218383507003</v>
      </c>
      <c r="Z6" s="67">
        <f t="shared" si="0"/>
        <v>8.0125800407327059</v>
      </c>
      <c r="AA6" s="67">
        <f t="shared" si="0"/>
        <v>8.0299941050726975</v>
      </c>
      <c r="AB6" s="67">
        <f t="shared" si="0"/>
        <v>8.8829348261393175</v>
      </c>
      <c r="AC6" s="67">
        <f t="shared" si="0"/>
        <v>8.5152498013807776</v>
      </c>
      <c r="AD6" s="67">
        <f t="shared" si="0"/>
        <v>8.4805775767688605</v>
      </c>
      <c r="AE6" s="67">
        <f t="shared" si="0"/>
        <v>0</v>
      </c>
    </row>
    <row r="7" spans="1:31" x14ac:dyDescent="0.2">
      <c r="A7" t="s">
        <v>39</v>
      </c>
      <c r="B7" s="67"/>
      <c r="C7" s="67"/>
      <c r="D7" s="67">
        <f>D5*30/D6</f>
        <v>40.151697208996225</v>
      </c>
      <c r="E7" s="67">
        <f t="shared" ref="E7:K7" si="3">E5*30/E6</f>
        <v>33.988032655462447</v>
      </c>
      <c r="F7" s="67">
        <f t="shared" si="3"/>
        <v>25.313119947820759</v>
      </c>
      <c r="G7" s="67">
        <f t="shared" si="3"/>
        <v>24.711870397630488</v>
      </c>
      <c r="H7" s="67">
        <f t="shared" si="3"/>
        <v>22.954735376728401</v>
      </c>
      <c r="I7" s="67">
        <f t="shared" si="3"/>
        <v>25.998516508786054</v>
      </c>
      <c r="J7" s="67">
        <f t="shared" si="3"/>
        <v>27.378821310160511</v>
      </c>
      <c r="K7" s="67">
        <f t="shared" si="3"/>
        <v>28.025421639278314</v>
      </c>
      <c r="L7" s="67">
        <f>L5*30/L6</f>
        <v>34.894606799647612</v>
      </c>
      <c r="M7" s="67">
        <f>M5*30/M6</f>
        <v>27.039262049206091</v>
      </c>
      <c r="N7" s="67">
        <f>N5*30/N6</f>
        <v>27.383550898552539</v>
      </c>
      <c r="O7" s="67">
        <f>O5*30/O6</f>
        <v>31.85799699422569</v>
      </c>
      <c r="P7" s="67"/>
      <c r="Q7" s="67">
        <f>Q5*30/Q6</f>
        <v>27.806386829248659</v>
      </c>
      <c r="R7" t="str">
        <f t="shared" si="1"/>
        <v>DIOH</v>
      </c>
      <c r="S7" s="67">
        <f>D7</f>
        <v>40.151697208996225</v>
      </c>
      <c r="T7" s="67">
        <f t="shared" si="0"/>
        <v>33.988032655462447</v>
      </c>
      <c r="U7" s="67">
        <f t="shared" si="0"/>
        <v>25.313119947820759</v>
      </c>
      <c r="V7" s="67">
        <f t="shared" si="0"/>
        <v>24.711870397630488</v>
      </c>
      <c r="W7" s="67">
        <f t="shared" si="0"/>
        <v>22.954735376728401</v>
      </c>
      <c r="X7" s="67">
        <f t="shared" si="0"/>
        <v>25.998516508786054</v>
      </c>
      <c r="Y7" s="67">
        <f t="shared" si="0"/>
        <v>27.378821310160511</v>
      </c>
      <c r="Z7" s="67">
        <f t="shared" si="0"/>
        <v>28.025421639278314</v>
      </c>
      <c r="AA7" s="67">
        <f t="shared" si="0"/>
        <v>34.894606799647612</v>
      </c>
      <c r="AB7" s="67">
        <f t="shared" si="0"/>
        <v>27.039262049206091</v>
      </c>
      <c r="AC7" s="67">
        <f t="shared" si="0"/>
        <v>27.383550898552539</v>
      </c>
      <c r="AD7" s="67">
        <f t="shared" si="0"/>
        <v>31.85799699422569</v>
      </c>
      <c r="AE7" s="67">
        <f t="shared" si="0"/>
        <v>0</v>
      </c>
    </row>
    <row r="8" spans="1:31" x14ac:dyDescent="0.2">
      <c r="A8" t="s">
        <v>75</v>
      </c>
      <c r="B8" s="67">
        <v>10.494230665673998</v>
      </c>
      <c r="C8" s="67">
        <v>6.8934542928119074</v>
      </c>
      <c r="D8" s="67">
        <v>8.3779714040602347</v>
      </c>
      <c r="E8" s="67">
        <v>9.221038752852655</v>
      </c>
      <c r="F8" s="67">
        <v>11.05271447975873</v>
      </c>
      <c r="G8" s="67">
        <v>11.45844683732706</v>
      </c>
      <c r="H8" s="67">
        <v>11.251834235706278</v>
      </c>
      <c r="I8" s="67">
        <v>7.6260205206927303</v>
      </c>
      <c r="J8" s="67">
        <v>6.7947107586530935</v>
      </c>
      <c r="K8" s="67">
        <v>9.6170088428522913</v>
      </c>
      <c r="L8" s="67">
        <v>7.6782627137127086</v>
      </c>
      <c r="M8" s="67">
        <v>9.3535329218529508</v>
      </c>
      <c r="N8" s="67">
        <v>8.5139537685766733</v>
      </c>
      <c r="O8" s="67">
        <v>7.5742460398769591</v>
      </c>
      <c r="P8" s="67"/>
      <c r="Q8" s="67">
        <f>AVERAGE(E8:P8)</f>
        <v>9.1037972610783733</v>
      </c>
      <c r="R8" t="str">
        <f t="shared" si="1"/>
        <v>RM Consumption</v>
      </c>
      <c r="S8" s="67">
        <f>D8</f>
        <v>8.3779714040602347</v>
      </c>
      <c r="T8" s="67">
        <f t="shared" si="0"/>
        <v>9.221038752852655</v>
      </c>
      <c r="U8" s="67">
        <f t="shared" si="0"/>
        <v>11.05271447975873</v>
      </c>
      <c r="V8" s="67">
        <f t="shared" si="0"/>
        <v>11.45844683732706</v>
      </c>
      <c r="W8" s="67">
        <f t="shared" si="0"/>
        <v>11.251834235706278</v>
      </c>
      <c r="X8" s="67">
        <f t="shared" si="0"/>
        <v>7.6260205206927303</v>
      </c>
      <c r="Y8" s="67">
        <f t="shared" si="0"/>
        <v>6.7947107586530935</v>
      </c>
      <c r="Z8" s="67">
        <f t="shared" si="0"/>
        <v>9.6170088428522913</v>
      </c>
      <c r="AA8" s="67">
        <f t="shared" si="0"/>
        <v>7.6782627137127086</v>
      </c>
      <c r="AB8" s="67">
        <f t="shared" si="0"/>
        <v>9.3535329218529508</v>
      </c>
      <c r="AC8" s="67">
        <f t="shared" si="0"/>
        <v>8.5139537685766733</v>
      </c>
      <c r="AD8" s="67">
        <f t="shared" si="0"/>
        <v>7.5742460398769591</v>
      </c>
      <c r="AE8" s="67">
        <f t="shared" si="0"/>
        <v>0</v>
      </c>
    </row>
    <row r="9" spans="1:31" x14ac:dyDescent="0.2">
      <c r="Q9" s="69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</row>
    <row r="10" spans="1:31" x14ac:dyDescent="0.2">
      <c r="A10" t="s">
        <v>76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38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s="69"/>
      <c r="R10" t="str">
        <f t="shared" si="1"/>
        <v>Moving Inventory</v>
      </c>
      <c r="S10" s="67" t="str">
        <f t="shared" ref="S10:AE14" si="4">D10</f>
        <v>Mar' 15</v>
      </c>
      <c r="T10" s="67" t="str">
        <f t="shared" si="4"/>
        <v>Apr' 15</v>
      </c>
      <c r="U10" s="67" t="str">
        <f t="shared" si="4"/>
        <v>May' 15</v>
      </c>
      <c r="V10" s="67" t="str">
        <f t="shared" si="4"/>
        <v>Jun' 15</v>
      </c>
      <c r="W10" s="67" t="str">
        <f t="shared" si="4"/>
        <v>July' 15</v>
      </c>
      <c r="X10" s="67" t="str">
        <f t="shared" si="4"/>
        <v>Aug' 15</v>
      </c>
      <c r="Y10" s="67" t="str">
        <f t="shared" si="4"/>
        <v>Sept' 15</v>
      </c>
      <c r="Z10" s="67" t="str">
        <f t="shared" si="4"/>
        <v>Oct' 15</v>
      </c>
      <c r="AA10" s="67" t="str">
        <f t="shared" si="4"/>
        <v>Nov' 15</v>
      </c>
      <c r="AB10" s="67" t="str">
        <f t="shared" si="4"/>
        <v>Dec' 15</v>
      </c>
      <c r="AC10" s="67" t="str">
        <f t="shared" si="4"/>
        <v>Jan' 16</v>
      </c>
      <c r="AD10" s="67" t="str">
        <f t="shared" si="4"/>
        <v>Feb' 16</v>
      </c>
      <c r="AE10" s="67" t="str">
        <f t="shared" si="4"/>
        <v>Mar' 16</v>
      </c>
    </row>
    <row r="11" spans="1:31" x14ac:dyDescent="0.2">
      <c r="A11" t="s">
        <v>83</v>
      </c>
      <c r="B11" s="67"/>
      <c r="C11" s="67"/>
      <c r="D11" s="67">
        <v>7.647995263999996</v>
      </c>
      <c r="E11" s="67">
        <v>6.005970418999997</v>
      </c>
      <c r="F11" s="67">
        <v>5.8512972199999993</v>
      </c>
      <c r="G11" s="67">
        <v>6.0301618349999995</v>
      </c>
      <c r="H11" s="67">
        <v>5.7165911630000004</v>
      </c>
      <c r="I11" s="67">
        <v>5.9889149699999997</v>
      </c>
      <c r="J11" s="67">
        <v>4.6908713440000049</v>
      </c>
      <c r="K11" s="67">
        <v>4.8744555839999979</v>
      </c>
      <c r="L11" s="67">
        <v>7.2088882089999995</v>
      </c>
      <c r="M11" s="67">
        <v>6.0124485099999996</v>
      </c>
      <c r="N11" s="67">
        <v>6.0878325009999976</v>
      </c>
      <c r="O11" s="67">
        <v>7.2038890530000046</v>
      </c>
      <c r="P11" s="67"/>
      <c r="Q11" s="67">
        <f>AVERAGE(E11:P11)</f>
        <v>5.9701200734545443</v>
      </c>
      <c r="R11" t="str">
        <f t="shared" si="1"/>
        <v>RM Moving Inventory</v>
      </c>
      <c r="S11" s="67">
        <f t="shared" si="4"/>
        <v>7.647995263999996</v>
      </c>
      <c r="T11" s="67">
        <f t="shared" si="4"/>
        <v>6.005970418999997</v>
      </c>
      <c r="U11" s="67">
        <f t="shared" si="4"/>
        <v>5.8512972199999993</v>
      </c>
      <c r="V11" s="67">
        <f t="shared" si="4"/>
        <v>6.0301618349999995</v>
      </c>
      <c r="W11" s="67">
        <f t="shared" si="4"/>
        <v>5.7165911630000004</v>
      </c>
      <c r="X11" s="67">
        <f t="shared" si="4"/>
        <v>5.9889149699999997</v>
      </c>
      <c r="Y11" s="67">
        <f t="shared" si="4"/>
        <v>4.6908713440000049</v>
      </c>
      <c r="Z11" s="67">
        <f t="shared" si="4"/>
        <v>4.8744555839999979</v>
      </c>
      <c r="AA11" s="67">
        <f t="shared" si="4"/>
        <v>7.2088882089999995</v>
      </c>
      <c r="AB11" s="67">
        <f t="shared" si="4"/>
        <v>6.0124485099999996</v>
      </c>
      <c r="AC11" s="67">
        <f t="shared" si="4"/>
        <v>6.0878325009999976</v>
      </c>
      <c r="AD11" s="67">
        <f t="shared" si="4"/>
        <v>7.2038890530000046</v>
      </c>
      <c r="AE11" s="67">
        <f t="shared" si="4"/>
        <v>0</v>
      </c>
    </row>
    <row r="12" spans="1:31" x14ac:dyDescent="0.2">
      <c r="A12" t="s">
        <v>74</v>
      </c>
      <c r="B12" s="67"/>
      <c r="C12" s="67"/>
      <c r="D12" s="67">
        <f t="shared" ref="D12:J12" si="5">AVERAGE(B14:D14)</f>
        <v>8.5885521208487123</v>
      </c>
      <c r="E12" s="67">
        <f t="shared" si="5"/>
        <v>8.1641548165749338</v>
      </c>
      <c r="F12" s="67">
        <f t="shared" si="5"/>
        <v>9.55057487889054</v>
      </c>
      <c r="G12" s="67">
        <f t="shared" si="5"/>
        <v>10.577400023312814</v>
      </c>
      <c r="H12" s="67">
        <f t="shared" si="5"/>
        <v>11.25433185093069</v>
      </c>
      <c r="I12" s="67">
        <f t="shared" si="5"/>
        <v>10.112100531242023</v>
      </c>
      <c r="J12" s="67">
        <f t="shared" si="5"/>
        <v>8.5575218383507003</v>
      </c>
      <c r="K12" s="67">
        <f>AVERAGE(I14:K14)</f>
        <v>8.0125800407327059</v>
      </c>
      <c r="L12" s="67">
        <f>AVERAGE(J14:L14)</f>
        <v>8.0299941050726975</v>
      </c>
      <c r="M12" s="67">
        <f>AVERAGE(K14:M14)</f>
        <v>8.8829348261393175</v>
      </c>
      <c r="N12" s="67">
        <f>AVERAGE(L14:N14)</f>
        <v>8.5152498013807776</v>
      </c>
      <c r="O12" s="67">
        <f>AVERAGE(M14:O14)</f>
        <v>8.4805775767688605</v>
      </c>
      <c r="P12" s="67"/>
      <c r="Q12" s="67">
        <f>AVERAGE(E12:P12)</f>
        <v>9.1034018444905502</v>
      </c>
      <c r="R12" t="str">
        <f t="shared" si="1"/>
        <v>Avg RM Consum</v>
      </c>
      <c r="S12" s="67">
        <f t="shared" si="4"/>
        <v>8.5885521208487123</v>
      </c>
      <c r="T12" s="67">
        <f t="shared" si="4"/>
        <v>8.1641548165749338</v>
      </c>
      <c r="U12" s="67">
        <f t="shared" si="4"/>
        <v>9.55057487889054</v>
      </c>
      <c r="V12" s="67">
        <f t="shared" si="4"/>
        <v>10.577400023312814</v>
      </c>
      <c r="W12" s="67">
        <f t="shared" si="4"/>
        <v>11.25433185093069</v>
      </c>
      <c r="X12" s="67">
        <f t="shared" si="4"/>
        <v>10.112100531242023</v>
      </c>
      <c r="Y12" s="67">
        <f t="shared" si="4"/>
        <v>8.5575218383507003</v>
      </c>
      <c r="Z12" s="67">
        <f t="shared" si="4"/>
        <v>8.0125800407327059</v>
      </c>
      <c r="AA12" s="67">
        <f t="shared" si="4"/>
        <v>8.0299941050726975</v>
      </c>
      <c r="AB12" s="67">
        <f t="shared" si="4"/>
        <v>8.8829348261393175</v>
      </c>
      <c r="AC12" s="67">
        <f t="shared" si="4"/>
        <v>8.5152498013807776</v>
      </c>
      <c r="AD12" s="67">
        <f t="shared" si="4"/>
        <v>8.4805775767688605</v>
      </c>
      <c r="AE12" s="67">
        <f t="shared" si="4"/>
        <v>0</v>
      </c>
    </row>
    <row r="13" spans="1:31" x14ac:dyDescent="0.2">
      <c r="A13" t="s">
        <v>39</v>
      </c>
      <c r="B13" s="67"/>
      <c r="C13" s="67"/>
      <c r="D13" s="67">
        <f>D11*30/D12</f>
        <v>26.71461437173264</v>
      </c>
      <c r="E13" s="67">
        <f t="shared" ref="E13:L13" si="6">E11*30/E12</f>
        <v>22.069536482110653</v>
      </c>
      <c r="F13" s="67">
        <f t="shared" si="6"/>
        <v>18.379931975402908</v>
      </c>
      <c r="G13" s="67">
        <f t="shared" si="6"/>
        <v>17.102960524446637</v>
      </c>
      <c r="H13" s="67">
        <f t="shared" si="6"/>
        <v>15.238375512786909</v>
      </c>
      <c r="I13" s="67">
        <f t="shared" si="6"/>
        <v>17.767569511883824</v>
      </c>
      <c r="J13" s="67">
        <f t="shared" si="6"/>
        <v>16.444730493042183</v>
      </c>
      <c r="K13" s="67">
        <f t="shared" si="6"/>
        <v>18.250509421011373</v>
      </c>
      <c r="L13" s="67">
        <f t="shared" si="6"/>
        <v>26.932354300656375</v>
      </c>
      <c r="M13" s="67">
        <f>M11*30/M12</f>
        <v>20.305615073210383</v>
      </c>
      <c r="N13" s="67">
        <f>N11*30/N12</f>
        <v>21.447987938108994</v>
      </c>
      <c r="O13" s="67">
        <f>O11*30/O12</f>
        <v>25.48372084727059</v>
      </c>
      <c r="P13" s="67"/>
      <c r="Q13" s="67">
        <f>Q11*30/Q12</f>
        <v>19.674359680390385</v>
      </c>
      <c r="R13" t="str">
        <f t="shared" si="1"/>
        <v>DIOH</v>
      </c>
      <c r="S13" s="67">
        <f t="shared" si="4"/>
        <v>26.71461437173264</v>
      </c>
      <c r="T13" s="67">
        <f t="shared" si="4"/>
        <v>22.069536482110653</v>
      </c>
      <c r="U13" s="67">
        <f t="shared" si="4"/>
        <v>18.379931975402908</v>
      </c>
      <c r="V13" s="67">
        <f t="shared" si="4"/>
        <v>17.102960524446637</v>
      </c>
      <c r="W13" s="67">
        <f t="shared" si="4"/>
        <v>15.238375512786909</v>
      </c>
      <c r="X13" s="67">
        <f t="shared" si="4"/>
        <v>17.767569511883824</v>
      </c>
      <c r="Y13" s="67">
        <f t="shared" si="4"/>
        <v>16.444730493042183</v>
      </c>
      <c r="Z13" s="67">
        <f t="shared" si="4"/>
        <v>18.250509421011373</v>
      </c>
      <c r="AA13" s="67">
        <f t="shared" si="4"/>
        <v>26.932354300656375</v>
      </c>
      <c r="AB13" s="67">
        <f t="shared" si="4"/>
        <v>20.305615073210383</v>
      </c>
      <c r="AC13" s="67">
        <f t="shared" si="4"/>
        <v>21.447987938108994</v>
      </c>
      <c r="AD13" s="67">
        <f t="shared" si="4"/>
        <v>25.48372084727059</v>
      </c>
      <c r="AE13" s="67">
        <f t="shared" si="4"/>
        <v>0</v>
      </c>
    </row>
    <row r="14" spans="1:31" x14ac:dyDescent="0.2">
      <c r="A14" t="s">
        <v>75</v>
      </c>
      <c r="B14" s="67">
        <v>10.494230665673998</v>
      </c>
      <c r="C14" s="67">
        <v>6.8934542928119074</v>
      </c>
      <c r="D14" s="67">
        <v>8.3779714040602347</v>
      </c>
      <c r="E14" s="67">
        <v>9.221038752852655</v>
      </c>
      <c r="F14" s="67">
        <v>11.05271447975873</v>
      </c>
      <c r="G14" s="67">
        <v>11.45844683732706</v>
      </c>
      <c r="H14" s="67">
        <v>11.251834235706278</v>
      </c>
      <c r="I14" s="67">
        <v>7.6260205206927303</v>
      </c>
      <c r="J14" s="67">
        <v>6.7947107586530935</v>
      </c>
      <c r="K14" s="67">
        <v>9.6170088428522913</v>
      </c>
      <c r="L14" s="67">
        <v>7.6782627137127086</v>
      </c>
      <c r="M14" s="67">
        <v>9.3535329218529508</v>
      </c>
      <c r="N14" s="67">
        <v>8.5139537685766733</v>
      </c>
      <c r="O14" s="67">
        <v>7.5742460398769591</v>
      </c>
      <c r="P14" s="67"/>
      <c r="Q14" s="67">
        <f>AVERAGE(E14:P14)</f>
        <v>9.1037972610783733</v>
      </c>
      <c r="R14" t="str">
        <f t="shared" si="1"/>
        <v>RM Consumption</v>
      </c>
      <c r="S14" s="67">
        <f t="shared" si="4"/>
        <v>8.3779714040602347</v>
      </c>
      <c r="T14" s="67">
        <f t="shared" si="4"/>
        <v>9.221038752852655</v>
      </c>
      <c r="U14" s="67">
        <f t="shared" si="4"/>
        <v>11.05271447975873</v>
      </c>
      <c r="V14" s="67">
        <f t="shared" si="4"/>
        <v>11.45844683732706</v>
      </c>
      <c r="W14" s="67">
        <f t="shared" si="4"/>
        <v>11.251834235706278</v>
      </c>
      <c r="X14" s="67">
        <f t="shared" si="4"/>
        <v>7.6260205206927303</v>
      </c>
      <c r="Y14" s="67">
        <f t="shared" si="4"/>
        <v>6.7947107586530935</v>
      </c>
      <c r="Z14" s="67">
        <f t="shared" si="4"/>
        <v>9.6170088428522913</v>
      </c>
      <c r="AA14" s="67">
        <f t="shared" si="4"/>
        <v>7.6782627137127086</v>
      </c>
      <c r="AB14" s="67">
        <f t="shared" si="4"/>
        <v>9.3535329218529508</v>
      </c>
      <c r="AC14" s="67">
        <f t="shared" si="4"/>
        <v>8.5139537685766733</v>
      </c>
      <c r="AD14" s="67">
        <f t="shared" si="4"/>
        <v>7.5742460398769591</v>
      </c>
      <c r="AE14" s="67">
        <f t="shared" si="4"/>
        <v>0</v>
      </c>
    </row>
    <row r="15" spans="1:31" x14ac:dyDescent="0.2">
      <c r="Q15" s="69"/>
    </row>
    <row r="16" spans="1:31" x14ac:dyDescent="0.2">
      <c r="Q16" s="69"/>
    </row>
    <row r="17" spans="1:31" x14ac:dyDescent="0.2">
      <c r="Q17" s="69"/>
    </row>
    <row r="18" spans="1:31" x14ac:dyDescent="0.2">
      <c r="Q18" s="69"/>
    </row>
    <row r="19" spans="1:31" x14ac:dyDescent="0.2">
      <c r="Q19" s="69"/>
    </row>
    <row r="20" spans="1:31" x14ac:dyDescent="0.2">
      <c r="Q20" s="69"/>
    </row>
    <row r="21" spans="1:31" x14ac:dyDescent="0.2">
      <c r="Q21" s="69"/>
    </row>
    <row r="22" spans="1:31" x14ac:dyDescent="0.2">
      <c r="Q22" s="69"/>
    </row>
    <row r="23" spans="1:31" x14ac:dyDescent="0.2">
      <c r="Q23" s="69"/>
    </row>
    <row r="24" spans="1:31" x14ac:dyDescent="0.2">
      <c r="Q24" s="69"/>
    </row>
    <row r="25" spans="1:31" x14ac:dyDescent="0.2">
      <c r="A25" t="s">
        <v>77</v>
      </c>
      <c r="Q25" s="69"/>
    </row>
    <row r="26" spans="1:31" x14ac:dyDescent="0.2">
      <c r="A26" t="s">
        <v>31</v>
      </c>
      <c r="B26" t="s">
        <v>32</v>
      </c>
      <c r="C26" t="s">
        <v>33</v>
      </c>
      <c r="D26" t="s">
        <v>34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38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P26" t="s">
        <v>20</v>
      </c>
      <c r="Q26" s="69"/>
      <c r="R26" t="str">
        <f>A26</f>
        <v>Total Inventory</v>
      </c>
      <c r="S26" s="67" t="str">
        <f t="shared" ref="S26:AE30" si="7">D26</f>
        <v>Mar' 15</v>
      </c>
      <c r="T26" s="67" t="str">
        <f t="shared" si="7"/>
        <v>Apr' 15</v>
      </c>
      <c r="U26" s="67" t="str">
        <f t="shared" si="7"/>
        <v>May' 15</v>
      </c>
      <c r="V26" s="67" t="str">
        <f t="shared" si="7"/>
        <v>Jun' 15</v>
      </c>
      <c r="W26" s="67" t="str">
        <f t="shared" si="7"/>
        <v>July' 15</v>
      </c>
      <c r="X26" s="67" t="str">
        <f t="shared" si="7"/>
        <v>Aug' 15</v>
      </c>
      <c r="Y26" s="67" t="str">
        <f t="shared" si="7"/>
        <v>Sept' 15</v>
      </c>
      <c r="Z26" s="67" t="str">
        <f t="shared" si="7"/>
        <v>Oct' 15</v>
      </c>
      <c r="AA26" s="67" t="str">
        <f t="shared" si="7"/>
        <v>Nov' 15</v>
      </c>
      <c r="AB26" s="67" t="str">
        <f t="shared" si="7"/>
        <v>Dec' 15</v>
      </c>
      <c r="AC26" s="67" t="str">
        <f t="shared" si="7"/>
        <v>Jan' 16</v>
      </c>
      <c r="AD26" s="67" t="str">
        <f t="shared" si="7"/>
        <v>Feb' 16</v>
      </c>
      <c r="AE26" s="67" t="str">
        <f t="shared" si="7"/>
        <v>Mar' 16</v>
      </c>
    </row>
    <row r="27" spans="1:31" x14ac:dyDescent="0.2">
      <c r="A27" t="s">
        <v>84</v>
      </c>
      <c r="B27" s="67"/>
      <c r="C27" s="67"/>
      <c r="D27" s="67">
        <v>5.860400739000001</v>
      </c>
      <c r="E27" s="67">
        <v>5.4402268440000023</v>
      </c>
      <c r="F27" s="67">
        <v>6.3725611709999956</v>
      </c>
      <c r="G27" s="67">
        <v>6.1455136440000029</v>
      </c>
      <c r="H27" s="67">
        <v>5.3685221310000015</v>
      </c>
      <c r="I27" s="67">
        <v>6.4668693189999988</v>
      </c>
      <c r="J27" s="67">
        <v>6.0275370510000013</v>
      </c>
      <c r="K27" s="67">
        <v>6.3568963750000069</v>
      </c>
      <c r="L27" s="67">
        <v>6.3239556269999966</v>
      </c>
      <c r="M27" s="67">
        <v>6.0384464879999999</v>
      </c>
      <c r="N27" s="67">
        <v>4.8126135679999997</v>
      </c>
      <c r="O27" s="67">
        <v>5.490667253999999</v>
      </c>
      <c r="P27" s="67"/>
      <c r="Q27" s="67">
        <f>AVERAGE(E27:P27)</f>
        <v>5.8948917701818182</v>
      </c>
      <c r="R27" t="str">
        <f>A27</f>
        <v>PM Total Inventory</v>
      </c>
      <c r="S27" s="67">
        <f t="shared" si="7"/>
        <v>5.860400739000001</v>
      </c>
      <c r="T27" s="67">
        <f t="shared" si="7"/>
        <v>5.4402268440000023</v>
      </c>
      <c r="U27" s="67">
        <f t="shared" si="7"/>
        <v>6.3725611709999956</v>
      </c>
      <c r="V27" s="67">
        <f t="shared" si="7"/>
        <v>6.1455136440000029</v>
      </c>
      <c r="W27" s="67">
        <f t="shared" si="7"/>
        <v>5.3685221310000015</v>
      </c>
      <c r="X27" s="67">
        <f t="shared" si="7"/>
        <v>6.4668693189999988</v>
      </c>
      <c r="Y27" s="67">
        <f t="shared" si="7"/>
        <v>6.0275370510000013</v>
      </c>
      <c r="Z27" s="67">
        <f t="shared" si="7"/>
        <v>6.3568963750000069</v>
      </c>
      <c r="AA27" s="67">
        <f t="shared" si="7"/>
        <v>6.3239556269999966</v>
      </c>
      <c r="AB27" s="67">
        <f t="shared" si="7"/>
        <v>6.0384464879999999</v>
      </c>
      <c r="AC27" s="67">
        <f t="shared" si="7"/>
        <v>4.8126135679999997</v>
      </c>
      <c r="AD27" s="67">
        <f t="shared" si="7"/>
        <v>5.490667253999999</v>
      </c>
      <c r="AE27" s="67">
        <f t="shared" si="7"/>
        <v>0</v>
      </c>
    </row>
    <row r="28" spans="1:31" x14ac:dyDescent="0.2">
      <c r="A28" t="s">
        <v>79</v>
      </c>
      <c r="B28" s="67"/>
      <c r="C28" s="67"/>
      <c r="D28" s="67">
        <f t="shared" ref="D28:J28" si="8">AVERAGE(B30:D30)</f>
        <v>6.1442103233494576</v>
      </c>
      <c r="E28" s="67">
        <f t="shared" si="8"/>
        <v>5.7361355374703367</v>
      </c>
      <c r="F28" s="67">
        <f t="shared" si="8"/>
        <v>6.4660631090145388</v>
      </c>
      <c r="G28" s="67">
        <f t="shared" si="8"/>
        <v>6.9255002335440663</v>
      </c>
      <c r="H28" s="67">
        <f t="shared" si="8"/>
        <v>7.0404768905750261</v>
      </c>
      <c r="I28" s="67">
        <f t="shared" si="8"/>
        <v>6.3032165027335489</v>
      </c>
      <c r="J28" s="67">
        <f t="shared" si="8"/>
        <v>5.4295531319488903</v>
      </c>
      <c r="K28" s="67">
        <f>AVERAGE(I30:K30)</f>
        <v>5.4339119776702161</v>
      </c>
      <c r="L28" s="67">
        <f>AVERAGE(J30:L30)</f>
        <v>5.921439807211911</v>
      </c>
      <c r="M28" s="67">
        <f>AVERAGE(K30:M30)</f>
        <v>6.2531919614026998</v>
      </c>
      <c r="N28" s="67">
        <f>AVERAGE(L30:N30)</f>
        <v>5.8023734942284735</v>
      </c>
      <c r="O28" s="67">
        <f>AVERAGE(M30:O30)</f>
        <v>5.4450325496678289</v>
      </c>
      <c r="P28" s="67"/>
      <c r="Q28" s="67">
        <f>AVERAGE(E28:P28)</f>
        <v>6.0688086541334121</v>
      </c>
      <c r="R28" t="str">
        <f>A28</f>
        <v>Avg PM Consum</v>
      </c>
      <c r="S28" s="67">
        <f t="shared" si="7"/>
        <v>6.1442103233494576</v>
      </c>
      <c r="T28" s="67">
        <f t="shared" si="7"/>
        <v>5.7361355374703367</v>
      </c>
      <c r="U28" s="67">
        <f t="shared" si="7"/>
        <v>6.4660631090145388</v>
      </c>
      <c r="V28" s="67">
        <f t="shared" si="7"/>
        <v>6.9255002335440663</v>
      </c>
      <c r="W28" s="67">
        <f t="shared" si="7"/>
        <v>7.0404768905750261</v>
      </c>
      <c r="X28" s="67">
        <f t="shared" si="7"/>
        <v>6.3032165027335489</v>
      </c>
      <c r="Y28" s="67">
        <f t="shared" si="7"/>
        <v>5.4295531319488903</v>
      </c>
      <c r="Z28" s="67">
        <f t="shared" si="7"/>
        <v>5.4339119776702161</v>
      </c>
      <c r="AA28" s="67">
        <f t="shared" si="7"/>
        <v>5.921439807211911</v>
      </c>
      <c r="AB28" s="67">
        <f t="shared" si="7"/>
        <v>6.2531919614026998</v>
      </c>
      <c r="AC28" s="67">
        <f t="shared" si="7"/>
        <v>5.8023734942284735</v>
      </c>
      <c r="AD28" s="67">
        <f t="shared" si="7"/>
        <v>5.4450325496678289</v>
      </c>
      <c r="AE28" s="67">
        <f t="shared" si="7"/>
        <v>0</v>
      </c>
    </row>
    <row r="29" spans="1:31" x14ac:dyDescent="0.2">
      <c r="A29" t="s">
        <v>39</v>
      </c>
      <c r="B29" s="67"/>
      <c r="C29" s="67"/>
      <c r="D29" s="67">
        <f>D27*30/D28</f>
        <v>28.614258451061257</v>
      </c>
      <c r="E29" s="67">
        <f t="shared" ref="E29:K29" si="9">E27*30/E28</f>
        <v>28.452396958523586</v>
      </c>
      <c r="F29" s="67">
        <f t="shared" si="9"/>
        <v>29.566187633318073</v>
      </c>
      <c r="G29" s="67">
        <f t="shared" si="9"/>
        <v>26.621240791678183</v>
      </c>
      <c r="H29" s="67">
        <f t="shared" si="9"/>
        <v>22.87567538863776</v>
      </c>
      <c r="I29" s="67">
        <f t="shared" si="9"/>
        <v>30.778901452276681</v>
      </c>
      <c r="J29" s="67">
        <f t="shared" si="9"/>
        <v>33.304050468900023</v>
      </c>
      <c r="K29" s="67">
        <f t="shared" si="9"/>
        <v>35.095690182998801</v>
      </c>
      <c r="L29" s="67">
        <f>L27*30/L28</f>
        <v>32.039280139086351</v>
      </c>
      <c r="M29" s="67">
        <f>M27*30/M28</f>
        <v>28.969747891661417</v>
      </c>
      <c r="N29" s="67">
        <f>N27*30/N28</f>
        <v>24.882646245301313</v>
      </c>
      <c r="O29" s="67">
        <f>O27*30/O28</f>
        <v>30.251429374843429</v>
      </c>
      <c r="P29" s="67"/>
      <c r="Q29" s="67">
        <f>Q27*30/Q28</f>
        <v>29.140275000268097</v>
      </c>
      <c r="R29" t="str">
        <f>A29</f>
        <v>DIOH</v>
      </c>
      <c r="S29" s="67">
        <f t="shared" si="7"/>
        <v>28.614258451061257</v>
      </c>
      <c r="T29" s="67">
        <f t="shared" si="7"/>
        <v>28.452396958523586</v>
      </c>
      <c r="U29" s="67">
        <f t="shared" si="7"/>
        <v>29.566187633318073</v>
      </c>
      <c r="V29" s="67">
        <f t="shared" si="7"/>
        <v>26.621240791678183</v>
      </c>
      <c r="W29" s="67">
        <f t="shared" si="7"/>
        <v>22.87567538863776</v>
      </c>
      <c r="X29" s="67">
        <f t="shared" si="7"/>
        <v>30.778901452276681</v>
      </c>
      <c r="Y29" s="67">
        <f t="shared" si="7"/>
        <v>33.304050468900023</v>
      </c>
      <c r="Z29" s="67">
        <f t="shared" si="7"/>
        <v>35.095690182998801</v>
      </c>
      <c r="AA29" s="67">
        <f t="shared" si="7"/>
        <v>32.039280139086351</v>
      </c>
      <c r="AB29" s="67">
        <f t="shared" si="7"/>
        <v>28.969747891661417</v>
      </c>
      <c r="AC29" s="67">
        <f t="shared" si="7"/>
        <v>24.882646245301313</v>
      </c>
      <c r="AD29" s="67">
        <f t="shared" si="7"/>
        <v>30.251429374843429</v>
      </c>
      <c r="AE29" s="67">
        <f t="shared" si="7"/>
        <v>0</v>
      </c>
    </row>
    <row r="30" spans="1:31" x14ac:dyDescent="0.2">
      <c r="A30" t="s">
        <v>80</v>
      </c>
      <c r="B30" s="67">
        <v>7.4035406440060036</v>
      </c>
      <c r="C30" s="67">
        <v>4.8117465005479119</v>
      </c>
      <c r="D30" s="67">
        <v>6.2173438254944546</v>
      </c>
      <c r="E30" s="67">
        <v>6.1793162863686444</v>
      </c>
      <c r="F30" s="67">
        <v>7.0015292151805202</v>
      </c>
      <c r="G30" s="67">
        <v>7.5956551990830317</v>
      </c>
      <c r="H30" s="67">
        <v>6.5242462574615256</v>
      </c>
      <c r="I30" s="67">
        <v>4.7897480516560895</v>
      </c>
      <c r="J30" s="67">
        <v>4.9746650867290585</v>
      </c>
      <c r="K30" s="67">
        <v>6.5373227946254993</v>
      </c>
      <c r="L30" s="67">
        <v>6.2523315402811761</v>
      </c>
      <c r="M30" s="67">
        <v>5.9699215493014259</v>
      </c>
      <c r="N30" s="67">
        <v>5.1848673931028211</v>
      </c>
      <c r="O30" s="67">
        <v>5.1803087065992406</v>
      </c>
      <c r="P30" s="67"/>
      <c r="Q30" s="67">
        <f>AVERAGE(E30:P30)</f>
        <v>6.017264734580821</v>
      </c>
      <c r="R30" t="str">
        <f>A30</f>
        <v>PM Consumption</v>
      </c>
      <c r="S30" s="67">
        <f t="shared" si="7"/>
        <v>6.2173438254944546</v>
      </c>
      <c r="T30" s="67">
        <f t="shared" si="7"/>
        <v>6.1793162863686444</v>
      </c>
      <c r="U30" s="67">
        <f t="shared" si="7"/>
        <v>7.0015292151805202</v>
      </c>
      <c r="V30" s="67">
        <f t="shared" si="7"/>
        <v>7.5956551990830317</v>
      </c>
      <c r="W30" s="67">
        <f t="shared" si="7"/>
        <v>6.5242462574615256</v>
      </c>
      <c r="X30" s="67">
        <f t="shared" si="7"/>
        <v>4.7897480516560895</v>
      </c>
      <c r="Y30" s="67">
        <f t="shared" si="7"/>
        <v>4.9746650867290585</v>
      </c>
      <c r="Z30" s="67">
        <f t="shared" si="7"/>
        <v>6.5373227946254993</v>
      </c>
      <c r="AA30" s="67">
        <f t="shared" si="7"/>
        <v>6.2523315402811761</v>
      </c>
      <c r="AB30" s="67">
        <f t="shared" si="7"/>
        <v>5.9699215493014259</v>
      </c>
      <c r="AC30" s="67">
        <f t="shared" si="7"/>
        <v>5.1848673931028211</v>
      </c>
      <c r="AD30" s="67">
        <f t="shared" si="7"/>
        <v>5.1803087065992406</v>
      </c>
      <c r="AE30" s="67">
        <f t="shared" si="7"/>
        <v>0</v>
      </c>
    </row>
    <row r="31" spans="1:31" x14ac:dyDescent="0.2">
      <c r="Q31" s="69"/>
    </row>
    <row r="32" spans="1:31" x14ac:dyDescent="0.2">
      <c r="A32" t="s">
        <v>76</v>
      </c>
      <c r="B32" t="s">
        <v>32</v>
      </c>
      <c r="C32" t="s">
        <v>33</v>
      </c>
      <c r="D32" t="s">
        <v>34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38</v>
      </c>
      <c r="K32" t="s">
        <v>15</v>
      </c>
      <c r="L32" t="s">
        <v>16</v>
      </c>
      <c r="M32" t="s">
        <v>17</v>
      </c>
      <c r="N32" t="s">
        <v>18</v>
      </c>
      <c r="O32" t="s">
        <v>19</v>
      </c>
      <c r="P32" t="s">
        <v>20</v>
      </c>
      <c r="Q32" s="69"/>
      <c r="R32" t="str">
        <f>A32</f>
        <v>Moving Inventory</v>
      </c>
      <c r="S32" s="67" t="str">
        <f t="shared" ref="S32:AE36" si="10">D32</f>
        <v>Mar' 15</v>
      </c>
      <c r="T32" s="67" t="str">
        <f t="shared" si="10"/>
        <v>Apr' 15</v>
      </c>
      <c r="U32" s="67" t="str">
        <f t="shared" si="10"/>
        <v>May' 15</v>
      </c>
      <c r="V32" s="67" t="str">
        <f t="shared" si="10"/>
        <v>Jun' 15</v>
      </c>
      <c r="W32" s="67" t="str">
        <f t="shared" si="10"/>
        <v>July' 15</v>
      </c>
      <c r="X32" s="67" t="str">
        <f t="shared" si="10"/>
        <v>Aug' 15</v>
      </c>
      <c r="Y32" s="67" t="str">
        <f t="shared" si="10"/>
        <v>Sept' 15</v>
      </c>
      <c r="Z32" s="67" t="str">
        <f t="shared" si="10"/>
        <v>Oct' 15</v>
      </c>
      <c r="AA32" s="67" t="str">
        <f t="shared" si="10"/>
        <v>Nov' 15</v>
      </c>
      <c r="AB32" s="67" t="str">
        <f t="shared" si="10"/>
        <v>Dec' 15</v>
      </c>
      <c r="AC32" s="67" t="str">
        <f t="shared" si="10"/>
        <v>Jan' 16</v>
      </c>
      <c r="AD32" s="67" t="str">
        <f t="shared" si="10"/>
        <v>Feb' 16</v>
      </c>
      <c r="AE32" s="67" t="str">
        <f t="shared" si="10"/>
        <v>Mar' 16</v>
      </c>
    </row>
    <row r="33" spans="1:31" x14ac:dyDescent="0.2">
      <c r="A33" t="s">
        <v>85</v>
      </c>
      <c r="B33" s="67"/>
      <c r="C33" s="67"/>
      <c r="D33" s="67">
        <v>4.280872071000001</v>
      </c>
      <c r="E33" s="67">
        <v>4.2677703960000022</v>
      </c>
      <c r="F33" s="67">
        <v>5.224047159999996</v>
      </c>
      <c r="G33" s="67">
        <v>4.815199737000003</v>
      </c>
      <c r="H33" s="67">
        <v>3.7251326740000015</v>
      </c>
      <c r="I33" s="67">
        <v>4.5195503329999998</v>
      </c>
      <c r="J33" s="67">
        <v>4.115912787000001</v>
      </c>
      <c r="K33" s="67">
        <v>4.4113856120000063</v>
      </c>
      <c r="L33" s="67">
        <v>4.4822285679999982</v>
      </c>
      <c r="M33" s="67">
        <v>4.4123866150000008</v>
      </c>
      <c r="N33" s="67">
        <v>3.4298163720000012</v>
      </c>
      <c r="O33" s="67">
        <v>4.0148236329999971</v>
      </c>
      <c r="P33" s="67"/>
      <c r="Q33" s="67">
        <f>AVERAGE(E33:P33)</f>
        <v>4.3107503533636375</v>
      </c>
      <c r="R33" t="str">
        <f>A33</f>
        <v>PM Moving Inventory</v>
      </c>
      <c r="S33" s="67">
        <f t="shared" si="10"/>
        <v>4.280872071000001</v>
      </c>
      <c r="T33" s="67">
        <f t="shared" si="10"/>
        <v>4.2677703960000022</v>
      </c>
      <c r="U33" s="67">
        <f t="shared" si="10"/>
        <v>5.224047159999996</v>
      </c>
      <c r="V33" s="67">
        <f t="shared" si="10"/>
        <v>4.815199737000003</v>
      </c>
      <c r="W33" s="67">
        <f t="shared" si="10"/>
        <v>3.7251326740000015</v>
      </c>
      <c r="X33" s="67">
        <f t="shared" si="10"/>
        <v>4.5195503329999998</v>
      </c>
      <c r="Y33" s="67">
        <f t="shared" si="10"/>
        <v>4.115912787000001</v>
      </c>
      <c r="Z33" s="67">
        <f t="shared" si="10"/>
        <v>4.4113856120000063</v>
      </c>
      <c r="AA33" s="67">
        <f t="shared" si="10"/>
        <v>4.4822285679999982</v>
      </c>
      <c r="AB33" s="67">
        <f t="shared" si="10"/>
        <v>4.4123866150000008</v>
      </c>
      <c r="AC33" s="67">
        <f t="shared" si="10"/>
        <v>3.4298163720000012</v>
      </c>
      <c r="AD33" s="67">
        <f t="shared" si="10"/>
        <v>4.0148236329999971</v>
      </c>
      <c r="AE33" s="67">
        <f t="shared" si="10"/>
        <v>0</v>
      </c>
    </row>
    <row r="34" spans="1:31" x14ac:dyDescent="0.2">
      <c r="A34" t="s">
        <v>79</v>
      </c>
      <c r="B34" s="67"/>
      <c r="C34" s="67"/>
      <c r="D34" s="67">
        <f t="shared" ref="D34:J34" si="11">AVERAGE(B36:D36)</f>
        <v>6.1442103233494576</v>
      </c>
      <c r="E34" s="67">
        <f t="shared" si="11"/>
        <v>5.7361355374703367</v>
      </c>
      <c r="F34" s="67">
        <f t="shared" si="11"/>
        <v>6.4660631090145388</v>
      </c>
      <c r="G34" s="67">
        <f t="shared" si="11"/>
        <v>6.9255002335440663</v>
      </c>
      <c r="H34" s="67">
        <f t="shared" si="11"/>
        <v>7.0404768905750261</v>
      </c>
      <c r="I34" s="67">
        <f t="shared" si="11"/>
        <v>6.3032165027335489</v>
      </c>
      <c r="J34" s="67">
        <f t="shared" si="11"/>
        <v>5.4295531319488903</v>
      </c>
      <c r="K34" s="67">
        <f>AVERAGE(I36:K36)</f>
        <v>5.4339119776702161</v>
      </c>
      <c r="L34" s="67">
        <f>AVERAGE(J36:L36)</f>
        <v>5.921439807211911</v>
      </c>
      <c r="M34" s="67">
        <f>AVERAGE(K36:M36)</f>
        <v>6.2531919614026998</v>
      </c>
      <c r="N34" s="67">
        <f>AVERAGE(L36:N36)</f>
        <v>5.8023734942284735</v>
      </c>
      <c r="O34" s="67">
        <f>AVERAGE(M36:O36)</f>
        <v>5.4450325496678289</v>
      </c>
      <c r="P34" s="67"/>
      <c r="Q34" s="67">
        <f>AVERAGE(E34:P34)</f>
        <v>6.0688086541334121</v>
      </c>
      <c r="R34" t="str">
        <f>A34</f>
        <v>Avg PM Consum</v>
      </c>
      <c r="S34" s="67">
        <f t="shared" si="10"/>
        <v>6.1442103233494576</v>
      </c>
      <c r="T34" s="67">
        <f t="shared" si="10"/>
        <v>5.7361355374703367</v>
      </c>
      <c r="U34" s="67">
        <f t="shared" si="10"/>
        <v>6.4660631090145388</v>
      </c>
      <c r="V34" s="67">
        <f t="shared" si="10"/>
        <v>6.9255002335440663</v>
      </c>
      <c r="W34" s="67">
        <f t="shared" si="10"/>
        <v>7.0404768905750261</v>
      </c>
      <c r="X34" s="67">
        <f t="shared" si="10"/>
        <v>6.3032165027335489</v>
      </c>
      <c r="Y34" s="67">
        <f t="shared" si="10"/>
        <v>5.4295531319488903</v>
      </c>
      <c r="Z34" s="67">
        <f t="shared" si="10"/>
        <v>5.4339119776702161</v>
      </c>
      <c r="AA34" s="67">
        <f t="shared" si="10"/>
        <v>5.921439807211911</v>
      </c>
      <c r="AB34" s="67">
        <f t="shared" si="10"/>
        <v>6.2531919614026998</v>
      </c>
      <c r="AC34" s="67">
        <f t="shared" si="10"/>
        <v>5.8023734942284735</v>
      </c>
      <c r="AD34" s="67">
        <f t="shared" si="10"/>
        <v>5.4450325496678289</v>
      </c>
      <c r="AE34" s="67">
        <f t="shared" si="10"/>
        <v>0</v>
      </c>
    </row>
    <row r="35" spans="1:31" x14ac:dyDescent="0.2">
      <c r="A35" t="s">
        <v>39</v>
      </c>
      <c r="B35" s="67"/>
      <c r="C35" s="67"/>
      <c r="D35" s="67">
        <f>D33*30/D34</f>
        <v>20.901980135990808</v>
      </c>
      <c r="E35" s="67">
        <f t="shared" ref="E35:L35" si="12">E33*30/E34</f>
        <v>22.320447458684576</v>
      </c>
      <c r="F35" s="67">
        <f t="shared" si="12"/>
        <v>24.237532507455686</v>
      </c>
      <c r="G35" s="67">
        <f t="shared" si="12"/>
        <v>20.858564325840181</v>
      </c>
      <c r="H35" s="67">
        <f t="shared" si="12"/>
        <v>15.873069673675559</v>
      </c>
      <c r="I35" s="67">
        <f t="shared" si="12"/>
        <v>21.510685842886641</v>
      </c>
      <c r="J35" s="67">
        <f t="shared" si="12"/>
        <v>22.741721207851761</v>
      </c>
      <c r="K35" s="67">
        <f t="shared" si="12"/>
        <v>24.35475011443625</v>
      </c>
      <c r="L35" s="67">
        <f t="shared" si="12"/>
        <v>22.708473178470626</v>
      </c>
      <c r="M35" s="67">
        <f>M33*30/M34</f>
        <v>21.168644632541678</v>
      </c>
      <c r="N35" s="67">
        <f>N33*30/N34</f>
        <v>17.733172685685869</v>
      </c>
      <c r="O35" s="67">
        <f>O33*30/O34</f>
        <v>22.120108170399746</v>
      </c>
      <c r="P35" s="67"/>
      <c r="Q35" s="67">
        <f>Q33*30/Q34</f>
        <v>21.309373547776747</v>
      </c>
      <c r="R35" t="str">
        <f>A35</f>
        <v>DIOH</v>
      </c>
      <c r="S35" s="67">
        <f t="shared" si="10"/>
        <v>20.901980135990808</v>
      </c>
      <c r="T35" s="67">
        <f t="shared" si="10"/>
        <v>22.320447458684576</v>
      </c>
      <c r="U35" s="67">
        <f t="shared" si="10"/>
        <v>24.237532507455686</v>
      </c>
      <c r="V35" s="67">
        <f t="shared" si="10"/>
        <v>20.858564325840181</v>
      </c>
      <c r="W35" s="67">
        <f t="shared" si="10"/>
        <v>15.873069673675559</v>
      </c>
      <c r="X35" s="67">
        <f t="shared" si="10"/>
        <v>21.510685842886641</v>
      </c>
      <c r="Y35" s="67">
        <f t="shared" si="10"/>
        <v>22.741721207851761</v>
      </c>
      <c r="Z35" s="67">
        <f t="shared" si="10"/>
        <v>24.35475011443625</v>
      </c>
      <c r="AA35" s="67">
        <f t="shared" si="10"/>
        <v>22.708473178470626</v>
      </c>
      <c r="AB35" s="67">
        <f t="shared" si="10"/>
        <v>21.168644632541678</v>
      </c>
      <c r="AC35" s="67">
        <f t="shared" si="10"/>
        <v>17.733172685685869</v>
      </c>
      <c r="AD35" s="67">
        <f t="shared" si="10"/>
        <v>22.120108170399746</v>
      </c>
      <c r="AE35" s="67">
        <f t="shared" si="10"/>
        <v>0</v>
      </c>
    </row>
    <row r="36" spans="1:31" x14ac:dyDescent="0.2">
      <c r="A36" t="s">
        <v>80</v>
      </c>
      <c r="B36" s="67">
        <v>7.4035406440060036</v>
      </c>
      <c r="C36" s="67">
        <v>4.8117465005479119</v>
      </c>
      <c r="D36" s="67">
        <v>6.2173438254944546</v>
      </c>
      <c r="E36" s="67">
        <v>6.1793162863686444</v>
      </c>
      <c r="F36" s="67">
        <v>7.0015292151805202</v>
      </c>
      <c r="G36" s="67">
        <v>7.5956551990830317</v>
      </c>
      <c r="H36" s="67">
        <v>6.5242462574615256</v>
      </c>
      <c r="I36" s="67">
        <v>4.7897480516560895</v>
      </c>
      <c r="J36" s="67">
        <v>4.9746650867290585</v>
      </c>
      <c r="K36" s="67">
        <v>6.5373227946254993</v>
      </c>
      <c r="L36" s="67">
        <v>6.2523315402811761</v>
      </c>
      <c r="M36" s="67">
        <v>5.9699215493014259</v>
      </c>
      <c r="N36" s="67">
        <v>5.1848673931028211</v>
      </c>
      <c r="O36" s="67">
        <v>5.1803087065992406</v>
      </c>
      <c r="P36" s="67"/>
      <c r="Q36" s="67">
        <f>AVERAGE(E36:P36)</f>
        <v>6.017264734580821</v>
      </c>
      <c r="R36" t="str">
        <f>A36</f>
        <v>PM Consumption</v>
      </c>
      <c r="S36" s="67">
        <f t="shared" si="10"/>
        <v>6.2173438254944546</v>
      </c>
      <c r="T36" s="67">
        <f t="shared" si="10"/>
        <v>6.1793162863686444</v>
      </c>
      <c r="U36" s="67">
        <f t="shared" si="10"/>
        <v>7.0015292151805202</v>
      </c>
      <c r="V36" s="67">
        <f t="shared" si="10"/>
        <v>7.5956551990830317</v>
      </c>
      <c r="W36" s="67">
        <f t="shared" si="10"/>
        <v>6.5242462574615256</v>
      </c>
      <c r="X36" s="67">
        <f t="shared" si="10"/>
        <v>4.7897480516560895</v>
      </c>
      <c r="Y36" s="67">
        <f t="shared" si="10"/>
        <v>4.9746650867290585</v>
      </c>
      <c r="Z36" s="67">
        <f t="shared" si="10"/>
        <v>6.5373227946254993</v>
      </c>
      <c r="AA36" s="67">
        <f t="shared" si="10"/>
        <v>6.2523315402811761</v>
      </c>
      <c r="AB36" s="67">
        <f t="shared" si="10"/>
        <v>5.9699215493014259</v>
      </c>
      <c r="AC36" s="67">
        <f t="shared" si="10"/>
        <v>5.1848673931028211</v>
      </c>
      <c r="AD36" s="67">
        <f t="shared" si="10"/>
        <v>5.1803087065992406</v>
      </c>
      <c r="AE36" s="67">
        <f t="shared" si="10"/>
        <v>0</v>
      </c>
    </row>
    <row r="37" spans="1:31" x14ac:dyDescent="0.2">
      <c r="Q37" s="69"/>
    </row>
    <row r="39" spans="1:31" x14ac:dyDescent="0.2">
      <c r="L39" s="47"/>
    </row>
    <row r="40" spans="1:31" x14ac:dyDescent="0.2">
      <c r="L40" s="47"/>
    </row>
    <row r="41" spans="1:31" x14ac:dyDescent="0.2">
      <c r="L41" s="47"/>
    </row>
    <row r="42" spans="1:31" x14ac:dyDescent="0.2">
      <c r="L42" s="47"/>
    </row>
    <row r="45" spans="1:31" x14ac:dyDescent="0.2">
      <c r="L45" s="47"/>
    </row>
    <row r="46" spans="1:31" x14ac:dyDescent="0.2">
      <c r="L46" s="47"/>
    </row>
    <row r="47" spans="1:31" x14ac:dyDescent="0.2">
      <c r="A47" t="s">
        <v>86</v>
      </c>
      <c r="L47" s="47"/>
    </row>
    <row r="48" spans="1:31" x14ac:dyDescent="0.2">
      <c r="A48" t="s">
        <v>31</v>
      </c>
      <c r="B48" t="s">
        <v>32</v>
      </c>
      <c r="C48" t="s">
        <v>33</v>
      </c>
      <c r="D48" t="s">
        <v>34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38</v>
      </c>
      <c r="K48" t="s">
        <v>15</v>
      </c>
      <c r="L48" t="s">
        <v>16</v>
      </c>
      <c r="M48" t="s">
        <v>17</v>
      </c>
      <c r="N48" t="s">
        <v>18</v>
      </c>
      <c r="O48" t="s">
        <v>19</v>
      </c>
      <c r="P48" t="s">
        <v>20</v>
      </c>
      <c r="R48" t="str">
        <f>A48</f>
        <v>Total Inventory</v>
      </c>
      <c r="S48" s="67" t="str">
        <f t="shared" ref="S48:AE52" si="13">D48</f>
        <v>Mar' 15</v>
      </c>
      <c r="T48" s="67" t="str">
        <f t="shared" si="13"/>
        <v>Apr' 15</v>
      </c>
      <c r="U48" s="67" t="str">
        <f t="shared" si="13"/>
        <v>May' 15</v>
      </c>
      <c r="V48" s="67" t="str">
        <f t="shared" si="13"/>
        <v>Jun' 15</v>
      </c>
      <c r="W48" s="67" t="str">
        <f t="shared" si="13"/>
        <v>July' 15</v>
      </c>
      <c r="X48" s="67" t="str">
        <f t="shared" si="13"/>
        <v>Aug' 15</v>
      </c>
      <c r="Y48" s="67" t="str">
        <f t="shared" si="13"/>
        <v>Sept' 15</v>
      </c>
      <c r="Z48" s="67" t="str">
        <f t="shared" si="13"/>
        <v>Oct' 15</v>
      </c>
      <c r="AA48" s="67" t="str">
        <f t="shared" si="13"/>
        <v>Nov' 15</v>
      </c>
      <c r="AB48" s="67" t="str">
        <f t="shared" si="13"/>
        <v>Dec' 15</v>
      </c>
      <c r="AC48" s="67" t="str">
        <f t="shared" si="13"/>
        <v>Jan' 16</v>
      </c>
      <c r="AD48" s="67" t="str">
        <f t="shared" si="13"/>
        <v>Feb' 16</v>
      </c>
      <c r="AE48" s="67" t="str">
        <f t="shared" si="13"/>
        <v>Mar' 16</v>
      </c>
    </row>
    <row r="49" spans="1:31" x14ac:dyDescent="0.2">
      <c r="A49" t="s">
        <v>87</v>
      </c>
      <c r="B49" s="67"/>
      <c r="C49" s="67"/>
      <c r="D49" s="67">
        <v>2.6593421559999997</v>
      </c>
      <c r="E49" s="67">
        <v>2.1743415089999996</v>
      </c>
      <c r="F49" s="67">
        <v>2.7825526899999993</v>
      </c>
      <c r="G49" s="67">
        <v>2.7100610149999995</v>
      </c>
      <c r="H49" s="67">
        <v>2.5907808540000001</v>
      </c>
      <c r="I49" s="67">
        <v>2.1592123790000004</v>
      </c>
      <c r="J49" s="67">
        <v>3.7611123650000002</v>
      </c>
      <c r="K49" s="67">
        <v>3.3540087759999997</v>
      </c>
      <c r="L49" s="67">
        <v>2.9110021910000001</v>
      </c>
      <c r="M49" s="67">
        <v>2.0649995670000001</v>
      </c>
      <c r="N49" s="67">
        <v>2.2355830479999996</v>
      </c>
      <c r="O49" s="67">
        <v>2.6623180420000003</v>
      </c>
      <c r="P49" s="67"/>
      <c r="R49" t="str">
        <f>A49</f>
        <v>SFG Total Inventory</v>
      </c>
      <c r="S49" s="67">
        <f t="shared" si="13"/>
        <v>2.6593421559999997</v>
      </c>
      <c r="T49" s="67">
        <f t="shared" si="13"/>
        <v>2.1743415089999996</v>
      </c>
      <c r="U49" s="67">
        <f t="shared" si="13"/>
        <v>2.7825526899999993</v>
      </c>
      <c r="V49" s="67">
        <f t="shared" si="13"/>
        <v>2.7100610149999995</v>
      </c>
      <c r="W49" s="67">
        <f t="shared" si="13"/>
        <v>2.5907808540000001</v>
      </c>
      <c r="X49" s="67">
        <f t="shared" si="13"/>
        <v>2.1592123790000004</v>
      </c>
      <c r="Y49" s="67">
        <f t="shared" si="13"/>
        <v>3.7611123650000002</v>
      </c>
      <c r="Z49" s="67">
        <f t="shared" si="13"/>
        <v>3.3540087759999997</v>
      </c>
      <c r="AA49" s="67">
        <f t="shared" si="13"/>
        <v>2.9110021910000001</v>
      </c>
      <c r="AB49" s="67">
        <f t="shared" si="13"/>
        <v>2.0649995670000001</v>
      </c>
      <c r="AC49" s="67">
        <f t="shared" si="13"/>
        <v>2.2355830479999996</v>
      </c>
      <c r="AD49" s="67">
        <f t="shared" si="13"/>
        <v>2.6623180420000003</v>
      </c>
      <c r="AE49" s="67">
        <f t="shared" si="13"/>
        <v>0</v>
      </c>
    </row>
    <row r="50" spans="1:31" x14ac:dyDescent="0.2">
      <c r="A50" t="s">
        <v>73</v>
      </c>
      <c r="B50" s="67"/>
      <c r="C50" s="67"/>
      <c r="D50" s="67">
        <f t="shared" ref="D50:J50" si="14">AVERAGE(B52:D52)</f>
        <v>35.799152531604612</v>
      </c>
      <c r="E50" s="67">
        <f t="shared" si="14"/>
        <v>35.522884232828005</v>
      </c>
      <c r="F50" s="67">
        <f t="shared" si="14"/>
        <v>38.794725127475722</v>
      </c>
      <c r="G50" s="67">
        <f t="shared" si="14"/>
        <v>42.01244357139165</v>
      </c>
      <c r="H50" s="67">
        <f t="shared" si="14"/>
        <v>43.164172678302783</v>
      </c>
      <c r="I50" s="67">
        <f t="shared" si="14"/>
        <v>40.251442974749686</v>
      </c>
      <c r="J50" s="67">
        <f t="shared" si="14"/>
        <v>33.717078839232165</v>
      </c>
      <c r="K50" s="67">
        <f>AVERAGE(I52:K52)</f>
        <v>30.060716772072158</v>
      </c>
      <c r="L50" s="67">
        <f>AVERAGE(J52:L52)</f>
        <v>28.520996290855674</v>
      </c>
      <c r="M50" s="67">
        <f>AVERAGE(K52:M52)</f>
        <v>33.069679257156857</v>
      </c>
      <c r="N50" s="67">
        <f>AVERAGE(L52:N52)</f>
        <v>32.731436918999897</v>
      </c>
      <c r="O50" s="67">
        <f>AVERAGE(M52:O52)</f>
        <v>34.204684996585144</v>
      </c>
      <c r="P50" s="67"/>
      <c r="R50" t="str">
        <f>A50</f>
        <v>Avg CoGS</v>
      </c>
      <c r="S50" s="67">
        <f t="shared" si="13"/>
        <v>35.799152531604612</v>
      </c>
      <c r="T50" s="67">
        <f t="shared" si="13"/>
        <v>35.522884232828005</v>
      </c>
      <c r="U50" s="67">
        <f t="shared" si="13"/>
        <v>38.794725127475722</v>
      </c>
      <c r="V50" s="67">
        <f t="shared" si="13"/>
        <v>42.01244357139165</v>
      </c>
      <c r="W50" s="67">
        <f t="shared" si="13"/>
        <v>43.164172678302783</v>
      </c>
      <c r="X50" s="67">
        <f t="shared" si="13"/>
        <v>40.251442974749686</v>
      </c>
      <c r="Y50" s="67">
        <f t="shared" si="13"/>
        <v>33.717078839232165</v>
      </c>
      <c r="Z50" s="67">
        <f t="shared" si="13"/>
        <v>30.060716772072158</v>
      </c>
      <c r="AA50" s="67">
        <f t="shared" si="13"/>
        <v>28.520996290855674</v>
      </c>
      <c r="AB50" s="67">
        <f t="shared" si="13"/>
        <v>33.069679257156857</v>
      </c>
      <c r="AC50" s="67">
        <f t="shared" si="13"/>
        <v>32.731436918999897</v>
      </c>
      <c r="AD50" s="67">
        <f t="shared" si="13"/>
        <v>34.204684996585144</v>
      </c>
      <c r="AE50" s="67">
        <f t="shared" si="13"/>
        <v>0</v>
      </c>
    </row>
    <row r="51" spans="1:31" x14ac:dyDescent="0.2">
      <c r="A51" t="s">
        <v>39</v>
      </c>
      <c r="B51" s="67"/>
      <c r="C51" s="67"/>
      <c r="D51" s="67">
        <f>D49*30/D50</f>
        <v>2.2285517683572951</v>
      </c>
      <c r="E51" s="67">
        <f t="shared" ref="E51:K51" si="15">E49*30/E50</f>
        <v>1.8362879782638346</v>
      </c>
      <c r="F51" s="67">
        <f t="shared" si="15"/>
        <v>2.1517507966792904</v>
      </c>
      <c r="G51" s="67">
        <f t="shared" si="15"/>
        <v>1.9351845200778186</v>
      </c>
      <c r="H51" s="67">
        <f t="shared" si="15"/>
        <v>1.8006467122458951</v>
      </c>
      <c r="I51" s="67">
        <f t="shared" si="15"/>
        <v>1.6092931478415609</v>
      </c>
      <c r="J51" s="67">
        <f t="shared" si="15"/>
        <v>3.3464752829865714</v>
      </c>
      <c r="K51" s="67">
        <f t="shared" si="15"/>
        <v>3.3472343338626249</v>
      </c>
      <c r="L51" s="67">
        <f>L49*30/L50</f>
        <v>3.0619570522506443</v>
      </c>
      <c r="M51" s="67">
        <f>M49*30/M50</f>
        <v>1.8733168389165111</v>
      </c>
      <c r="N51" s="67">
        <f>N49*30/N50</f>
        <v>2.0490237445417114</v>
      </c>
      <c r="O51" s="67">
        <f>O49*30/O50</f>
        <v>2.3350468296367546</v>
      </c>
      <c r="P51" s="67"/>
      <c r="R51" t="str">
        <f>A51</f>
        <v>DIOH</v>
      </c>
      <c r="S51" s="67">
        <f t="shared" si="13"/>
        <v>2.2285517683572951</v>
      </c>
      <c r="T51" s="67">
        <f t="shared" si="13"/>
        <v>1.8362879782638346</v>
      </c>
      <c r="U51" s="67">
        <f t="shared" si="13"/>
        <v>2.1517507966792904</v>
      </c>
      <c r="V51" s="67">
        <f t="shared" si="13"/>
        <v>1.9351845200778186</v>
      </c>
      <c r="W51" s="67">
        <f t="shared" si="13"/>
        <v>1.8006467122458951</v>
      </c>
      <c r="X51" s="67">
        <f t="shared" si="13"/>
        <v>1.6092931478415609</v>
      </c>
      <c r="Y51" s="67">
        <f t="shared" si="13"/>
        <v>3.3464752829865714</v>
      </c>
      <c r="Z51" s="67">
        <f t="shared" si="13"/>
        <v>3.3472343338626249</v>
      </c>
      <c r="AA51" s="67">
        <f t="shared" si="13"/>
        <v>3.0619570522506443</v>
      </c>
      <c r="AB51" s="67">
        <f t="shared" si="13"/>
        <v>1.8733168389165111</v>
      </c>
      <c r="AC51" s="67">
        <f t="shared" si="13"/>
        <v>2.0490237445417114</v>
      </c>
      <c r="AD51" s="67">
        <f t="shared" si="13"/>
        <v>2.3350468296367546</v>
      </c>
      <c r="AE51" s="67">
        <f t="shared" si="13"/>
        <v>0</v>
      </c>
    </row>
    <row r="52" spans="1:31" x14ac:dyDescent="0.2">
      <c r="A52" t="s">
        <v>59</v>
      </c>
      <c r="B52" s="67">
        <v>39.97772361144871</v>
      </c>
      <c r="C52" s="67">
        <v>33.286236099157279</v>
      </c>
      <c r="D52" s="67">
        <v>34.133497884207834</v>
      </c>
      <c r="E52" s="67">
        <v>39.148918715118896</v>
      </c>
      <c r="F52" s="67">
        <v>43.101758783100458</v>
      </c>
      <c r="G52" s="67">
        <v>43.786653215955596</v>
      </c>
      <c r="H52" s="67">
        <v>42.604106035852304</v>
      </c>
      <c r="I52" s="67">
        <v>34.363569672441159</v>
      </c>
      <c r="J52" s="67">
        <v>24.183560809403041</v>
      </c>
      <c r="K52" s="67">
        <v>31.635019834372287</v>
      </c>
      <c r="L52" s="67">
        <v>29.744408228791688</v>
      </c>
      <c r="M52" s="67">
        <v>37.829609708306599</v>
      </c>
      <c r="N52" s="67">
        <v>30.620292819901401</v>
      </c>
      <c r="O52" s="67">
        <v>34.164152461547431</v>
      </c>
      <c r="P52" s="67"/>
      <c r="R52" t="str">
        <f>A52</f>
        <v>CoGS</v>
      </c>
      <c r="S52" s="67">
        <f t="shared" si="13"/>
        <v>34.133497884207834</v>
      </c>
      <c r="T52" s="67">
        <f t="shared" si="13"/>
        <v>39.148918715118896</v>
      </c>
      <c r="U52" s="67">
        <f t="shared" si="13"/>
        <v>43.101758783100458</v>
      </c>
      <c r="V52" s="67">
        <f t="shared" si="13"/>
        <v>43.786653215955596</v>
      </c>
      <c r="W52" s="67">
        <f t="shared" si="13"/>
        <v>42.604106035852304</v>
      </c>
      <c r="X52" s="67">
        <f t="shared" si="13"/>
        <v>34.363569672441159</v>
      </c>
      <c r="Y52" s="67">
        <f t="shared" si="13"/>
        <v>24.183560809403041</v>
      </c>
      <c r="Z52" s="67">
        <f t="shared" si="13"/>
        <v>31.635019834372287</v>
      </c>
      <c r="AA52" s="67">
        <f t="shared" si="13"/>
        <v>29.744408228791688</v>
      </c>
      <c r="AB52" s="67">
        <f t="shared" si="13"/>
        <v>37.829609708306599</v>
      </c>
      <c r="AC52" s="67">
        <f t="shared" si="13"/>
        <v>30.620292819901401</v>
      </c>
      <c r="AD52" s="67">
        <f t="shared" si="13"/>
        <v>34.164152461547431</v>
      </c>
      <c r="AE52" s="67">
        <f t="shared" si="13"/>
        <v>0</v>
      </c>
    </row>
    <row r="54" spans="1:31" x14ac:dyDescent="0.2">
      <c r="A54" t="s">
        <v>76</v>
      </c>
      <c r="B54" t="s">
        <v>32</v>
      </c>
      <c r="C54" t="s">
        <v>33</v>
      </c>
      <c r="D54" t="s">
        <v>34</v>
      </c>
      <c r="E54" t="s">
        <v>9</v>
      </c>
      <c r="F54" t="s">
        <v>10</v>
      </c>
      <c r="G54" t="s">
        <v>11</v>
      </c>
      <c r="H54" t="s">
        <v>12</v>
      </c>
      <c r="I54" t="s">
        <v>13</v>
      </c>
      <c r="J54" t="s">
        <v>38</v>
      </c>
      <c r="K54" t="s">
        <v>15</v>
      </c>
      <c r="L54" t="s">
        <v>16</v>
      </c>
      <c r="M54" t="s">
        <v>17</v>
      </c>
      <c r="N54" t="s">
        <v>18</v>
      </c>
      <c r="O54" t="s">
        <v>19</v>
      </c>
      <c r="P54" t="s">
        <v>20</v>
      </c>
      <c r="R54" t="str">
        <f>A54</f>
        <v>Moving Inventory</v>
      </c>
      <c r="S54" s="67" t="str">
        <f t="shared" ref="S54:AE58" si="16">D54</f>
        <v>Mar' 15</v>
      </c>
      <c r="T54" s="67" t="str">
        <f t="shared" si="16"/>
        <v>Apr' 15</v>
      </c>
      <c r="U54" s="67" t="str">
        <f t="shared" si="16"/>
        <v>May' 15</v>
      </c>
      <c r="V54" s="67" t="str">
        <f t="shared" si="16"/>
        <v>Jun' 15</v>
      </c>
      <c r="W54" s="67" t="str">
        <f t="shared" si="16"/>
        <v>July' 15</v>
      </c>
      <c r="X54" s="67" t="str">
        <f t="shared" si="16"/>
        <v>Aug' 15</v>
      </c>
      <c r="Y54" s="67" t="str">
        <f t="shared" si="16"/>
        <v>Sept' 15</v>
      </c>
      <c r="Z54" s="67" t="str">
        <f t="shared" si="16"/>
        <v>Oct' 15</v>
      </c>
      <c r="AA54" s="67" t="str">
        <f t="shared" si="16"/>
        <v>Nov' 15</v>
      </c>
      <c r="AB54" s="67" t="str">
        <f t="shared" si="16"/>
        <v>Dec' 15</v>
      </c>
      <c r="AC54" s="67" t="str">
        <f t="shared" si="16"/>
        <v>Jan' 16</v>
      </c>
      <c r="AD54" s="67" t="str">
        <f t="shared" si="16"/>
        <v>Feb' 16</v>
      </c>
      <c r="AE54" s="67" t="str">
        <f t="shared" si="16"/>
        <v>Mar' 16</v>
      </c>
    </row>
    <row r="55" spans="1:31" x14ac:dyDescent="0.2">
      <c r="A55" t="s">
        <v>88</v>
      </c>
      <c r="B55" s="67"/>
      <c r="C55" s="67"/>
      <c r="D55" s="67">
        <v>2.3686095909999998</v>
      </c>
      <c r="E55" s="67">
        <v>1.7701448559999997</v>
      </c>
      <c r="F55" s="67">
        <v>1.5599188149999994</v>
      </c>
      <c r="G55" s="67">
        <v>1.6176937519999997</v>
      </c>
      <c r="H55" s="67">
        <v>1.4524490350000001</v>
      </c>
      <c r="I55" s="67">
        <v>0.99512463900000037</v>
      </c>
      <c r="J55" s="67">
        <v>2.72984362</v>
      </c>
      <c r="K55" s="67">
        <v>2.1933406049999995</v>
      </c>
      <c r="L55" s="67">
        <v>1.6314135580000009</v>
      </c>
      <c r="M55" s="67">
        <v>0.60379967000000012</v>
      </c>
      <c r="N55" s="67">
        <v>1.0403799919999996</v>
      </c>
      <c r="O55" s="67">
        <v>1.5043134570000003</v>
      </c>
      <c r="P55" s="67"/>
      <c r="R55" t="str">
        <f>A55</f>
        <v>SFG Moving Inventory</v>
      </c>
      <c r="S55" s="67">
        <f t="shared" si="16"/>
        <v>2.3686095909999998</v>
      </c>
      <c r="T55" s="67">
        <f t="shared" si="16"/>
        <v>1.7701448559999997</v>
      </c>
      <c r="U55" s="67">
        <f t="shared" si="16"/>
        <v>1.5599188149999994</v>
      </c>
      <c r="V55" s="67">
        <f t="shared" si="16"/>
        <v>1.6176937519999997</v>
      </c>
      <c r="W55" s="67">
        <f t="shared" si="16"/>
        <v>1.4524490350000001</v>
      </c>
      <c r="X55" s="67">
        <f t="shared" si="16"/>
        <v>0.99512463900000037</v>
      </c>
      <c r="Y55" s="67">
        <f t="shared" si="16"/>
        <v>2.72984362</v>
      </c>
      <c r="Z55" s="67">
        <f t="shared" si="16"/>
        <v>2.1933406049999995</v>
      </c>
      <c r="AA55" s="67">
        <f t="shared" si="16"/>
        <v>1.6314135580000009</v>
      </c>
      <c r="AB55" s="67">
        <f t="shared" si="16"/>
        <v>0.60379967000000012</v>
      </c>
      <c r="AC55" s="67">
        <f t="shared" si="16"/>
        <v>1.0403799919999996</v>
      </c>
      <c r="AD55" s="67">
        <f t="shared" si="16"/>
        <v>1.5043134570000003</v>
      </c>
      <c r="AE55" s="67">
        <f t="shared" si="16"/>
        <v>0</v>
      </c>
    </row>
    <row r="56" spans="1:31" x14ac:dyDescent="0.2">
      <c r="A56" t="s">
        <v>73</v>
      </c>
      <c r="B56" s="67"/>
      <c r="C56" s="67"/>
      <c r="D56" s="67">
        <f t="shared" ref="D56:J56" si="17">AVERAGE(B58:D58)</f>
        <v>35.799152531604612</v>
      </c>
      <c r="E56" s="67">
        <f t="shared" si="17"/>
        <v>35.522884232828005</v>
      </c>
      <c r="F56" s="67">
        <f t="shared" si="17"/>
        <v>38.794725127475722</v>
      </c>
      <c r="G56" s="67">
        <f t="shared" si="17"/>
        <v>42.01244357139165</v>
      </c>
      <c r="H56" s="67">
        <f t="shared" si="17"/>
        <v>43.164172678302783</v>
      </c>
      <c r="I56" s="67">
        <f t="shared" si="17"/>
        <v>40.251442974749686</v>
      </c>
      <c r="J56" s="67">
        <f t="shared" si="17"/>
        <v>33.717078839232165</v>
      </c>
      <c r="K56" s="67">
        <f>AVERAGE(I58:K58)</f>
        <v>30.060716772072158</v>
      </c>
      <c r="L56" s="67">
        <f>AVERAGE(J58:L58)</f>
        <v>28.520996290855674</v>
      </c>
      <c r="M56" s="67">
        <f>AVERAGE(K58:M58)</f>
        <v>33.069679257156857</v>
      </c>
      <c r="N56" s="67">
        <f>AVERAGE(L58:N58)</f>
        <v>32.731436918999897</v>
      </c>
      <c r="O56" s="67">
        <f>AVERAGE(M58:O58)</f>
        <v>34.204684996585144</v>
      </c>
      <c r="P56" s="67"/>
      <c r="R56" t="str">
        <f>A56</f>
        <v>Avg CoGS</v>
      </c>
      <c r="S56" s="67">
        <f t="shared" si="16"/>
        <v>35.799152531604612</v>
      </c>
      <c r="T56" s="67">
        <f t="shared" si="16"/>
        <v>35.522884232828005</v>
      </c>
      <c r="U56" s="67">
        <f t="shared" si="16"/>
        <v>38.794725127475722</v>
      </c>
      <c r="V56" s="67">
        <f t="shared" si="16"/>
        <v>42.01244357139165</v>
      </c>
      <c r="W56" s="67">
        <f t="shared" si="16"/>
        <v>43.164172678302783</v>
      </c>
      <c r="X56" s="67">
        <f t="shared" si="16"/>
        <v>40.251442974749686</v>
      </c>
      <c r="Y56" s="67">
        <f t="shared" si="16"/>
        <v>33.717078839232165</v>
      </c>
      <c r="Z56" s="67">
        <f t="shared" si="16"/>
        <v>30.060716772072158</v>
      </c>
      <c r="AA56" s="67">
        <f t="shared" si="16"/>
        <v>28.520996290855674</v>
      </c>
      <c r="AB56" s="67">
        <f t="shared" si="16"/>
        <v>33.069679257156857</v>
      </c>
      <c r="AC56" s="67">
        <f t="shared" si="16"/>
        <v>32.731436918999897</v>
      </c>
      <c r="AD56" s="67">
        <f t="shared" si="16"/>
        <v>34.204684996585144</v>
      </c>
      <c r="AE56" s="67">
        <f t="shared" si="16"/>
        <v>0</v>
      </c>
    </row>
    <row r="57" spans="1:31" x14ac:dyDescent="0.2">
      <c r="A57" t="s">
        <v>39</v>
      </c>
      <c r="B57" s="67"/>
      <c r="C57" s="67"/>
      <c r="D57" s="67">
        <f>D55*30/D56</f>
        <v>1.9849153598613125</v>
      </c>
      <c r="E57" s="67">
        <f t="shared" ref="E57:K57" si="18">E55*30/E56</f>
        <v>1.4949333880643709</v>
      </c>
      <c r="F57" s="67">
        <f t="shared" si="18"/>
        <v>1.2062867901815957</v>
      </c>
      <c r="G57" s="67">
        <f t="shared" si="18"/>
        <v>1.1551532935124729</v>
      </c>
      <c r="H57" s="67">
        <f t="shared" si="18"/>
        <v>1.0094823634116115</v>
      </c>
      <c r="I57" s="67">
        <f t="shared" si="18"/>
        <v>0.74168121596852299</v>
      </c>
      <c r="J57" s="67">
        <f t="shared" si="18"/>
        <v>2.4288969097972131</v>
      </c>
      <c r="K57" s="67">
        <f t="shared" si="18"/>
        <v>2.1889104856984489</v>
      </c>
      <c r="L57" s="67">
        <f>L55*30/L56</f>
        <v>1.7160132220097728</v>
      </c>
      <c r="M57" s="67">
        <f>M55*30/M56</f>
        <v>0.54775221613556524</v>
      </c>
      <c r="N57" s="67">
        <f>N55*30/N56</f>
        <v>0.95356032908785748</v>
      </c>
      <c r="O57" s="67">
        <f>O55*30/O56</f>
        <v>1.3193924666900321</v>
      </c>
      <c r="P57" s="67"/>
      <c r="R57" t="str">
        <f>A57</f>
        <v>DIOH</v>
      </c>
      <c r="S57" s="67">
        <f t="shared" si="16"/>
        <v>1.9849153598613125</v>
      </c>
      <c r="T57" s="67">
        <f t="shared" si="16"/>
        <v>1.4949333880643709</v>
      </c>
      <c r="U57" s="67">
        <f t="shared" si="16"/>
        <v>1.2062867901815957</v>
      </c>
      <c r="V57" s="67">
        <f t="shared" si="16"/>
        <v>1.1551532935124729</v>
      </c>
      <c r="W57" s="67">
        <f t="shared" si="16"/>
        <v>1.0094823634116115</v>
      </c>
      <c r="X57" s="67">
        <f t="shared" si="16"/>
        <v>0.74168121596852299</v>
      </c>
      <c r="Y57" s="67">
        <f t="shared" si="16"/>
        <v>2.4288969097972131</v>
      </c>
      <c r="Z57" s="67">
        <f t="shared" si="16"/>
        <v>2.1889104856984489</v>
      </c>
      <c r="AA57" s="67">
        <f t="shared" si="16"/>
        <v>1.7160132220097728</v>
      </c>
      <c r="AB57" s="67">
        <f t="shared" si="16"/>
        <v>0.54775221613556524</v>
      </c>
      <c r="AC57" s="67">
        <f t="shared" si="16"/>
        <v>0.95356032908785748</v>
      </c>
      <c r="AD57" s="67">
        <f t="shared" si="16"/>
        <v>1.3193924666900321</v>
      </c>
      <c r="AE57" s="67">
        <f t="shared" si="16"/>
        <v>0</v>
      </c>
    </row>
    <row r="58" spans="1:31" x14ac:dyDescent="0.2">
      <c r="A58" t="s">
        <v>59</v>
      </c>
      <c r="B58" s="67">
        <v>39.97772361144871</v>
      </c>
      <c r="C58" s="67">
        <v>33.286236099157279</v>
      </c>
      <c r="D58" s="67">
        <v>34.133497884207834</v>
      </c>
      <c r="E58" s="67">
        <v>39.148918715118896</v>
      </c>
      <c r="F58" s="67">
        <v>43.101758783100458</v>
      </c>
      <c r="G58" s="67">
        <v>43.786653215955596</v>
      </c>
      <c r="H58" s="67">
        <v>42.604106035852304</v>
      </c>
      <c r="I58" s="67">
        <v>34.363569672441159</v>
      </c>
      <c r="J58" s="67">
        <v>24.183560809403041</v>
      </c>
      <c r="K58" s="67">
        <v>31.635019834372287</v>
      </c>
      <c r="L58" s="67">
        <v>29.744408228791688</v>
      </c>
      <c r="M58" s="67">
        <v>37.829609708306599</v>
      </c>
      <c r="N58" s="67">
        <v>30.620292819901401</v>
      </c>
      <c r="O58" s="67">
        <v>34.164152461547431</v>
      </c>
      <c r="P58" s="67"/>
      <c r="R58" t="str">
        <f>A58</f>
        <v>CoGS</v>
      </c>
      <c r="S58" s="67">
        <f t="shared" si="16"/>
        <v>34.133497884207834</v>
      </c>
      <c r="T58" s="67">
        <f t="shared" si="16"/>
        <v>39.148918715118896</v>
      </c>
      <c r="U58" s="67">
        <f t="shared" si="16"/>
        <v>43.101758783100458</v>
      </c>
      <c r="V58" s="67">
        <f t="shared" si="16"/>
        <v>43.786653215955596</v>
      </c>
      <c r="W58" s="67">
        <f t="shared" si="16"/>
        <v>42.604106035852304</v>
      </c>
      <c r="X58" s="67">
        <f t="shared" si="16"/>
        <v>34.363569672441159</v>
      </c>
      <c r="Y58" s="67">
        <f t="shared" si="16"/>
        <v>24.183560809403041</v>
      </c>
      <c r="Z58" s="67">
        <f t="shared" si="16"/>
        <v>31.635019834372287</v>
      </c>
      <c r="AA58" s="67">
        <f t="shared" si="16"/>
        <v>29.744408228791688</v>
      </c>
      <c r="AB58" s="67">
        <f t="shared" si="16"/>
        <v>37.829609708306599</v>
      </c>
      <c r="AC58" s="67">
        <f t="shared" si="16"/>
        <v>30.620292819901401</v>
      </c>
      <c r="AD58" s="67">
        <f t="shared" si="16"/>
        <v>34.164152461547431</v>
      </c>
      <c r="AE58" s="67">
        <f t="shared" si="16"/>
        <v>0</v>
      </c>
    </row>
    <row r="71" spans="1:31" x14ac:dyDescent="0.2">
      <c r="A71" t="s">
        <v>29</v>
      </c>
      <c r="L71" s="47"/>
    </row>
    <row r="72" spans="1:31" x14ac:dyDescent="0.2">
      <c r="A72" t="s">
        <v>31</v>
      </c>
      <c r="B72" t="s">
        <v>32</v>
      </c>
      <c r="C72" t="s">
        <v>33</v>
      </c>
      <c r="D72" t="s">
        <v>34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38</v>
      </c>
      <c r="K72" t="s">
        <v>15</v>
      </c>
      <c r="L72" t="s">
        <v>16</v>
      </c>
      <c r="M72" t="s">
        <v>17</v>
      </c>
      <c r="N72" t="s">
        <v>18</v>
      </c>
      <c r="O72" t="s">
        <v>19</v>
      </c>
      <c r="P72" t="s">
        <v>20</v>
      </c>
      <c r="R72" t="str">
        <f>A72</f>
        <v>Total Inventory</v>
      </c>
      <c r="S72" s="67" t="str">
        <f t="shared" ref="S72:AE76" si="19">D72</f>
        <v>Mar' 15</v>
      </c>
      <c r="T72" s="67" t="str">
        <f t="shared" si="19"/>
        <v>Apr' 15</v>
      </c>
      <c r="U72" s="67" t="str">
        <f t="shared" si="19"/>
        <v>May' 15</v>
      </c>
      <c r="V72" s="67" t="str">
        <f t="shared" si="19"/>
        <v>Jun' 15</v>
      </c>
      <c r="W72" s="67" t="str">
        <f t="shared" si="19"/>
        <v>July' 15</v>
      </c>
      <c r="X72" s="67" t="str">
        <f t="shared" si="19"/>
        <v>Aug' 15</v>
      </c>
      <c r="Y72" s="67" t="str">
        <f t="shared" si="19"/>
        <v>Sept' 15</v>
      </c>
      <c r="Z72" s="67" t="str">
        <f t="shared" si="19"/>
        <v>Oct' 15</v>
      </c>
      <c r="AA72" s="67" t="str">
        <f t="shared" si="19"/>
        <v>Nov' 15</v>
      </c>
      <c r="AB72" s="67" t="str">
        <f t="shared" si="19"/>
        <v>Dec' 15</v>
      </c>
      <c r="AC72" s="67" t="str">
        <f t="shared" si="19"/>
        <v>Jan' 16</v>
      </c>
      <c r="AD72" s="67" t="str">
        <f t="shared" si="19"/>
        <v>Feb' 16</v>
      </c>
      <c r="AE72" s="67" t="str">
        <f t="shared" si="19"/>
        <v>Mar' 16</v>
      </c>
    </row>
    <row r="73" spans="1:31" x14ac:dyDescent="0.2">
      <c r="A73" t="s">
        <v>89</v>
      </c>
      <c r="B73" s="67"/>
      <c r="C73" s="67"/>
      <c r="D73" s="67">
        <v>7.0920726470000002</v>
      </c>
      <c r="E73" s="67">
        <v>8.4679114540000011</v>
      </c>
      <c r="F73" s="67">
        <v>7.7074465050000001</v>
      </c>
      <c r="G73" s="67">
        <v>11.554082583000003</v>
      </c>
      <c r="H73" s="67">
        <v>5.9558785599999977</v>
      </c>
      <c r="I73" s="67">
        <v>5.5420701700000006</v>
      </c>
      <c r="J73" s="67">
        <v>6.7813256299999995</v>
      </c>
      <c r="K73" s="67">
        <v>6.4918286010000017</v>
      </c>
      <c r="L73" s="67">
        <v>6.3954176099999991</v>
      </c>
      <c r="M73" s="67">
        <v>12.022503058000002</v>
      </c>
      <c r="N73" s="67">
        <v>11.254313795999993</v>
      </c>
      <c r="O73" s="67">
        <v>7.8232432170000044</v>
      </c>
      <c r="P73" s="67"/>
      <c r="R73" t="str">
        <f>A73</f>
        <v>FG Total Inventory</v>
      </c>
      <c r="S73" s="67">
        <f t="shared" si="19"/>
        <v>7.0920726470000002</v>
      </c>
      <c r="T73" s="67">
        <f t="shared" si="19"/>
        <v>8.4679114540000011</v>
      </c>
      <c r="U73" s="67">
        <f t="shared" si="19"/>
        <v>7.7074465050000001</v>
      </c>
      <c r="V73" s="67">
        <f t="shared" si="19"/>
        <v>11.554082583000003</v>
      </c>
      <c r="W73" s="67">
        <f t="shared" si="19"/>
        <v>5.9558785599999977</v>
      </c>
      <c r="X73" s="67">
        <f t="shared" si="19"/>
        <v>5.5420701700000006</v>
      </c>
      <c r="Y73" s="67">
        <f t="shared" si="19"/>
        <v>6.7813256299999995</v>
      </c>
      <c r="Z73" s="67">
        <f t="shared" si="19"/>
        <v>6.4918286010000017</v>
      </c>
      <c r="AA73" s="67">
        <f t="shared" si="19"/>
        <v>6.3954176099999991</v>
      </c>
      <c r="AB73" s="67">
        <f t="shared" si="19"/>
        <v>12.022503058000002</v>
      </c>
      <c r="AC73" s="67">
        <f t="shared" si="19"/>
        <v>11.254313795999993</v>
      </c>
      <c r="AD73" s="67">
        <f t="shared" si="19"/>
        <v>7.8232432170000044</v>
      </c>
      <c r="AE73" s="67">
        <f t="shared" si="19"/>
        <v>0</v>
      </c>
    </row>
    <row r="74" spans="1:31" x14ac:dyDescent="0.2">
      <c r="A74" t="s">
        <v>73</v>
      </c>
      <c r="B74" s="67"/>
      <c r="C74" s="67"/>
      <c r="D74" s="67">
        <f t="shared" ref="D74:J74" si="20">AVERAGE(B76:D76)</f>
        <v>35.799152531604612</v>
      </c>
      <c r="E74" s="67">
        <f t="shared" si="20"/>
        <v>35.522884232828005</v>
      </c>
      <c r="F74" s="67">
        <f t="shared" si="20"/>
        <v>38.794725127475722</v>
      </c>
      <c r="G74" s="67">
        <f t="shared" si="20"/>
        <v>42.01244357139165</v>
      </c>
      <c r="H74" s="67">
        <f t="shared" si="20"/>
        <v>43.164172678302783</v>
      </c>
      <c r="I74" s="67">
        <f t="shared" si="20"/>
        <v>40.251442974749686</v>
      </c>
      <c r="J74" s="67">
        <f t="shared" si="20"/>
        <v>33.717078839232165</v>
      </c>
      <c r="K74" s="67">
        <f>AVERAGE(I76:K76)</f>
        <v>30.060716772072158</v>
      </c>
      <c r="L74" s="67">
        <f>AVERAGE(J76:L76)</f>
        <v>28.520996290855674</v>
      </c>
      <c r="M74" s="67">
        <f>AVERAGE(K76:M76)</f>
        <v>33.069679257156857</v>
      </c>
      <c r="N74" s="67">
        <f>AVERAGE(L76:N76)</f>
        <v>32.731436918999897</v>
      </c>
      <c r="O74" s="67">
        <f>AVERAGE(M76:O76)</f>
        <v>34.204684996585144</v>
      </c>
      <c r="P74" s="67"/>
      <c r="R74" t="str">
        <f>A74</f>
        <v>Avg CoGS</v>
      </c>
      <c r="S74" s="67">
        <f t="shared" si="19"/>
        <v>35.799152531604612</v>
      </c>
      <c r="T74" s="67">
        <f t="shared" si="19"/>
        <v>35.522884232828005</v>
      </c>
      <c r="U74" s="67">
        <f t="shared" si="19"/>
        <v>38.794725127475722</v>
      </c>
      <c r="V74" s="67">
        <f t="shared" si="19"/>
        <v>42.01244357139165</v>
      </c>
      <c r="W74" s="67">
        <f t="shared" si="19"/>
        <v>43.164172678302783</v>
      </c>
      <c r="X74" s="67">
        <f t="shared" si="19"/>
        <v>40.251442974749686</v>
      </c>
      <c r="Y74" s="67">
        <f t="shared" si="19"/>
        <v>33.717078839232165</v>
      </c>
      <c r="Z74" s="67">
        <f t="shared" si="19"/>
        <v>30.060716772072158</v>
      </c>
      <c r="AA74" s="67">
        <f t="shared" si="19"/>
        <v>28.520996290855674</v>
      </c>
      <c r="AB74" s="67">
        <f t="shared" si="19"/>
        <v>33.069679257156857</v>
      </c>
      <c r="AC74" s="67">
        <f t="shared" si="19"/>
        <v>32.731436918999897</v>
      </c>
      <c r="AD74" s="67">
        <f t="shared" si="19"/>
        <v>34.204684996585144</v>
      </c>
      <c r="AE74" s="67">
        <f t="shared" si="19"/>
        <v>0</v>
      </c>
    </row>
    <row r="75" spans="1:31" x14ac:dyDescent="0.2">
      <c r="A75" t="s">
        <v>39</v>
      </c>
      <c r="B75" s="67"/>
      <c r="C75" s="67"/>
      <c r="D75" s="67">
        <f>D73*30/D74</f>
        <v>5.9432183268072309</v>
      </c>
      <c r="E75" s="67">
        <f t="shared" ref="E75:L75" si="21">E73*30/E74</f>
        <v>7.1513715484069493</v>
      </c>
      <c r="F75" s="67">
        <f t="shared" si="21"/>
        <v>5.9601761422518713</v>
      </c>
      <c r="G75" s="67">
        <f t="shared" si="21"/>
        <v>8.2504717180038654</v>
      </c>
      <c r="H75" s="67">
        <f t="shared" si="21"/>
        <v>4.1394597814176262</v>
      </c>
      <c r="I75" s="67">
        <f t="shared" si="21"/>
        <v>4.1305874476176827</v>
      </c>
      <c r="J75" s="67">
        <f t="shared" si="21"/>
        <v>6.0337305574432998</v>
      </c>
      <c r="K75" s="67">
        <f t="shared" si="21"/>
        <v>6.4787163761489746</v>
      </c>
      <c r="L75" s="67">
        <f t="shared" si="21"/>
        <v>6.7270626293484153</v>
      </c>
      <c r="M75" s="67">
        <f>M73*30/M74</f>
        <v>10.906519199515479</v>
      </c>
      <c r="N75" s="67">
        <f>N73*30/N74</f>
        <v>10.31514182269258</v>
      </c>
      <c r="O75" s="67">
        <f>O73*30/O74</f>
        <v>6.8615540980257927</v>
      </c>
      <c r="P75" s="67"/>
      <c r="R75" t="str">
        <f>A75</f>
        <v>DIOH</v>
      </c>
      <c r="S75" s="67">
        <f t="shared" si="19"/>
        <v>5.9432183268072309</v>
      </c>
      <c r="T75" s="67">
        <f t="shared" si="19"/>
        <v>7.1513715484069493</v>
      </c>
      <c r="U75" s="67">
        <f t="shared" si="19"/>
        <v>5.9601761422518713</v>
      </c>
      <c r="V75" s="67">
        <f t="shared" si="19"/>
        <v>8.2504717180038654</v>
      </c>
      <c r="W75" s="67">
        <f t="shared" si="19"/>
        <v>4.1394597814176262</v>
      </c>
      <c r="X75" s="67">
        <f t="shared" si="19"/>
        <v>4.1305874476176827</v>
      </c>
      <c r="Y75" s="67">
        <f t="shared" si="19"/>
        <v>6.0337305574432998</v>
      </c>
      <c r="Z75" s="67">
        <f t="shared" si="19"/>
        <v>6.4787163761489746</v>
      </c>
      <c r="AA75" s="67">
        <f t="shared" si="19"/>
        <v>6.7270626293484153</v>
      </c>
      <c r="AB75" s="67">
        <f t="shared" si="19"/>
        <v>10.906519199515479</v>
      </c>
      <c r="AC75" s="67">
        <f t="shared" si="19"/>
        <v>10.31514182269258</v>
      </c>
      <c r="AD75" s="67">
        <f t="shared" si="19"/>
        <v>6.8615540980257927</v>
      </c>
      <c r="AE75" s="67">
        <f t="shared" si="19"/>
        <v>0</v>
      </c>
    </row>
    <row r="76" spans="1:31" x14ac:dyDescent="0.2">
      <c r="A76" t="s">
        <v>59</v>
      </c>
      <c r="B76" s="67">
        <v>39.97772361144871</v>
      </c>
      <c r="C76" s="67">
        <v>33.286236099157279</v>
      </c>
      <c r="D76" s="67">
        <v>34.133497884207834</v>
      </c>
      <c r="E76" s="67">
        <v>39.148918715118896</v>
      </c>
      <c r="F76" s="67">
        <v>43.101758783100458</v>
      </c>
      <c r="G76" s="67">
        <v>43.786653215955596</v>
      </c>
      <c r="H76" s="67">
        <v>42.604106035852304</v>
      </c>
      <c r="I76" s="67">
        <v>34.363569672441159</v>
      </c>
      <c r="J76" s="67">
        <v>24.183560809403041</v>
      </c>
      <c r="K76" s="67">
        <v>31.635019834372287</v>
      </c>
      <c r="L76" s="67">
        <v>29.744408228791688</v>
      </c>
      <c r="M76" s="67">
        <v>37.829609708306599</v>
      </c>
      <c r="N76" s="67">
        <v>30.620292819901401</v>
      </c>
      <c r="O76" s="67">
        <v>34.164152461547431</v>
      </c>
      <c r="P76" s="67"/>
      <c r="R76" t="str">
        <f>A76</f>
        <v>CoGS</v>
      </c>
      <c r="S76" s="67">
        <f t="shared" si="19"/>
        <v>34.133497884207834</v>
      </c>
      <c r="T76" s="67">
        <f t="shared" si="19"/>
        <v>39.148918715118896</v>
      </c>
      <c r="U76" s="67">
        <f t="shared" si="19"/>
        <v>43.101758783100458</v>
      </c>
      <c r="V76" s="67">
        <f t="shared" si="19"/>
        <v>43.786653215955596</v>
      </c>
      <c r="W76" s="67">
        <f t="shared" si="19"/>
        <v>42.604106035852304</v>
      </c>
      <c r="X76" s="67">
        <f t="shared" si="19"/>
        <v>34.363569672441159</v>
      </c>
      <c r="Y76" s="67">
        <f t="shared" si="19"/>
        <v>24.183560809403041</v>
      </c>
      <c r="Z76" s="67">
        <f t="shared" si="19"/>
        <v>31.635019834372287</v>
      </c>
      <c r="AA76" s="67">
        <f t="shared" si="19"/>
        <v>29.744408228791688</v>
      </c>
      <c r="AB76" s="67">
        <f t="shared" si="19"/>
        <v>37.829609708306599</v>
      </c>
      <c r="AC76" s="67">
        <f t="shared" si="19"/>
        <v>30.620292819901401</v>
      </c>
      <c r="AD76" s="67">
        <f t="shared" si="19"/>
        <v>34.164152461547431</v>
      </c>
      <c r="AE76" s="67">
        <f t="shared" si="19"/>
        <v>0</v>
      </c>
    </row>
    <row r="78" spans="1:31" x14ac:dyDescent="0.2">
      <c r="A78" t="s">
        <v>76</v>
      </c>
      <c r="B78" t="s">
        <v>32</v>
      </c>
      <c r="C78" t="s">
        <v>33</v>
      </c>
      <c r="D78" t="s">
        <v>34</v>
      </c>
      <c r="E78" t="s">
        <v>9</v>
      </c>
      <c r="F78" t="s">
        <v>10</v>
      </c>
      <c r="G78" t="s">
        <v>11</v>
      </c>
      <c r="H78" t="s">
        <v>12</v>
      </c>
      <c r="I78" t="s">
        <v>13</v>
      </c>
      <c r="J78" t="s">
        <v>38</v>
      </c>
      <c r="K78" t="s">
        <v>15</v>
      </c>
      <c r="L78" t="s">
        <v>16</v>
      </c>
      <c r="M78" t="s">
        <v>17</v>
      </c>
      <c r="N78" t="s">
        <v>18</v>
      </c>
      <c r="O78" t="s">
        <v>19</v>
      </c>
      <c r="P78" t="s">
        <v>20</v>
      </c>
      <c r="R78" t="str">
        <f>A78</f>
        <v>Moving Inventory</v>
      </c>
      <c r="S78" s="67" t="str">
        <f t="shared" ref="S78:AE82" si="22">D78</f>
        <v>Mar' 15</v>
      </c>
      <c r="T78" s="67" t="str">
        <f t="shared" si="22"/>
        <v>Apr' 15</v>
      </c>
      <c r="U78" s="67" t="str">
        <f t="shared" si="22"/>
        <v>May' 15</v>
      </c>
      <c r="V78" s="67" t="str">
        <f t="shared" si="22"/>
        <v>Jun' 15</v>
      </c>
      <c r="W78" s="67" t="str">
        <f t="shared" si="22"/>
        <v>July' 15</v>
      </c>
      <c r="X78" s="67" t="str">
        <f t="shared" si="22"/>
        <v>Aug' 15</v>
      </c>
      <c r="Y78" s="67" t="str">
        <f t="shared" si="22"/>
        <v>Sept' 15</v>
      </c>
      <c r="Z78" s="67" t="str">
        <f t="shared" si="22"/>
        <v>Oct' 15</v>
      </c>
      <c r="AA78" s="67" t="str">
        <f t="shared" si="22"/>
        <v>Nov' 15</v>
      </c>
      <c r="AB78" s="67" t="str">
        <f t="shared" si="22"/>
        <v>Dec' 15</v>
      </c>
      <c r="AC78" s="67" t="str">
        <f t="shared" si="22"/>
        <v>Jan' 16</v>
      </c>
      <c r="AD78" s="67" t="str">
        <f t="shared" si="22"/>
        <v>Feb' 16</v>
      </c>
      <c r="AE78" s="67" t="str">
        <f t="shared" si="22"/>
        <v>Mar' 16</v>
      </c>
    </row>
    <row r="79" spans="1:31" x14ac:dyDescent="0.2">
      <c r="A79" t="s">
        <v>90</v>
      </c>
      <c r="B79" s="67"/>
      <c r="C79" s="67"/>
      <c r="D79" s="67">
        <v>6.9410151830000002</v>
      </c>
      <c r="E79" s="67">
        <v>8.0275029730000025</v>
      </c>
      <c r="F79" s="67">
        <v>7.2385515769999991</v>
      </c>
      <c r="G79" s="67">
        <v>11.269519319000004</v>
      </c>
      <c r="H79" s="67">
        <v>5.3755455469999989</v>
      </c>
      <c r="I79" s="67">
        <v>4.6091558729999988</v>
      </c>
      <c r="J79" s="67">
        <v>6.2978970439999991</v>
      </c>
      <c r="K79" s="67">
        <v>5.6139088910000003</v>
      </c>
      <c r="L79" s="67">
        <v>5.9304212170000019</v>
      </c>
      <c r="M79" s="67">
        <v>11.563444241000003</v>
      </c>
      <c r="N79" s="67">
        <v>10.830807381999991</v>
      </c>
      <c r="O79" s="67">
        <v>7.4402922530000035</v>
      </c>
      <c r="P79" s="67"/>
      <c r="R79" t="str">
        <f>A79</f>
        <v>FG Moving Inventory</v>
      </c>
      <c r="S79" s="67">
        <f t="shared" si="22"/>
        <v>6.9410151830000002</v>
      </c>
      <c r="T79" s="67">
        <f t="shared" si="22"/>
        <v>8.0275029730000025</v>
      </c>
      <c r="U79" s="67">
        <f t="shared" si="22"/>
        <v>7.2385515769999991</v>
      </c>
      <c r="V79" s="67">
        <f t="shared" si="22"/>
        <v>11.269519319000004</v>
      </c>
      <c r="W79" s="67">
        <f t="shared" si="22"/>
        <v>5.3755455469999989</v>
      </c>
      <c r="X79" s="67">
        <f t="shared" si="22"/>
        <v>4.6091558729999988</v>
      </c>
      <c r="Y79" s="67">
        <f t="shared" si="22"/>
        <v>6.2978970439999991</v>
      </c>
      <c r="Z79" s="67">
        <f t="shared" si="22"/>
        <v>5.6139088910000003</v>
      </c>
      <c r="AA79" s="67">
        <f t="shared" si="22"/>
        <v>5.9304212170000019</v>
      </c>
      <c r="AB79" s="67">
        <f t="shared" si="22"/>
        <v>11.563444241000003</v>
      </c>
      <c r="AC79" s="67">
        <f t="shared" si="22"/>
        <v>10.830807381999991</v>
      </c>
      <c r="AD79" s="67">
        <f t="shared" si="22"/>
        <v>7.4402922530000035</v>
      </c>
      <c r="AE79" s="67">
        <f t="shared" si="22"/>
        <v>0</v>
      </c>
    </row>
    <row r="80" spans="1:31" x14ac:dyDescent="0.2">
      <c r="A80" t="s">
        <v>73</v>
      </c>
      <c r="B80" s="67"/>
      <c r="C80" s="67"/>
      <c r="D80" s="67">
        <f t="shared" ref="D80:J80" si="23">AVERAGE(B82:D82)</f>
        <v>35.799152531604612</v>
      </c>
      <c r="E80" s="67">
        <f t="shared" si="23"/>
        <v>35.522884232828005</v>
      </c>
      <c r="F80" s="67">
        <f t="shared" si="23"/>
        <v>38.794725127475722</v>
      </c>
      <c r="G80" s="67">
        <f t="shared" si="23"/>
        <v>42.01244357139165</v>
      </c>
      <c r="H80" s="67">
        <f t="shared" si="23"/>
        <v>43.164172678302783</v>
      </c>
      <c r="I80" s="67">
        <f t="shared" si="23"/>
        <v>40.251442974749686</v>
      </c>
      <c r="J80" s="67">
        <f t="shared" si="23"/>
        <v>33.717078839232165</v>
      </c>
      <c r="K80" s="67">
        <f>AVERAGE(I82:K82)</f>
        <v>30.060716772072158</v>
      </c>
      <c r="L80" s="67">
        <f>AVERAGE(J82:L82)</f>
        <v>28.520996290855674</v>
      </c>
      <c r="M80" s="67">
        <f>AVERAGE(K82:M82)</f>
        <v>33.069679257156857</v>
      </c>
      <c r="N80" s="67">
        <f>AVERAGE(L82:N82)</f>
        <v>32.731436918999897</v>
      </c>
      <c r="O80" s="67">
        <f>AVERAGE(M82:O82)</f>
        <v>34.204684996585144</v>
      </c>
      <c r="P80" s="67"/>
      <c r="R80" t="str">
        <f>A80</f>
        <v>Avg CoGS</v>
      </c>
      <c r="S80" s="67">
        <f t="shared" si="22"/>
        <v>35.799152531604612</v>
      </c>
      <c r="T80" s="67">
        <f t="shared" si="22"/>
        <v>35.522884232828005</v>
      </c>
      <c r="U80" s="67">
        <f t="shared" si="22"/>
        <v>38.794725127475722</v>
      </c>
      <c r="V80" s="67">
        <f t="shared" si="22"/>
        <v>42.01244357139165</v>
      </c>
      <c r="W80" s="67">
        <f t="shared" si="22"/>
        <v>43.164172678302783</v>
      </c>
      <c r="X80" s="67">
        <f t="shared" si="22"/>
        <v>40.251442974749686</v>
      </c>
      <c r="Y80" s="67">
        <f t="shared" si="22"/>
        <v>33.717078839232165</v>
      </c>
      <c r="Z80" s="67">
        <f t="shared" si="22"/>
        <v>30.060716772072158</v>
      </c>
      <c r="AA80" s="67">
        <f t="shared" si="22"/>
        <v>28.520996290855674</v>
      </c>
      <c r="AB80" s="67">
        <f t="shared" si="22"/>
        <v>33.069679257156857</v>
      </c>
      <c r="AC80" s="67">
        <f t="shared" si="22"/>
        <v>32.731436918999897</v>
      </c>
      <c r="AD80" s="67">
        <f t="shared" si="22"/>
        <v>34.204684996585144</v>
      </c>
      <c r="AE80" s="67">
        <f t="shared" si="22"/>
        <v>0</v>
      </c>
    </row>
    <row r="81" spans="1:31" x14ac:dyDescent="0.2">
      <c r="A81" t="s">
        <v>39</v>
      </c>
      <c r="B81" s="67"/>
      <c r="C81" s="67"/>
      <c r="D81" s="67">
        <f>D79*30/D80</f>
        <v>5.8166308631515129</v>
      </c>
      <c r="E81" s="67">
        <f t="shared" ref="E81:L81" si="24">E79*30/E80</f>
        <v>6.7794351272705713</v>
      </c>
      <c r="F81" s="67">
        <f t="shared" si="24"/>
        <v>5.5975792223412988</v>
      </c>
      <c r="G81" s="67">
        <f t="shared" si="24"/>
        <v>8.0472724466857546</v>
      </c>
      <c r="H81" s="67">
        <f t="shared" si="24"/>
        <v>3.7361162372298469</v>
      </c>
      <c r="I81" s="67">
        <f t="shared" si="24"/>
        <v>3.4352725261735757</v>
      </c>
      <c r="J81" s="67">
        <f t="shared" si="24"/>
        <v>5.6035966882207706</v>
      </c>
      <c r="K81" s="67">
        <f t="shared" si="24"/>
        <v>5.6025698923609069</v>
      </c>
      <c r="L81" s="67">
        <f t="shared" si="24"/>
        <v>6.2379530748384804</v>
      </c>
      <c r="M81" s="67">
        <f>M79*30/M80</f>
        <v>10.490072326750013</v>
      </c>
      <c r="N81" s="67">
        <f>N79*30/N80</f>
        <v>9.9269769996375619</v>
      </c>
      <c r="O81" s="67">
        <f>O79*30/O80</f>
        <v>6.5256782108148155</v>
      </c>
      <c r="P81" s="67"/>
      <c r="R81" t="str">
        <f>A81</f>
        <v>DIOH</v>
      </c>
      <c r="S81" s="67">
        <f t="shared" si="22"/>
        <v>5.8166308631515129</v>
      </c>
      <c r="T81" s="67">
        <f t="shared" si="22"/>
        <v>6.7794351272705713</v>
      </c>
      <c r="U81" s="67">
        <f t="shared" si="22"/>
        <v>5.5975792223412988</v>
      </c>
      <c r="V81" s="67">
        <f t="shared" si="22"/>
        <v>8.0472724466857546</v>
      </c>
      <c r="W81" s="67">
        <f t="shared" si="22"/>
        <v>3.7361162372298469</v>
      </c>
      <c r="X81" s="67">
        <f t="shared" si="22"/>
        <v>3.4352725261735757</v>
      </c>
      <c r="Y81" s="67">
        <f t="shared" si="22"/>
        <v>5.6035966882207706</v>
      </c>
      <c r="Z81" s="67">
        <f t="shared" si="22"/>
        <v>5.6025698923609069</v>
      </c>
      <c r="AA81" s="67">
        <f t="shared" si="22"/>
        <v>6.2379530748384804</v>
      </c>
      <c r="AB81" s="67">
        <f t="shared" si="22"/>
        <v>10.490072326750013</v>
      </c>
      <c r="AC81" s="67">
        <f t="shared" si="22"/>
        <v>9.9269769996375619</v>
      </c>
      <c r="AD81" s="67">
        <f t="shared" si="22"/>
        <v>6.5256782108148155</v>
      </c>
      <c r="AE81" s="67">
        <f t="shared" si="22"/>
        <v>0</v>
      </c>
    </row>
    <row r="82" spans="1:31" x14ac:dyDescent="0.2">
      <c r="A82" t="s">
        <v>59</v>
      </c>
      <c r="B82" s="67">
        <v>39.97772361144871</v>
      </c>
      <c r="C82" s="67">
        <v>33.286236099157279</v>
      </c>
      <c r="D82" s="67">
        <v>34.133497884207834</v>
      </c>
      <c r="E82" s="67">
        <v>39.148918715118896</v>
      </c>
      <c r="F82" s="67">
        <v>43.101758783100458</v>
      </c>
      <c r="G82" s="67">
        <v>43.786653215955596</v>
      </c>
      <c r="H82" s="67">
        <v>42.604106035852304</v>
      </c>
      <c r="I82" s="67">
        <v>34.363569672441159</v>
      </c>
      <c r="J82" s="67">
        <v>24.183560809403041</v>
      </c>
      <c r="K82" s="67">
        <v>31.635019834372287</v>
      </c>
      <c r="L82" s="67">
        <v>29.744408228791688</v>
      </c>
      <c r="M82" s="67">
        <v>37.829609708306599</v>
      </c>
      <c r="N82" s="67">
        <v>30.620292819901401</v>
      </c>
      <c r="O82" s="67">
        <v>34.164152461547431</v>
      </c>
      <c r="P82" s="67"/>
      <c r="R82" t="str">
        <f>A82</f>
        <v>CoGS</v>
      </c>
      <c r="S82" s="67">
        <f t="shared" si="22"/>
        <v>34.133497884207834</v>
      </c>
      <c r="T82" s="67">
        <f t="shared" si="22"/>
        <v>39.148918715118896</v>
      </c>
      <c r="U82" s="67">
        <f t="shared" si="22"/>
        <v>43.101758783100458</v>
      </c>
      <c r="V82" s="67">
        <f t="shared" si="22"/>
        <v>43.786653215955596</v>
      </c>
      <c r="W82" s="67">
        <f t="shared" si="22"/>
        <v>42.604106035852304</v>
      </c>
      <c r="X82" s="67">
        <f t="shared" si="22"/>
        <v>34.363569672441159</v>
      </c>
      <c r="Y82" s="67">
        <f t="shared" si="22"/>
        <v>24.183560809403041</v>
      </c>
      <c r="Z82" s="67">
        <f t="shared" si="22"/>
        <v>31.635019834372287</v>
      </c>
      <c r="AA82" s="67">
        <f t="shared" si="22"/>
        <v>29.744408228791688</v>
      </c>
      <c r="AB82" s="67">
        <f t="shared" si="22"/>
        <v>37.829609708306599</v>
      </c>
      <c r="AC82" s="67">
        <f t="shared" si="22"/>
        <v>30.620292819901401</v>
      </c>
      <c r="AD82" s="67">
        <f t="shared" si="22"/>
        <v>34.164152461547431</v>
      </c>
      <c r="AE82" s="67">
        <f t="shared" si="22"/>
        <v>0</v>
      </c>
    </row>
    <row r="93" spans="1:31" x14ac:dyDescent="0.2">
      <c r="A93" t="s">
        <v>91</v>
      </c>
      <c r="B93" s="69" t="s">
        <v>32</v>
      </c>
      <c r="C93" s="69" t="s">
        <v>33</v>
      </c>
      <c r="D93" s="69" t="s">
        <v>34</v>
      </c>
      <c r="E93" s="69" t="s">
        <v>9</v>
      </c>
      <c r="F93" s="69" t="s">
        <v>10</v>
      </c>
      <c r="G93" s="69" t="s">
        <v>11</v>
      </c>
      <c r="H93" s="69" t="s">
        <v>12</v>
      </c>
      <c r="I93" s="69" t="s">
        <v>13</v>
      </c>
      <c r="J93" s="69" t="s">
        <v>38</v>
      </c>
      <c r="K93" s="69" t="s">
        <v>15</v>
      </c>
      <c r="L93" s="69" t="s">
        <v>16</v>
      </c>
      <c r="M93" s="69" t="s">
        <v>17</v>
      </c>
      <c r="N93" s="69" t="s">
        <v>18</v>
      </c>
      <c r="O93" s="69" t="s">
        <v>19</v>
      </c>
      <c r="P93" s="69" t="s">
        <v>20</v>
      </c>
      <c r="R93" t="str">
        <f>A93</f>
        <v>RM+PM Inventory</v>
      </c>
      <c r="S93" s="67" t="str">
        <f t="shared" ref="S93:AE96" si="25">D93</f>
        <v>Mar' 15</v>
      </c>
      <c r="T93" s="67" t="str">
        <f t="shared" si="25"/>
        <v>Apr' 15</v>
      </c>
      <c r="U93" s="67" t="str">
        <f t="shared" si="25"/>
        <v>May' 15</v>
      </c>
      <c r="V93" s="67" t="str">
        <f t="shared" si="25"/>
        <v>Jun' 15</v>
      </c>
      <c r="W93" s="67" t="str">
        <f t="shared" si="25"/>
        <v>July' 15</v>
      </c>
      <c r="X93" s="67" t="str">
        <f t="shared" si="25"/>
        <v>Aug' 15</v>
      </c>
      <c r="Y93" s="67" t="str">
        <f t="shared" si="25"/>
        <v>Sept' 15</v>
      </c>
      <c r="Z93" s="67" t="str">
        <f t="shared" si="25"/>
        <v>Oct' 15</v>
      </c>
      <c r="AA93" s="67" t="str">
        <f t="shared" si="25"/>
        <v>Nov' 15</v>
      </c>
      <c r="AB93" s="67" t="str">
        <f t="shared" si="25"/>
        <v>Dec' 15</v>
      </c>
      <c r="AC93" s="67" t="str">
        <f t="shared" si="25"/>
        <v>Jan' 16</v>
      </c>
      <c r="AD93" s="67" t="str">
        <f t="shared" si="25"/>
        <v>Feb' 16</v>
      </c>
      <c r="AE93" s="67" t="str">
        <f t="shared" si="25"/>
        <v>Mar' 16</v>
      </c>
    </row>
    <row r="94" spans="1:31" x14ac:dyDescent="0.2">
      <c r="A94" t="s">
        <v>92</v>
      </c>
      <c r="B94" s="67"/>
      <c r="C94" s="67"/>
      <c r="D94" s="67">
        <f t="shared" ref="D94:P94" si="26">D5+D27</f>
        <v>17.355232212999994</v>
      </c>
      <c r="E94" s="67">
        <f t="shared" si="26"/>
        <v>14.689678861000001</v>
      </c>
      <c r="F94" s="67">
        <f t="shared" si="26"/>
        <v>14.431056086999995</v>
      </c>
      <c r="G94" s="67">
        <f t="shared" si="26"/>
        <v>14.858424928000002</v>
      </c>
      <c r="H94" s="67">
        <f t="shared" si="26"/>
        <v>13.979862446999999</v>
      </c>
      <c r="I94" s="67">
        <f t="shared" si="26"/>
        <v>15.230189738999998</v>
      </c>
      <c r="J94" s="67">
        <f t="shared" si="26"/>
        <v>13.837365760000004</v>
      </c>
      <c r="K94" s="67">
        <f t="shared" si="26"/>
        <v>13.842094177000003</v>
      </c>
      <c r="L94" s="67">
        <f t="shared" si="26"/>
        <v>15.664071856999996</v>
      </c>
      <c r="M94" s="67">
        <f t="shared" si="26"/>
        <v>14.044713238999998</v>
      </c>
      <c r="N94" s="67">
        <f t="shared" si="26"/>
        <v>12.585206112999998</v>
      </c>
      <c r="O94" s="67">
        <f t="shared" si="26"/>
        <v>14.496474419000002</v>
      </c>
      <c r="P94" s="67">
        <f t="shared" si="26"/>
        <v>0</v>
      </c>
      <c r="R94" t="str">
        <f>A94</f>
        <v>RM+PM Total Inventory</v>
      </c>
      <c r="S94" s="67">
        <f t="shared" si="25"/>
        <v>17.355232212999994</v>
      </c>
      <c r="T94" s="67">
        <f t="shared" si="25"/>
        <v>14.689678861000001</v>
      </c>
      <c r="U94" s="67">
        <f t="shared" si="25"/>
        <v>14.431056086999995</v>
      </c>
      <c r="V94" s="67">
        <f t="shared" si="25"/>
        <v>14.858424928000002</v>
      </c>
      <c r="W94" s="67">
        <f t="shared" si="25"/>
        <v>13.979862446999999</v>
      </c>
      <c r="X94" s="67">
        <f t="shared" si="25"/>
        <v>15.230189738999998</v>
      </c>
      <c r="Y94" s="67">
        <f t="shared" si="25"/>
        <v>13.837365760000004</v>
      </c>
      <c r="Z94" s="67">
        <f t="shared" si="25"/>
        <v>13.842094177000003</v>
      </c>
      <c r="AA94" s="67">
        <f t="shared" si="25"/>
        <v>15.664071856999996</v>
      </c>
      <c r="AB94" s="67">
        <f t="shared" si="25"/>
        <v>14.044713238999998</v>
      </c>
      <c r="AC94" s="67">
        <f t="shared" si="25"/>
        <v>12.585206112999998</v>
      </c>
      <c r="AD94" s="67">
        <f t="shared" si="25"/>
        <v>14.496474419000002</v>
      </c>
      <c r="AE94" s="67">
        <f t="shared" si="25"/>
        <v>0</v>
      </c>
    </row>
    <row r="95" spans="1:31" x14ac:dyDescent="0.2">
      <c r="A95" t="s">
        <v>93</v>
      </c>
      <c r="B95" s="67"/>
      <c r="C95" s="67"/>
      <c r="D95" s="67">
        <f>AVERAGE(B97:D97)</f>
        <v>14.732762444198171</v>
      </c>
      <c r="E95" s="67">
        <f t="shared" ref="E95:P95" si="27">AVERAGE(C97:E97)</f>
        <v>13.900290354045268</v>
      </c>
      <c r="F95" s="67">
        <f t="shared" si="27"/>
        <v>16.016637987905082</v>
      </c>
      <c r="G95" s="67">
        <f t="shared" si="27"/>
        <v>17.502900256856883</v>
      </c>
      <c r="H95" s="67">
        <f t="shared" si="27"/>
        <v>18.294808741505715</v>
      </c>
      <c r="I95" s="67">
        <f t="shared" si="27"/>
        <v>16.415317033975573</v>
      </c>
      <c r="J95" s="67">
        <f t="shared" si="27"/>
        <v>13.987074970299593</v>
      </c>
      <c r="K95" s="67">
        <f t="shared" si="27"/>
        <v>13.446492018402921</v>
      </c>
      <c r="L95" s="67">
        <f t="shared" si="27"/>
        <v>13.951433912284608</v>
      </c>
      <c r="M95" s="67">
        <f t="shared" si="27"/>
        <v>15.136126787542016</v>
      </c>
      <c r="N95" s="67">
        <f t="shared" si="27"/>
        <v>14.317623295609252</v>
      </c>
      <c r="O95" s="67">
        <f t="shared" si="27"/>
        <v>13.925610126436689</v>
      </c>
      <c r="P95" s="67">
        <f t="shared" si="27"/>
        <v>8.8177919693852314</v>
      </c>
      <c r="R95" t="str">
        <f>A95</f>
        <v>Avg RM+PM Consum</v>
      </c>
      <c r="S95" s="67">
        <f t="shared" si="25"/>
        <v>14.732762444198171</v>
      </c>
      <c r="T95" s="67">
        <f t="shared" si="25"/>
        <v>13.900290354045268</v>
      </c>
      <c r="U95" s="67">
        <f t="shared" si="25"/>
        <v>16.016637987905082</v>
      </c>
      <c r="V95" s="67">
        <f t="shared" si="25"/>
        <v>17.502900256856883</v>
      </c>
      <c r="W95" s="67">
        <f t="shared" si="25"/>
        <v>18.294808741505715</v>
      </c>
      <c r="X95" s="67">
        <f t="shared" si="25"/>
        <v>16.415317033975573</v>
      </c>
      <c r="Y95" s="67">
        <f t="shared" si="25"/>
        <v>13.987074970299593</v>
      </c>
      <c r="Z95" s="67">
        <f t="shared" si="25"/>
        <v>13.446492018402921</v>
      </c>
      <c r="AA95" s="67">
        <f t="shared" si="25"/>
        <v>13.951433912284608</v>
      </c>
      <c r="AB95" s="67">
        <f t="shared" si="25"/>
        <v>15.136126787542016</v>
      </c>
      <c r="AC95" s="67">
        <f t="shared" si="25"/>
        <v>14.317623295609252</v>
      </c>
      <c r="AD95" s="67">
        <f t="shared" si="25"/>
        <v>13.925610126436689</v>
      </c>
      <c r="AE95" s="67">
        <f t="shared" si="25"/>
        <v>8.8177919693852314</v>
      </c>
    </row>
    <row r="96" spans="1:31" x14ac:dyDescent="0.2">
      <c r="A96" t="s">
        <v>39</v>
      </c>
      <c r="B96" s="67"/>
      <c r="C96" s="67"/>
      <c r="D96" s="67">
        <f>D94*30/D95</f>
        <v>35.340077487982363</v>
      </c>
      <c r="E96" s="67">
        <f t="shared" ref="E96:P96" si="28">E94*30/E95</f>
        <v>31.703680614250633</v>
      </c>
      <c r="F96" s="67">
        <f t="shared" si="28"/>
        <v>27.030122235198608</v>
      </c>
      <c r="G96" s="67">
        <f t="shared" si="28"/>
        <v>25.467364910873744</v>
      </c>
      <c r="H96" s="67">
        <f t="shared" si="28"/>
        <v>22.924310351411879</v>
      </c>
      <c r="I96" s="67">
        <f t="shared" si="28"/>
        <v>27.834107085737074</v>
      </c>
      <c r="J96" s="67">
        <f t="shared" si="28"/>
        <v>29.67889810281817</v>
      </c>
      <c r="K96" s="67">
        <f t="shared" si="28"/>
        <v>30.882614197195061</v>
      </c>
      <c r="L96" s="67">
        <f t="shared" si="28"/>
        <v>33.682713810242895</v>
      </c>
      <c r="M96" s="67">
        <f t="shared" si="28"/>
        <v>27.83680416292432</v>
      </c>
      <c r="N96" s="67">
        <f t="shared" si="28"/>
        <v>26.37003192462705</v>
      </c>
      <c r="O96" s="67">
        <f t="shared" si="28"/>
        <v>31.229815327400779</v>
      </c>
      <c r="P96" s="67">
        <f t="shared" si="28"/>
        <v>0</v>
      </c>
      <c r="R96" t="str">
        <f>A96</f>
        <v>DIOH</v>
      </c>
      <c r="S96" s="67">
        <f t="shared" si="25"/>
        <v>35.340077487982363</v>
      </c>
      <c r="T96" s="67">
        <f t="shared" si="25"/>
        <v>31.703680614250633</v>
      </c>
      <c r="U96" s="67">
        <f t="shared" si="25"/>
        <v>27.030122235198608</v>
      </c>
      <c r="V96" s="67">
        <f t="shared" si="25"/>
        <v>25.467364910873744</v>
      </c>
      <c r="W96" s="67">
        <f t="shared" si="25"/>
        <v>22.924310351411879</v>
      </c>
      <c r="X96" s="67">
        <f t="shared" si="25"/>
        <v>27.834107085737074</v>
      </c>
      <c r="Y96" s="67">
        <f t="shared" si="25"/>
        <v>29.67889810281817</v>
      </c>
      <c r="Z96" s="67">
        <f t="shared" si="25"/>
        <v>30.882614197195061</v>
      </c>
      <c r="AA96" s="67">
        <f t="shared" si="25"/>
        <v>33.682713810242895</v>
      </c>
      <c r="AB96" s="67">
        <f t="shared" si="25"/>
        <v>27.83680416292432</v>
      </c>
      <c r="AC96" s="67">
        <f t="shared" si="25"/>
        <v>26.37003192462705</v>
      </c>
      <c r="AD96" s="67">
        <f t="shared" si="25"/>
        <v>31.229815327400779</v>
      </c>
      <c r="AE96" s="67">
        <f t="shared" si="25"/>
        <v>0</v>
      </c>
    </row>
    <row r="97" spans="1:31" x14ac:dyDescent="0.2">
      <c r="A97" t="s">
        <v>94</v>
      </c>
      <c r="B97" s="67">
        <f t="shared" ref="B97:P97" si="29">B8+B30</f>
        <v>17.897771309680003</v>
      </c>
      <c r="C97" s="67">
        <f t="shared" si="29"/>
        <v>11.705200793359818</v>
      </c>
      <c r="D97" s="67">
        <f t="shared" si="29"/>
        <v>14.595315229554689</v>
      </c>
      <c r="E97" s="67">
        <f t="shared" si="29"/>
        <v>15.400355039221299</v>
      </c>
      <c r="F97" s="67">
        <f t="shared" si="29"/>
        <v>18.054243694939252</v>
      </c>
      <c r="G97" s="67">
        <f t="shared" si="29"/>
        <v>19.054102036410093</v>
      </c>
      <c r="H97" s="67">
        <f t="shared" si="29"/>
        <v>17.776080493167804</v>
      </c>
      <c r="I97" s="67">
        <f t="shared" si="29"/>
        <v>12.415768572348821</v>
      </c>
      <c r="J97" s="67">
        <f t="shared" si="29"/>
        <v>11.769375845382152</v>
      </c>
      <c r="K97" s="67">
        <f t="shared" si="29"/>
        <v>16.154331637477789</v>
      </c>
      <c r="L97" s="67">
        <f t="shared" si="29"/>
        <v>13.930594253993885</v>
      </c>
      <c r="M97" s="67">
        <f t="shared" si="29"/>
        <v>15.323454471154378</v>
      </c>
      <c r="N97" s="67">
        <f t="shared" si="29"/>
        <v>13.698821161679493</v>
      </c>
      <c r="O97" s="67">
        <f t="shared" si="29"/>
        <v>12.754554746476199</v>
      </c>
      <c r="P97" s="67">
        <f t="shared" si="29"/>
        <v>0</v>
      </c>
    </row>
    <row r="98" spans="1:31" x14ac:dyDescent="0.2">
      <c r="B98" s="67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</row>
    <row r="99" spans="1:31" x14ac:dyDescent="0.2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</row>
    <row r="100" spans="1:31" x14ac:dyDescent="0.2">
      <c r="A100" t="s">
        <v>76</v>
      </c>
      <c r="B100" s="69" t="s">
        <v>32</v>
      </c>
      <c r="C100" s="69" t="s">
        <v>33</v>
      </c>
      <c r="D100" s="69" t="s">
        <v>34</v>
      </c>
      <c r="E100" s="69" t="s">
        <v>9</v>
      </c>
      <c r="F100" s="69" t="s">
        <v>10</v>
      </c>
      <c r="G100" s="69" t="s">
        <v>11</v>
      </c>
      <c r="H100" s="69" t="s">
        <v>12</v>
      </c>
      <c r="I100" s="69" t="s">
        <v>13</v>
      </c>
      <c r="J100" s="69" t="s">
        <v>38</v>
      </c>
      <c r="K100" s="69" t="s">
        <v>15</v>
      </c>
      <c r="L100" s="69" t="s">
        <v>16</v>
      </c>
      <c r="M100" s="69" t="s">
        <v>17</v>
      </c>
      <c r="N100" s="69" t="s">
        <v>18</v>
      </c>
      <c r="O100" s="69" t="s">
        <v>19</v>
      </c>
      <c r="P100" s="69" t="s">
        <v>20</v>
      </c>
      <c r="R100" t="str">
        <f>A100</f>
        <v>Moving Inventory</v>
      </c>
      <c r="S100" s="67" t="str">
        <f t="shared" ref="S100:AE103" si="30">D100</f>
        <v>Mar' 15</v>
      </c>
      <c r="T100" s="67" t="str">
        <f t="shared" si="30"/>
        <v>Apr' 15</v>
      </c>
      <c r="U100" s="67" t="str">
        <f t="shared" si="30"/>
        <v>May' 15</v>
      </c>
      <c r="V100" s="67" t="str">
        <f t="shared" si="30"/>
        <v>Jun' 15</v>
      </c>
      <c r="W100" s="67" t="str">
        <f t="shared" si="30"/>
        <v>July' 15</v>
      </c>
      <c r="X100" s="67" t="str">
        <f t="shared" si="30"/>
        <v>Aug' 15</v>
      </c>
      <c r="Y100" s="67" t="str">
        <f t="shared" si="30"/>
        <v>Sept' 15</v>
      </c>
      <c r="Z100" s="67" t="str">
        <f t="shared" si="30"/>
        <v>Oct' 15</v>
      </c>
      <c r="AA100" s="67" t="str">
        <f t="shared" si="30"/>
        <v>Nov' 15</v>
      </c>
      <c r="AB100" s="67" t="str">
        <f t="shared" si="30"/>
        <v>Dec' 15</v>
      </c>
      <c r="AC100" s="67" t="str">
        <f t="shared" si="30"/>
        <v>Jan' 16</v>
      </c>
      <c r="AD100" s="67" t="str">
        <f t="shared" si="30"/>
        <v>Feb' 16</v>
      </c>
      <c r="AE100" s="67" t="str">
        <f t="shared" si="30"/>
        <v>Mar' 16</v>
      </c>
    </row>
    <row r="101" spans="1:31" x14ac:dyDescent="0.2">
      <c r="A101" t="s">
        <v>95</v>
      </c>
      <c r="B101" s="67"/>
      <c r="C101" s="67"/>
      <c r="D101" s="67">
        <f t="shared" ref="D101:P101" si="31">D11+D33</f>
        <v>11.928867334999996</v>
      </c>
      <c r="E101" s="67">
        <f t="shared" si="31"/>
        <v>10.273740815</v>
      </c>
      <c r="F101" s="67">
        <f t="shared" si="31"/>
        <v>11.075344379999995</v>
      </c>
      <c r="G101" s="67">
        <f t="shared" si="31"/>
        <v>10.845361572000002</v>
      </c>
      <c r="H101" s="67">
        <f t="shared" si="31"/>
        <v>9.4417238370000014</v>
      </c>
      <c r="I101" s="67">
        <f t="shared" si="31"/>
        <v>10.508465302999999</v>
      </c>
      <c r="J101" s="67">
        <f t="shared" si="31"/>
        <v>8.8067841310000059</v>
      </c>
      <c r="K101" s="67">
        <f t="shared" si="31"/>
        <v>9.2858411960000034</v>
      </c>
      <c r="L101" s="67">
        <f t="shared" si="31"/>
        <v>11.691116776999998</v>
      </c>
      <c r="M101" s="67">
        <f t="shared" si="31"/>
        <v>10.424835125000001</v>
      </c>
      <c r="N101" s="67">
        <f t="shared" si="31"/>
        <v>9.5176488729999988</v>
      </c>
      <c r="O101" s="67">
        <f t="shared" si="31"/>
        <v>11.218712686000002</v>
      </c>
      <c r="P101" s="67">
        <f t="shared" si="31"/>
        <v>0</v>
      </c>
      <c r="R101" t="str">
        <f>A101</f>
        <v>RM+PM Moving Inventory</v>
      </c>
      <c r="S101" s="67">
        <f t="shared" si="30"/>
        <v>11.928867334999996</v>
      </c>
      <c r="T101" s="67">
        <f t="shared" si="30"/>
        <v>10.273740815</v>
      </c>
      <c r="U101" s="67">
        <f t="shared" si="30"/>
        <v>11.075344379999995</v>
      </c>
      <c r="V101" s="67">
        <f t="shared" si="30"/>
        <v>10.845361572000002</v>
      </c>
      <c r="W101" s="67">
        <f t="shared" si="30"/>
        <v>9.4417238370000014</v>
      </c>
      <c r="X101" s="67">
        <f t="shared" si="30"/>
        <v>10.508465302999999</v>
      </c>
      <c r="Y101" s="67">
        <f t="shared" si="30"/>
        <v>8.8067841310000059</v>
      </c>
      <c r="Z101" s="67">
        <f t="shared" si="30"/>
        <v>9.2858411960000034</v>
      </c>
      <c r="AA101" s="67">
        <f t="shared" si="30"/>
        <v>11.691116776999998</v>
      </c>
      <c r="AB101" s="67">
        <f t="shared" si="30"/>
        <v>10.424835125000001</v>
      </c>
      <c r="AC101" s="67">
        <f t="shared" si="30"/>
        <v>9.5176488729999988</v>
      </c>
      <c r="AD101" s="67">
        <f t="shared" si="30"/>
        <v>11.218712686000002</v>
      </c>
      <c r="AE101" s="67">
        <f t="shared" si="30"/>
        <v>0</v>
      </c>
    </row>
    <row r="102" spans="1:31" x14ac:dyDescent="0.2">
      <c r="A102" t="s">
        <v>93</v>
      </c>
      <c r="B102" s="67"/>
      <c r="C102" s="67"/>
      <c r="D102" s="67">
        <f>AVERAGE(B104:D104)</f>
        <v>14.732762444198171</v>
      </c>
      <c r="E102" s="67">
        <f t="shared" ref="E102:P102" si="32">AVERAGE(C104:E104)</f>
        <v>13.900290354045268</v>
      </c>
      <c r="F102" s="67">
        <f t="shared" si="32"/>
        <v>16.016637987905082</v>
      </c>
      <c r="G102" s="67">
        <f t="shared" si="32"/>
        <v>17.502900256856883</v>
      </c>
      <c r="H102" s="67">
        <f t="shared" si="32"/>
        <v>18.294808741505715</v>
      </c>
      <c r="I102" s="67">
        <f t="shared" si="32"/>
        <v>16.415317033975573</v>
      </c>
      <c r="J102" s="67">
        <f t="shared" si="32"/>
        <v>13.987074970299593</v>
      </c>
      <c r="K102" s="67">
        <f t="shared" si="32"/>
        <v>13.446492018402921</v>
      </c>
      <c r="L102" s="67">
        <f t="shared" si="32"/>
        <v>13.951433912284608</v>
      </c>
      <c r="M102" s="67">
        <f t="shared" si="32"/>
        <v>15.136126787542016</v>
      </c>
      <c r="N102" s="67">
        <f t="shared" si="32"/>
        <v>14.317623295609252</v>
      </c>
      <c r="O102" s="67">
        <f t="shared" si="32"/>
        <v>13.925610126436689</v>
      </c>
      <c r="P102" s="67">
        <f t="shared" si="32"/>
        <v>8.8177919693852314</v>
      </c>
      <c r="R102" t="str">
        <f>A102</f>
        <v>Avg RM+PM Consum</v>
      </c>
      <c r="S102" s="67">
        <f t="shared" si="30"/>
        <v>14.732762444198171</v>
      </c>
      <c r="T102" s="67">
        <f t="shared" si="30"/>
        <v>13.900290354045268</v>
      </c>
      <c r="U102" s="67">
        <f t="shared" si="30"/>
        <v>16.016637987905082</v>
      </c>
      <c r="V102" s="67">
        <f t="shared" si="30"/>
        <v>17.502900256856883</v>
      </c>
      <c r="W102" s="67">
        <f t="shared" si="30"/>
        <v>18.294808741505715</v>
      </c>
      <c r="X102" s="67">
        <f t="shared" si="30"/>
        <v>16.415317033975573</v>
      </c>
      <c r="Y102" s="67">
        <f t="shared" si="30"/>
        <v>13.987074970299593</v>
      </c>
      <c r="Z102" s="67">
        <f t="shared" si="30"/>
        <v>13.446492018402921</v>
      </c>
      <c r="AA102" s="67">
        <f t="shared" si="30"/>
        <v>13.951433912284608</v>
      </c>
      <c r="AB102" s="67">
        <f t="shared" si="30"/>
        <v>15.136126787542016</v>
      </c>
      <c r="AC102" s="67">
        <f t="shared" si="30"/>
        <v>14.317623295609252</v>
      </c>
      <c r="AD102" s="67">
        <f t="shared" si="30"/>
        <v>13.925610126436689</v>
      </c>
      <c r="AE102" s="67">
        <f t="shared" si="30"/>
        <v>8.8177919693852314</v>
      </c>
    </row>
    <row r="103" spans="1:31" x14ac:dyDescent="0.2">
      <c r="A103" t="s">
        <v>39</v>
      </c>
      <c r="B103" s="67"/>
      <c r="C103" s="67"/>
      <c r="D103" s="67">
        <f>D101*30/D102</f>
        <v>24.29049008327214</v>
      </c>
      <c r="E103" s="67">
        <f t="shared" ref="E103:P103" si="33">E101*30/E102</f>
        <v>22.173078158781337</v>
      </c>
      <c r="F103" s="67">
        <f t="shared" si="33"/>
        <v>20.744698834481078</v>
      </c>
      <c r="G103" s="67">
        <f t="shared" si="33"/>
        <v>18.588967678801556</v>
      </c>
      <c r="H103" s="67">
        <f t="shared" si="33"/>
        <v>15.482627837884005</v>
      </c>
      <c r="I103" s="67">
        <f t="shared" si="33"/>
        <v>19.204865701801779</v>
      </c>
      <c r="J103" s="67">
        <f t="shared" si="33"/>
        <v>18.889119025315495</v>
      </c>
      <c r="K103" s="67">
        <f t="shared" si="33"/>
        <v>20.717316865896393</v>
      </c>
      <c r="L103" s="67">
        <f t="shared" si="33"/>
        <v>25.139602532265144</v>
      </c>
      <c r="M103" s="67">
        <f t="shared" si="33"/>
        <v>20.662158697521537</v>
      </c>
      <c r="N103" s="67">
        <f t="shared" si="33"/>
        <v>19.942518412086073</v>
      </c>
      <c r="O103" s="67">
        <f t="shared" si="33"/>
        <v>24.168519549535887</v>
      </c>
      <c r="P103" s="67">
        <f t="shared" si="33"/>
        <v>0</v>
      </c>
      <c r="R103" t="str">
        <f>A103</f>
        <v>DIOH</v>
      </c>
      <c r="S103" s="67">
        <f t="shared" si="30"/>
        <v>24.29049008327214</v>
      </c>
      <c r="T103" s="67">
        <f t="shared" si="30"/>
        <v>22.173078158781337</v>
      </c>
      <c r="U103" s="67">
        <f t="shared" si="30"/>
        <v>20.744698834481078</v>
      </c>
      <c r="V103" s="67">
        <f t="shared" si="30"/>
        <v>18.588967678801556</v>
      </c>
      <c r="W103" s="67">
        <f t="shared" si="30"/>
        <v>15.482627837884005</v>
      </c>
      <c r="X103" s="67">
        <f t="shared" si="30"/>
        <v>19.204865701801779</v>
      </c>
      <c r="Y103" s="67">
        <f t="shared" si="30"/>
        <v>18.889119025315495</v>
      </c>
      <c r="Z103" s="67">
        <f t="shared" si="30"/>
        <v>20.717316865896393</v>
      </c>
      <c r="AA103" s="67">
        <f t="shared" si="30"/>
        <v>25.139602532265144</v>
      </c>
      <c r="AB103" s="67">
        <f t="shared" si="30"/>
        <v>20.662158697521537</v>
      </c>
      <c r="AC103" s="67">
        <f t="shared" si="30"/>
        <v>19.942518412086073</v>
      </c>
      <c r="AD103" s="67">
        <f t="shared" si="30"/>
        <v>24.168519549535887</v>
      </c>
      <c r="AE103" s="67">
        <f t="shared" si="30"/>
        <v>0</v>
      </c>
    </row>
    <row r="104" spans="1:31" x14ac:dyDescent="0.2">
      <c r="A104" t="s">
        <v>94</v>
      </c>
      <c r="B104" s="67">
        <f t="shared" ref="B104:P104" si="34">B14+B36</f>
        <v>17.897771309680003</v>
      </c>
      <c r="C104" s="67">
        <f t="shared" si="34"/>
        <v>11.705200793359818</v>
      </c>
      <c r="D104" s="67">
        <f t="shared" si="34"/>
        <v>14.595315229554689</v>
      </c>
      <c r="E104" s="67">
        <f t="shared" si="34"/>
        <v>15.400355039221299</v>
      </c>
      <c r="F104" s="67">
        <f t="shared" si="34"/>
        <v>18.054243694939252</v>
      </c>
      <c r="G104" s="67">
        <f t="shared" si="34"/>
        <v>19.054102036410093</v>
      </c>
      <c r="H104" s="67">
        <f t="shared" si="34"/>
        <v>17.776080493167804</v>
      </c>
      <c r="I104" s="67">
        <f t="shared" si="34"/>
        <v>12.415768572348821</v>
      </c>
      <c r="J104" s="67">
        <f t="shared" si="34"/>
        <v>11.769375845382152</v>
      </c>
      <c r="K104" s="67">
        <f t="shared" si="34"/>
        <v>16.154331637477789</v>
      </c>
      <c r="L104" s="67">
        <f t="shared" si="34"/>
        <v>13.930594253993885</v>
      </c>
      <c r="M104" s="67">
        <f t="shared" si="34"/>
        <v>15.323454471154378</v>
      </c>
      <c r="N104" s="67">
        <f t="shared" si="34"/>
        <v>13.698821161679493</v>
      </c>
      <c r="O104" s="67">
        <f t="shared" si="34"/>
        <v>12.754554746476199</v>
      </c>
      <c r="P104" s="67">
        <f t="shared" si="34"/>
        <v>0</v>
      </c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</row>
    <row r="105" spans="1:31" x14ac:dyDescent="0.2"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</row>
    <row r="106" spans="1:31" x14ac:dyDescent="0.2"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</row>
    <row r="107" spans="1:31" x14ac:dyDescent="0.2"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</row>
    <row r="108" spans="1:31" x14ac:dyDescent="0.2"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</row>
    <row r="109" spans="1:31" x14ac:dyDescent="0.2"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</row>
    <row r="110" spans="1:31" x14ac:dyDescent="0.2"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</row>
    <row r="111" spans="1:31" x14ac:dyDescent="0.2"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</row>
    <row r="112" spans="1:31" x14ac:dyDescent="0.2"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</row>
    <row r="113" spans="1:31" x14ac:dyDescent="0.2"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</row>
    <row r="114" spans="1:31" x14ac:dyDescent="0.2"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</row>
    <row r="115" spans="1:31" x14ac:dyDescent="0.2"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</row>
    <row r="116" spans="1:31" x14ac:dyDescent="0.2"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</row>
    <row r="117" spans="1:31" x14ac:dyDescent="0.2">
      <c r="A117" t="s">
        <v>96</v>
      </c>
      <c r="B117" s="69" t="s">
        <v>32</v>
      </c>
      <c r="C117" s="69" t="s">
        <v>33</v>
      </c>
      <c r="D117" s="69" t="s">
        <v>34</v>
      </c>
      <c r="E117" s="69" t="s">
        <v>9</v>
      </c>
      <c r="F117" s="69" t="s">
        <v>10</v>
      </c>
      <c r="G117" s="69" t="s">
        <v>11</v>
      </c>
      <c r="H117" s="69" t="s">
        <v>12</v>
      </c>
      <c r="I117" s="69" t="s">
        <v>13</v>
      </c>
      <c r="J117" s="69" t="s">
        <v>38</v>
      </c>
      <c r="K117" s="69" t="s">
        <v>15</v>
      </c>
      <c r="L117" s="69" t="s">
        <v>16</v>
      </c>
      <c r="M117" s="69" t="s">
        <v>17</v>
      </c>
      <c r="N117" s="69" t="s">
        <v>18</v>
      </c>
      <c r="O117" s="69" t="s">
        <v>19</v>
      </c>
      <c r="P117" s="69" t="s">
        <v>20</v>
      </c>
      <c r="R117" t="str">
        <f>A117</f>
        <v>SFG+FG Inventory</v>
      </c>
      <c r="S117" s="67" t="str">
        <f t="shared" ref="S117:AE120" si="35">D117</f>
        <v>Mar' 15</v>
      </c>
      <c r="T117" s="67" t="str">
        <f t="shared" si="35"/>
        <v>Apr' 15</v>
      </c>
      <c r="U117" s="67" t="str">
        <f t="shared" si="35"/>
        <v>May' 15</v>
      </c>
      <c r="V117" s="67" t="str">
        <f t="shared" si="35"/>
        <v>Jun' 15</v>
      </c>
      <c r="W117" s="67" t="str">
        <f t="shared" si="35"/>
        <v>July' 15</v>
      </c>
      <c r="X117" s="67" t="str">
        <f t="shared" si="35"/>
        <v>Aug' 15</v>
      </c>
      <c r="Y117" s="67" t="str">
        <f t="shared" si="35"/>
        <v>Sept' 15</v>
      </c>
      <c r="Z117" s="67" t="str">
        <f t="shared" si="35"/>
        <v>Oct' 15</v>
      </c>
      <c r="AA117" s="67" t="str">
        <f t="shared" si="35"/>
        <v>Nov' 15</v>
      </c>
      <c r="AB117" s="67" t="str">
        <f t="shared" si="35"/>
        <v>Dec' 15</v>
      </c>
      <c r="AC117" s="67" t="str">
        <f t="shared" si="35"/>
        <v>Jan' 16</v>
      </c>
      <c r="AD117" s="67" t="str">
        <f t="shared" si="35"/>
        <v>Feb' 16</v>
      </c>
      <c r="AE117" s="67" t="str">
        <f t="shared" si="35"/>
        <v>Mar' 16</v>
      </c>
    </row>
    <row r="118" spans="1:31" x14ac:dyDescent="0.2">
      <c r="A118" t="s">
        <v>97</v>
      </c>
      <c r="B118" s="67"/>
      <c r="C118" s="67"/>
      <c r="D118" s="67">
        <f>D49+D73</f>
        <v>9.7514148029999994</v>
      </c>
      <c r="E118" s="67">
        <f t="shared" ref="E118:P118" si="36">E49+E73</f>
        <v>10.642252963000001</v>
      </c>
      <c r="F118" s="67">
        <f t="shared" si="36"/>
        <v>10.489999194999999</v>
      </c>
      <c r="G118" s="67">
        <f t="shared" si="36"/>
        <v>14.264143598000002</v>
      </c>
      <c r="H118" s="67">
        <f t="shared" si="36"/>
        <v>8.546659413999997</v>
      </c>
      <c r="I118" s="67">
        <f t="shared" si="36"/>
        <v>7.701282549000001</v>
      </c>
      <c r="J118" s="67">
        <f t="shared" si="36"/>
        <v>10.542437995</v>
      </c>
      <c r="K118" s="67">
        <f t="shared" si="36"/>
        <v>9.8458373770000023</v>
      </c>
      <c r="L118" s="67">
        <f t="shared" si="36"/>
        <v>9.3064198009999988</v>
      </c>
      <c r="M118" s="67">
        <f t="shared" si="36"/>
        <v>14.087502625000003</v>
      </c>
      <c r="N118" s="67">
        <f t="shared" si="36"/>
        <v>13.489896843999993</v>
      </c>
      <c r="O118" s="67">
        <f t="shared" si="36"/>
        <v>10.485561259000004</v>
      </c>
      <c r="P118" s="67">
        <f t="shared" si="36"/>
        <v>0</v>
      </c>
      <c r="R118" t="str">
        <f>A118</f>
        <v>SFG+FG Total Inventory</v>
      </c>
      <c r="S118" s="67">
        <f t="shared" si="35"/>
        <v>9.7514148029999994</v>
      </c>
      <c r="T118" s="67">
        <f t="shared" si="35"/>
        <v>10.642252963000001</v>
      </c>
      <c r="U118" s="67">
        <f t="shared" si="35"/>
        <v>10.489999194999999</v>
      </c>
      <c r="V118" s="67">
        <f t="shared" si="35"/>
        <v>14.264143598000002</v>
      </c>
      <c r="W118" s="67">
        <f t="shared" si="35"/>
        <v>8.546659413999997</v>
      </c>
      <c r="X118" s="67">
        <f t="shared" si="35"/>
        <v>7.701282549000001</v>
      </c>
      <c r="Y118" s="67">
        <f t="shared" si="35"/>
        <v>10.542437995</v>
      </c>
      <c r="Z118" s="67">
        <f t="shared" si="35"/>
        <v>9.8458373770000023</v>
      </c>
      <c r="AA118" s="67">
        <f t="shared" si="35"/>
        <v>9.3064198009999988</v>
      </c>
      <c r="AB118" s="67">
        <f t="shared" si="35"/>
        <v>14.087502625000003</v>
      </c>
      <c r="AC118" s="67">
        <f t="shared" si="35"/>
        <v>13.489896843999993</v>
      </c>
      <c r="AD118" s="67">
        <f t="shared" si="35"/>
        <v>10.485561259000004</v>
      </c>
      <c r="AE118" s="67">
        <f t="shared" si="35"/>
        <v>0</v>
      </c>
    </row>
    <row r="119" spans="1:31" x14ac:dyDescent="0.2">
      <c r="A119" t="s">
        <v>73</v>
      </c>
      <c r="B119" s="67"/>
      <c r="C119" s="67"/>
      <c r="D119" s="67">
        <f>AVERAGE(B121:D121)</f>
        <v>35.799152531604612</v>
      </c>
      <c r="E119" s="67">
        <f t="shared" ref="E119:P119" si="37">AVERAGE(C121:E121)</f>
        <v>35.522884232828005</v>
      </c>
      <c r="F119" s="67">
        <f t="shared" si="37"/>
        <v>38.794725127475722</v>
      </c>
      <c r="G119" s="67">
        <f t="shared" si="37"/>
        <v>42.01244357139165</v>
      </c>
      <c r="H119" s="67">
        <f t="shared" si="37"/>
        <v>43.164172678302783</v>
      </c>
      <c r="I119" s="67">
        <f t="shared" si="37"/>
        <v>40.251442974749686</v>
      </c>
      <c r="J119" s="67">
        <f t="shared" si="37"/>
        <v>33.717078839232165</v>
      </c>
      <c r="K119" s="67">
        <f t="shared" si="37"/>
        <v>30.060716772072158</v>
      </c>
      <c r="L119" s="67">
        <f t="shared" si="37"/>
        <v>28.520996290855674</v>
      </c>
      <c r="M119" s="67">
        <f t="shared" si="37"/>
        <v>33.069679257156857</v>
      </c>
      <c r="N119" s="67">
        <f t="shared" si="37"/>
        <v>32.731436918999897</v>
      </c>
      <c r="O119" s="67">
        <f t="shared" si="37"/>
        <v>34.204684996585144</v>
      </c>
      <c r="P119" s="67">
        <f t="shared" si="37"/>
        <v>21.594815093816276</v>
      </c>
      <c r="R119" t="str">
        <f>A119</f>
        <v>Avg CoGS</v>
      </c>
      <c r="S119" s="67">
        <f t="shared" si="35"/>
        <v>35.799152531604612</v>
      </c>
      <c r="T119" s="67">
        <f t="shared" si="35"/>
        <v>35.522884232828005</v>
      </c>
      <c r="U119" s="67">
        <f t="shared" si="35"/>
        <v>38.794725127475722</v>
      </c>
      <c r="V119" s="67">
        <f t="shared" si="35"/>
        <v>42.01244357139165</v>
      </c>
      <c r="W119" s="67">
        <f t="shared" si="35"/>
        <v>43.164172678302783</v>
      </c>
      <c r="X119" s="67">
        <f t="shared" si="35"/>
        <v>40.251442974749686</v>
      </c>
      <c r="Y119" s="67">
        <f t="shared" si="35"/>
        <v>33.717078839232165</v>
      </c>
      <c r="Z119" s="67">
        <f t="shared" si="35"/>
        <v>30.060716772072158</v>
      </c>
      <c r="AA119" s="67">
        <f t="shared" si="35"/>
        <v>28.520996290855674</v>
      </c>
      <c r="AB119" s="67">
        <f t="shared" si="35"/>
        <v>33.069679257156857</v>
      </c>
      <c r="AC119" s="67">
        <f t="shared" si="35"/>
        <v>32.731436918999897</v>
      </c>
      <c r="AD119" s="67">
        <f t="shared" si="35"/>
        <v>34.204684996585144</v>
      </c>
      <c r="AE119" s="67">
        <f t="shared" si="35"/>
        <v>21.594815093816276</v>
      </c>
    </row>
    <row r="120" spans="1:31" x14ac:dyDescent="0.2">
      <c r="A120" t="s">
        <v>39</v>
      </c>
      <c r="B120" s="67"/>
      <c r="C120" s="67"/>
      <c r="D120" s="67">
        <f>D118*30/D119</f>
        <v>8.1717700951645256</v>
      </c>
      <c r="E120" s="67">
        <f t="shared" ref="E120:P120" si="38">E118*30/E119</f>
        <v>8.9876595266707842</v>
      </c>
      <c r="F120" s="67">
        <f t="shared" si="38"/>
        <v>8.1119269389311626</v>
      </c>
      <c r="G120" s="67">
        <f t="shared" si="38"/>
        <v>10.185656238081684</v>
      </c>
      <c r="H120" s="67">
        <f t="shared" si="38"/>
        <v>5.9401064936635208</v>
      </c>
      <c r="I120" s="67">
        <f t="shared" si="38"/>
        <v>5.739880595459244</v>
      </c>
      <c r="J120" s="67">
        <f t="shared" si="38"/>
        <v>9.3802058404298716</v>
      </c>
      <c r="K120" s="67">
        <f t="shared" si="38"/>
        <v>9.8259507100116004</v>
      </c>
      <c r="L120" s="67">
        <f t="shared" si="38"/>
        <v>9.7890196815990596</v>
      </c>
      <c r="M120" s="67">
        <f t="shared" si="38"/>
        <v>12.779836038431991</v>
      </c>
      <c r="N120" s="67">
        <f t="shared" si="38"/>
        <v>12.364165567234291</v>
      </c>
      <c r="O120" s="67">
        <f t="shared" si="38"/>
        <v>9.196600927662546</v>
      </c>
      <c r="P120" s="67">
        <f t="shared" si="38"/>
        <v>0</v>
      </c>
      <c r="R120" t="str">
        <f>A120</f>
        <v>DIOH</v>
      </c>
      <c r="S120" s="67">
        <f t="shared" si="35"/>
        <v>8.1717700951645256</v>
      </c>
      <c r="T120" s="67">
        <f t="shared" si="35"/>
        <v>8.9876595266707842</v>
      </c>
      <c r="U120" s="67">
        <f t="shared" si="35"/>
        <v>8.1119269389311626</v>
      </c>
      <c r="V120" s="67">
        <f t="shared" si="35"/>
        <v>10.185656238081684</v>
      </c>
      <c r="W120" s="67">
        <f t="shared" si="35"/>
        <v>5.9401064936635208</v>
      </c>
      <c r="X120" s="67">
        <f t="shared" si="35"/>
        <v>5.739880595459244</v>
      </c>
      <c r="Y120" s="67">
        <f t="shared" si="35"/>
        <v>9.3802058404298716</v>
      </c>
      <c r="Z120" s="67">
        <f t="shared" si="35"/>
        <v>9.8259507100116004</v>
      </c>
      <c r="AA120" s="67">
        <f t="shared" si="35"/>
        <v>9.7890196815990596</v>
      </c>
      <c r="AB120" s="67">
        <f t="shared" si="35"/>
        <v>12.779836038431991</v>
      </c>
      <c r="AC120" s="67">
        <f t="shared" si="35"/>
        <v>12.364165567234291</v>
      </c>
      <c r="AD120" s="67">
        <f t="shared" si="35"/>
        <v>9.196600927662546</v>
      </c>
      <c r="AE120" s="67">
        <f t="shared" si="35"/>
        <v>0</v>
      </c>
    </row>
    <row r="121" spans="1:31" x14ac:dyDescent="0.2">
      <c r="A121" t="s">
        <v>59</v>
      </c>
      <c r="B121" s="67">
        <v>39.97772361144871</v>
      </c>
      <c r="C121" s="67">
        <v>33.286236099157279</v>
      </c>
      <c r="D121" s="67">
        <v>34.133497884207834</v>
      </c>
      <c r="E121" s="67">
        <v>39.148918715118896</v>
      </c>
      <c r="F121" s="67">
        <v>43.101758783100458</v>
      </c>
      <c r="G121" s="67">
        <v>43.786653215955596</v>
      </c>
      <c r="H121" s="67">
        <v>42.604106035852304</v>
      </c>
      <c r="I121" s="67">
        <v>34.363569672441159</v>
      </c>
      <c r="J121" s="67">
        <v>24.183560809403041</v>
      </c>
      <c r="K121" s="67">
        <v>31.635019834372287</v>
      </c>
      <c r="L121" s="67">
        <v>29.744408228791688</v>
      </c>
      <c r="M121" s="67">
        <f>M76</f>
        <v>37.829609708306599</v>
      </c>
      <c r="N121" s="67">
        <f>N76</f>
        <v>30.620292819901401</v>
      </c>
      <c r="O121" s="67">
        <f>O76</f>
        <v>34.164152461547431</v>
      </c>
      <c r="P121" s="67">
        <f>P76</f>
        <v>0</v>
      </c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 x14ac:dyDescent="0.2"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</row>
    <row r="123" spans="1:31" x14ac:dyDescent="0.2"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</row>
    <row r="124" spans="1:31" x14ac:dyDescent="0.2">
      <c r="A124" t="s">
        <v>96</v>
      </c>
      <c r="B124" s="69" t="s">
        <v>32</v>
      </c>
      <c r="C124" s="69" t="s">
        <v>33</v>
      </c>
      <c r="D124" s="69" t="s">
        <v>34</v>
      </c>
      <c r="E124" s="69" t="s">
        <v>9</v>
      </c>
      <c r="F124" s="69" t="s">
        <v>10</v>
      </c>
      <c r="G124" s="69" t="s">
        <v>11</v>
      </c>
      <c r="H124" s="69" t="s">
        <v>12</v>
      </c>
      <c r="I124" s="69" t="s">
        <v>13</v>
      </c>
      <c r="J124" s="69" t="s">
        <v>38</v>
      </c>
      <c r="K124" s="69" t="s">
        <v>15</v>
      </c>
      <c r="L124" s="69" t="s">
        <v>16</v>
      </c>
      <c r="M124" s="69" t="s">
        <v>17</v>
      </c>
      <c r="N124" s="69" t="s">
        <v>18</v>
      </c>
      <c r="O124" s="69" t="s">
        <v>19</v>
      </c>
      <c r="P124" s="69" t="s">
        <v>20</v>
      </c>
      <c r="R124" t="str">
        <f>A124</f>
        <v>SFG+FG Inventory</v>
      </c>
      <c r="S124" s="67" t="str">
        <f t="shared" ref="S124:AE127" si="39">D124</f>
        <v>Mar' 15</v>
      </c>
      <c r="T124" s="67" t="str">
        <f t="shared" si="39"/>
        <v>Apr' 15</v>
      </c>
      <c r="U124" s="67" t="str">
        <f t="shared" si="39"/>
        <v>May' 15</v>
      </c>
      <c r="V124" s="67" t="str">
        <f t="shared" si="39"/>
        <v>Jun' 15</v>
      </c>
      <c r="W124" s="67" t="str">
        <f t="shared" si="39"/>
        <v>July' 15</v>
      </c>
      <c r="X124" s="67" t="str">
        <f t="shared" si="39"/>
        <v>Aug' 15</v>
      </c>
      <c r="Y124" s="67" t="str">
        <f t="shared" si="39"/>
        <v>Sept' 15</v>
      </c>
      <c r="Z124" s="67" t="str">
        <f t="shared" si="39"/>
        <v>Oct' 15</v>
      </c>
      <c r="AA124" s="67" t="str">
        <f t="shared" si="39"/>
        <v>Nov' 15</v>
      </c>
      <c r="AB124" s="67" t="str">
        <f t="shared" si="39"/>
        <v>Dec' 15</v>
      </c>
      <c r="AC124" s="67" t="str">
        <f t="shared" si="39"/>
        <v>Jan' 16</v>
      </c>
      <c r="AD124" s="67" t="str">
        <f t="shared" si="39"/>
        <v>Feb' 16</v>
      </c>
      <c r="AE124" s="67" t="str">
        <f t="shared" si="39"/>
        <v>Mar' 16</v>
      </c>
    </row>
    <row r="125" spans="1:31" x14ac:dyDescent="0.2">
      <c r="A125" t="s">
        <v>98</v>
      </c>
      <c r="B125" s="69"/>
      <c r="C125" s="69"/>
      <c r="D125" s="67">
        <f>D55+D79</f>
        <v>9.3096247739999995</v>
      </c>
      <c r="E125" s="67">
        <f t="shared" ref="E125:P125" si="40">E55+E79</f>
        <v>9.7976478290000024</v>
      </c>
      <c r="F125" s="67">
        <f t="shared" si="40"/>
        <v>8.7984703919999987</v>
      </c>
      <c r="G125" s="67">
        <f t="shared" si="40"/>
        <v>12.887213071000003</v>
      </c>
      <c r="H125" s="67">
        <f t="shared" si="40"/>
        <v>6.8279945819999988</v>
      </c>
      <c r="I125" s="67">
        <f t="shared" si="40"/>
        <v>5.604280511999999</v>
      </c>
      <c r="J125" s="67">
        <f t="shared" si="40"/>
        <v>9.0277406639999995</v>
      </c>
      <c r="K125" s="67">
        <f t="shared" si="40"/>
        <v>7.8072494959999998</v>
      </c>
      <c r="L125" s="67">
        <f t="shared" si="40"/>
        <v>7.561834775000003</v>
      </c>
      <c r="M125" s="67">
        <f t="shared" si="40"/>
        <v>12.167243911000003</v>
      </c>
      <c r="N125" s="67">
        <f t="shared" si="40"/>
        <v>11.871187373999991</v>
      </c>
      <c r="O125" s="67">
        <f t="shared" si="40"/>
        <v>8.9446057100000047</v>
      </c>
      <c r="P125" s="67">
        <f t="shared" si="40"/>
        <v>0</v>
      </c>
      <c r="R125" t="str">
        <f>A125</f>
        <v>SFG+FG Moving Inventory</v>
      </c>
      <c r="S125" s="67">
        <f t="shared" si="39"/>
        <v>9.3096247739999995</v>
      </c>
      <c r="T125" s="67">
        <f t="shared" si="39"/>
        <v>9.7976478290000024</v>
      </c>
      <c r="U125" s="67">
        <f t="shared" si="39"/>
        <v>8.7984703919999987</v>
      </c>
      <c r="V125" s="67">
        <f t="shared" si="39"/>
        <v>12.887213071000003</v>
      </c>
      <c r="W125" s="67">
        <f t="shared" si="39"/>
        <v>6.8279945819999988</v>
      </c>
      <c r="X125" s="67">
        <f t="shared" si="39"/>
        <v>5.604280511999999</v>
      </c>
      <c r="Y125" s="67">
        <f t="shared" si="39"/>
        <v>9.0277406639999995</v>
      </c>
      <c r="Z125" s="67">
        <f t="shared" si="39"/>
        <v>7.8072494959999998</v>
      </c>
      <c r="AA125" s="67">
        <f t="shared" si="39"/>
        <v>7.561834775000003</v>
      </c>
      <c r="AB125" s="67">
        <f t="shared" si="39"/>
        <v>12.167243911000003</v>
      </c>
      <c r="AC125" s="67">
        <f t="shared" si="39"/>
        <v>11.871187373999991</v>
      </c>
      <c r="AD125" s="67">
        <f t="shared" si="39"/>
        <v>8.9446057100000047</v>
      </c>
      <c r="AE125" s="67">
        <f t="shared" si="39"/>
        <v>0</v>
      </c>
    </row>
    <row r="126" spans="1:31" x14ac:dyDescent="0.2">
      <c r="A126" t="s">
        <v>73</v>
      </c>
      <c r="B126" s="69"/>
      <c r="C126" s="69"/>
      <c r="D126" s="67">
        <f>AVERAGE(B128:D128)</f>
        <v>35.799152531604612</v>
      </c>
      <c r="E126" s="67">
        <f t="shared" ref="E126:P126" si="41">AVERAGE(C128:E128)</f>
        <v>35.522884232828005</v>
      </c>
      <c r="F126" s="67">
        <f t="shared" si="41"/>
        <v>38.794725127475722</v>
      </c>
      <c r="G126" s="67">
        <f t="shared" si="41"/>
        <v>42.01244357139165</v>
      </c>
      <c r="H126" s="67">
        <f t="shared" si="41"/>
        <v>43.164172678302783</v>
      </c>
      <c r="I126" s="67">
        <f t="shared" si="41"/>
        <v>40.251442974749686</v>
      </c>
      <c r="J126" s="67">
        <f t="shared" si="41"/>
        <v>33.717078839232165</v>
      </c>
      <c r="K126" s="67">
        <f t="shared" si="41"/>
        <v>30.060716772072158</v>
      </c>
      <c r="L126" s="67">
        <f t="shared" si="41"/>
        <v>28.520996290855674</v>
      </c>
      <c r="M126" s="67">
        <f>AVERAGE(K128:M128)</f>
        <v>33.069679257156857</v>
      </c>
      <c r="N126" s="67">
        <f>AVERAGE(L128:N128)</f>
        <v>32.731436918999897</v>
      </c>
      <c r="O126" s="67">
        <f t="shared" si="41"/>
        <v>33.396213650732335</v>
      </c>
      <c r="P126" s="67">
        <f t="shared" si="41"/>
        <v>31.1795156219452</v>
      </c>
      <c r="R126" t="str">
        <f>A126</f>
        <v>Avg CoGS</v>
      </c>
      <c r="S126" s="67">
        <f t="shared" si="39"/>
        <v>35.799152531604612</v>
      </c>
      <c r="T126" s="67">
        <f t="shared" si="39"/>
        <v>35.522884232828005</v>
      </c>
      <c r="U126" s="67">
        <f t="shared" si="39"/>
        <v>38.794725127475722</v>
      </c>
      <c r="V126" s="67">
        <f t="shared" si="39"/>
        <v>42.01244357139165</v>
      </c>
      <c r="W126" s="67">
        <f t="shared" si="39"/>
        <v>43.164172678302783</v>
      </c>
      <c r="X126" s="67">
        <f t="shared" si="39"/>
        <v>40.251442974749686</v>
      </c>
      <c r="Y126" s="67">
        <f t="shared" si="39"/>
        <v>33.717078839232165</v>
      </c>
      <c r="Z126" s="67">
        <f t="shared" si="39"/>
        <v>30.060716772072158</v>
      </c>
      <c r="AA126" s="67">
        <f t="shared" si="39"/>
        <v>28.520996290855674</v>
      </c>
      <c r="AB126" s="67">
        <f t="shared" si="39"/>
        <v>33.069679257156857</v>
      </c>
      <c r="AC126" s="67">
        <f t="shared" si="39"/>
        <v>32.731436918999897</v>
      </c>
      <c r="AD126" s="67">
        <f t="shared" si="39"/>
        <v>33.396213650732335</v>
      </c>
      <c r="AE126" s="67">
        <f t="shared" si="39"/>
        <v>31.1795156219452</v>
      </c>
    </row>
    <row r="127" spans="1:31" x14ac:dyDescent="0.2">
      <c r="A127" t="s">
        <v>39</v>
      </c>
      <c r="B127" s="69"/>
      <c r="C127" s="69"/>
      <c r="D127" s="67">
        <f>D125*30/D126</f>
        <v>7.8015462230128261</v>
      </c>
      <c r="E127" s="67">
        <f t="shared" ref="E127:P127" si="42">E125*30/E126</f>
        <v>8.2743685153349418</v>
      </c>
      <c r="F127" s="67">
        <f t="shared" si="42"/>
        <v>6.8038660125228931</v>
      </c>
      <c r="G127" s="67">
        <f t="shared" si="42"/>
        <v>9.2024257401982297</v>
      </c>
      <c r="H127" s="67">
        <f t="shared" si="42"/>
        <v>4.7455986006414586</v>
      </c>
      <c r="I127" s="67">
        <f t="shared" si="42"/>
        <v>4.1769537421420981</v>
      </c>
      <c r="J127" s="67">
        <f t="shared" si="42"/>
        <v>8.0324935980179841</v>
      </c>
      <c r="K127" s="67">
        <f t="shared" si="42"/>
        <v>7.7914803780593562</v>
      </c>
      <c r="L127" s="67">
        <f t="shared" si="42"/>
        <v>7.9539662968482538</v>
      </c>
      <c r="M127" s="67">
        <f t="shared" si="42"/>
        <v>11.037824542885579</v>
      </c>
      <c r="N127" s="67">
        <f>N125*30/N126</f>
        <v>10.880537328725421</v>
      </c>
      <c r="O127" s="67">
        <f t="shared" si="42"/>
        <v>8.0349878613893644</v>
      </c>
      <c r="P127" s="67">
        <f t="shared" si="42"/>
        <v>0</v>
      </c>
      <c r="R127" t="str">
        <f>A127</f>
        <v>DIOH</v>
      </c>
      <c r="S127" s="67">
        <f t="shared" si="39"/>
        <v>7.8015462230128261</v>
      </c>
      <c r="T127" s="67">
        <f t="shared" si="39"/>
        <v>8.2743685153349418</v>
      </c>
      <c r="U127" s="67">
        <f t="shared" si="39"/>
        <v>6.8038660125228931</v>
      </c>
      <c r="V127" s="67">
        <f t="shared" si="39"/>
        <v>9.2024257401982297</v>
      </c>
      <c r="W127" s="67">
        <f t="shared" si="39"/>
        <v>4.7455986006414586</v>
      </c>
      <c r="X127" s="67">
        <f t="shared" si="39"/>
        <v>4.1769537421420981</v>
      </c>
      <c r="Y127" s="67">
        <f t="shared" si="39"/>
        <v>8.0324935980179841</v>
      </c>
      <c r="Z127" s="67">
        <f t="shared" si="39"/>
        <v>7.7914803780593562</v>
      </c>
      <c r="AA127" s="67">
        <f t="shared" si="39"/>
        <v>7.9539662968482538</v>
      </c>
      <c r="AB127" s="67">
        <f t="shared" si="39"/>
        <v>11.037824542885579</v>
      </c>
      <c r="AC127" s="67">
        <f t="shared" si="39"/>
        <v>10.880537328725421</v>
      </c>
      <c r="AD127" s="67">
        <f t="shared" si="39"/>
        <v>8.0349878613893644</v>
      </c>
      <c r="AE127" s="67">
        <f t="shared" si="39"/>
        <v>0</v>
      </c>
    </row>
    <row r="128" spans="1:31" x14ac:dyDescent="0.2">
      <c r="A128" t="s">
        <v>59</v>
      </c>
      <c r="B128" s="67">
        <v>39.97772361144871</v>
      </c>
      <c r="C128" s="67">
        <v>33.286236099157279</v>
      </c>
      <c r="D128" s="67">
        <v>34.133497884207834</v>
      </c>
      <c r="E128" s="67">
        <v>39.148918715118896</v>
      </c>
      <c r="F128" s="67">
        <v>43.101758783100458</v>
      </c>
      <c r="G128" s="67">
        <v>43.786653215955596</v>
      </c>
      <c r="H128" s="67">
        <v>42.604106035852304</v>
      </c>
      <c r="I128" s="67">
        <v>34.363569672441159</v>
      </c>
      <c r="J128" s="67">
        <v>24.183560809403041</v>
      </c>
      <c r="K128" s="67">
        <v>31.635019834372287</v>
      </c>
      <c r="L128" s="67">
        <v>29.744408228791688</v>
      </c>
      <c r="M128" s="67">
        <v>37.829609708306599</v>
      </c>
      <c r="N128" s="67">
        <v>30.620292819901401</v>
      </c>
      <c r="O128" s="67">
        <v>31.738738423988998</v>
      </c>
      <c r="P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</row>
    <row r="129" spans="2:16" x14ac:dyDescent="0.2"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</row>
    <row r="130" spans="2:16" x14ac:dyDescent="0.2"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</row>
    <row r="131" spans="2:16" x14ac:dyDescent="0.2"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</row>
    <row r="132" spans="2:16" x14ac:dyDescent="0.2"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</row>
    <row r="133" spans="2:16" x14ac:dyDescent="0.2"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</row>
    <row r="134" spans="2:16" x14ac:dyDescent="0.2"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</row>
    <row r="135" spans="2:16" x14ac:dyDescent="0.2"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</row>
    <row r="136" spans="2:16" x14ac:dyDescent="0.2"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</row>
    <row r="137" spans="2:16" x14ac:dyDescent="0.2"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</row>
    <row r="138" spans="2:16" x14ac:dyDescent="0.2"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</row>
    <row r="139" spans="2:16" x14ac:dyDescent="0.2"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</row>
    <row r="140" spans="2:16" x14ac:dyDescent="0.2"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</row>
    <row r="141" spans="2:16" x14ac:dyDescent="0.2"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</row>
    <row r="142" spans="2:16" x14ac:dyDescent="0.2"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</row>
    <row r="143" spans="2:16" x14ac:dyDescent="0.2"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</row>
    <row r="144" spans="2:16" x14ac:dyDescent="0.2"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2:16" x14ac:dyDescent="0.2"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</row>
    <row r="146" spans="2:16" x14ac:dyDescent="0.2"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2:16" x14ac:dyDescent="0.2"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</row>
    <row r="148" spans="2:16" x14ac:dyDescent="0.2"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</row>
    <row r="149" spans="2:16" x14ac:dyDescent="0.2"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90" zoomScaleNormal="90" workbookViewId="0">
      <selection activeCell="E26" sqref="E26"/>
    </sheetView>
  </sheetViews>
  <sheetFormatPr defaultRowHeight="12.75" x14ac:dyDescent="0.2"/>
  <cols>
    <col min="1" max="1" width="12" style="52" customWidth="1"/>
    <col min="2" max="4" width="12" style="56" customWidth="1"/>
    <col min="5" max="5" width="7" style="56" bestFit="1" customWidth="1"/>
  </cols>
  <sheetData>
    <row r="1" spans="1:10" s="54" customFormat="1" ht="25.5" x14ac:dyDescent="0.2">
      <c r="A1" s="53" t="s">
        <v>25</v>
      </c>
      <c r="B1" s="55" t="s">
        <v>31</v>
      </c>
      <c r="C1" s="55" t="s">
        <v>59</v>
      </c>
      <c r="D1" s="55" t="s">
        <v>58</v>
      </c>
      <c r="E1" s="55" t="s">
        <v>39</v>
      </c>
      <c r="G1" s="54" t="s">
        <v>25</v>
      </c>
      <c r="H1" s="54" t="s">
        <v>60</v>
      </c>
      <c r="I1" s="54" t="s">
        <v>73</v>
      </c>
      <c r="J1" s="54" t="s">
        <v>39</v>
      </c>
    </row>
    <row r="2" spans="1:10" x14ac:dyDescent="0.2">
      <c r="G2" t="str">
        <f>A6</f>
        <v>Mar' 15</v>
      </c>
      <c r="H2" s="47">
        <f>B6</f>
        <v>56.096892969999992</v>
      </c>
      <c r="I2" s="47">
        <f>D6</f>
        <v>35.799152531604612</v>
      </c>
      <c r="J2" s="47">
        <f>E6</f>
        <v>47.009682355309302</v>
      </c>
    </row>
    <row r="3" spans="1:10" x14ac:dyDescent="0.2">
      <c r="G3" t="str">
        <f>A9</f>
        <v>Jun' 15</v>
      </c>
      <c r="H3" s="47">
        <f>B9</f>
        <v>51.578394978000013</v>
      </c>
      <c r="I3" s="47">
        <f>D9</f>
        <v>42.01244357139165</v>
      </c>
      <c r="J3" s="47">
        <f>E9</f>
        <v>36.830798634947023</v>
      </c>
    </row>
    <row r="4" spans="1:10" x14ac:dyDescent="0.2">
      <c r="A4" s="52" t="s">
        <v>32</v>
      </c>
      <c r="B4" s="59"/>
      <c r="C4" s="59">
        <v>39.97772361144871</v>
      </c>
      <c r="D4" s="59"/>
      <c r="E4" s="59"/>
      <c r="G4" t="str">
        <f>A12</f>
        <v>Sept' 15</v>
      </c>
      <c r="H4" s="47">
        <f>B12</f>
        <v>48.997062833000008</v>
      </c>
      <c r="I4" s="47">
        <f>D12</f>
        <v>33.717078839232165</v>
      </c>
      <c r="J4" s="47">
        <f>E12</f>
        <v>43.595469583790148</v>
      </c>
    </row>
    <row r="5" spans="1:10" x14ac:dyDescent="0.2">
      <c r="A5" s="52" t="s">
        <v>33</v>
      </c>
      <c r="B5" s="59"/>
      <c r="C5" s="59">
        <v>33.286236099157279</v>
      </c>
      <c r="D5" s="59"/>
      <c r="E5" s="59"/>
      <c r="G5" t="str">
        <f>A15</f>
        <v>Dec' 15</v>
      </c>
      <c r="H5" s="47">
        <f>B15</f>
        <v>47.800973722000002</v>
      </c>
      <c r="I5" s="47">
        <f>D15</f>
        <v>33.069679257156857</v>
      </c>
      <c r="J5" s="47">
        <f>E15</f>
        <v>43.363868167836891</v>
      </c>
    </row>
    <row r="6" spans="1:10" x14ac:dyDescent="0.2">
      <c r="A6" s="58" t="s">
        <v>34</v>
      </c>
      <c r="B6" s="59">
        <v>56.096892969999992</v>
      </c>
      <c r="C6" s="59">
        <v>34.133497884207834</v>
      </c>
      <c r="D6" s="59">
        <f t="shared" ref="D6:D15" si="0">AVERAGE(C4:C6)</f>
        <v>35.799152531604612</v>
      </c>
      <c r="E6" s="59">
        <f t="shared" ref="E6:E18" si="1">B6*30/D6</f>
        <v>47.009682355309302</v>
      </c>
      <c r="G6" t="str">
        <f>A18</f>
        <v>Mar' 16</v>
      </c>
      <c r="H6" s="47">
        <f>B18</f>
        <v>50.740736715999986</v>
      </c>
      <c r="I6" s="47">
        <f>D18</f>
        <v>36.072236818817728</v>
      </c>
      <c r="J6" s="47">
        <f>E18</f>
        <v>42.199271121604113</v>
      </c>
    </row>
    <row r="7" spans="1:10" x14ac:dyDescent="0.2">
      <c r="A7" s="58" t="s">
        <v>9</v>
      </c>
      <c r="B7" s="59">
        <v>50.537219285000006</v>
      </c>
      <c r="C7" s="59">
        <v>39.148918715118896</v>
      </c>
      <c r="D7" s="59">
        <f t="shared" si="0"/>
        <v>35.522884232828005</v>
      </c>
      <c r="E7" s="59">
        <f t="shared" si="1"/>
        <v>42.679996607620645</v>
      </c>
      <c r="G7" t="str">
        <f>A21</f>
        <v>Jun' 16</v>
      </c>
      <c r="H7" s="47">
        <f>B21</f>
        <v>57.817936441999983</v>
      </c>
      <c r="I7" s="47">
        <f>D21</f>
        <v>36.130393942489263</v>
      </c>
      <c r="J7" s="47">
        <f>E21</f>
        <v>48.007727123622267</v>
      </c>
    </row>
    <row r="8" spans="1:10" x14ac:dyDescent="0.2">
      <c r="A8" s="58" t="s">
        <v>10</v>
      </c>
      <c r="B8" s="59">
        <v>50.133501553999999</v>
      </c>
      <c r="C8" s="59">
        <v>43.101758783100458</v>
      </c>
      <c r="D8" s="59">
        <f t="shared" si="0"/>
        <v>38.794725127475722</v>
      </c>
      <c r="E8" s="59">
        <f t="shared" si="1"/>
        <v>38.76828722662642</v>
      </c>
      <c r="G8" t="str">
        <f t="shared" ref="G8:H14" si="2">A24</f>
        <v>Sept' 16</v>
      </c>
      <c r="H8" s="47">
        <f t="shared" si="2"/>
        <v>43.392173477000007</v>
      </c>
      <c r="I8" s="47">
        <f t="shared" ref="I8:J14" si="3">D24</f>
        <v>33.922962139112848</v>
      </c>
      <c r="J8" s="47">
        <f t="shared" si="3"/>
        <v>38.374160810947508</v>
      </c>
    </row>
    <row r="9" spans="1:10" x14ac:dyDescent="0.2">
      <c r="A9" s="58" t="s">
        <v>11</v>
      </c>
      <c r="B9" s="59">
        <v>51.578394978000013</v>
      </c>
      <c r="C9" s="59">
        <v>43.786653215955596</v>
      </c>
      <c r="D9" s="59">
        <f t="shared" si="0"/>
        <v>42.01244357139165</v>
      </c>
      <c r="E9" s="59">
        <f t="shared" si="1"/>
        <v>36.830798634947023</v>
      </c>
      <c r="G9" t="str">
        <f t="shared" si="2"/>
        <v>Oct' 16</v>
      </c>
      <c r="H9" s="47">
        <f t="shared" si="2"/>
        <v>50.303243387000002</v>
      </c>
      <c r="I9" s="47">
        <f t="shared" si="3"/>
        <v>31.896524096336858</v>
      </c>
      <c r="J9" s="47">
        <f t="shared" si="3"/>
        <v>47.312280706577425</v>
      </c>
    </row>
    <row r="10" spans="1:10" x14ac:dyDescent="0.2">
      <c r="A10" s="58" t="s">
        <v>12</v>
      </c>
      <c r="B10" s="59">
        <v>43.090162485</v>
      </c>
      <c r="C10" s="59">
        <v>42.604106035852304</v>
      </c>
      <c r="D10" s="59">
        <f t="shared" si="0"/>
        <v>43.164172678302783</v>
      </c>
      <c r="E10" s="59">
        <f t="shared" si="1"/>
        <v>29.948561372515325</v>
      </c>
      <c r="G10" t="str">
        <f t="shared" si="2"/>
        <v>Nov' 16</v>
      </c>
      <c r="H10" s="47">
        <f t="shared" si="2"/>
        <v>62.281702901999999</v>
      </c>
      <c r="I10" s="47">
        <f t="shared" si="3"/>
        <v>31.580000000000002</v>
      </c>
      <c r="J10" s="47">
        <f t="shared" si="3"/>
        <v>59.165645568714375</v>
      </c>
    </row>
    <row r="11" spans="1:10" x14ac:dyDescent="0.2">
      <c r="A11" s="58" t="s">
        <v>13</v>
      </c>
      <c r="B11" s="59">
        <v>47.088657600000005</v>
      </c>
      <c r="C11" s="59">
        <v>34.363569672441159</v>
      </c>
      <c r="D11" s="59">
        <f t="shared" si="0"/>
        <v>40.251442974749686</v>
      </c>
      <c r="E11" s="59">
        <f t="shared" si="1"/>
        <v>35.095877901475035</v>
      </c>
      <c r="G11" t="str">
        <f t="shared" si="2"/>
        <v>Dec' 16</v>
      </c>
      <c r="H11" s="47">
        <f t="shared" si="2"/>
        <v>64</v>
      </c>
      <c r="I11" s="47">
        <f t="shared" si="3"/>
        <v>31.766666666666666</v>
      </c>
      <c r="J11" s="47">
        <f t="shared" si="3"/>
        <v>60.440713536201471</v>
      </c>
    </row>
    <row r="12" spans="1:10" x14ac:dyDescent="0.2">
      <c r="A12" s="58" t="s">
        <v>38</v>
      </c>
      <c r="B12" s="59">
        <v>48.997062833000008</v>
      </c>
      <c r="C12" s="59">
        <v>24.183560809403041</v>
      </c>
      <c r="D12" s="59">
        <f t="shared" si="0"/>
        <v>33.717078839232165</v>
      </c>
      <c r="E12" s="59">
        <f t="shared" si="1"/>
        <v>43.595469583790148</v>
      </c>
      <c r="G12" t="str">
        <f t="shared" si="2"/>
        <v>Jan' 17</v>
      </c>
      <c r="H12" s="47">
        <f t="shared" si="2"/>
        <v>57.89</v>
      </c>
      <c r="I12" s="47">
        <f t="shared" si="3"/>
        <v>34.21</v>
      </c>
      <c r="J12" s="47">
        <f t="shared" si="3"/>
        <v>50.765857936275943</v>
      </c>
    </row>
    <row r="13" spans="1:10" x14ac:dyDescent="0.2">
      <c r="A13" s="58" t="s">
        <v>15</v>
      </c>
      <c r="B13" s="59">
        <v>46.612762449000016</v>
      </c>
      <c r="C13" s="59">
        <v>31.635019834372287</v>
      </c>
      <c r="D13" s="59">
        <f t="shared" si="0"/>
        <v>30.060716772072158</v>
      </c>
      <c r="E13" s="59">
        <f t="shared" si="1"/>
        <v>46.518613780000251</v>
      </c>
      <c r="G13" t="str">
        <f t="shared" si="2"/>
        <v>Feb' 17</v>
      </c>
      <c r="H13" s="47">
        <f t="shared" si="2"/>
        <v>50.18</v>
      </c>
      <c r="I13" s="47">
        <f t="shared" si="3"/>
        <v>37.423333333333339</v>
      </c>
      <c r="J13" s="47">
        <f t="shared" si="3"/>
        <v>40.226240313529878</v>
      </c>
    </row>
    <row r="14" spans="1:10" x14ac:dyDescent="0.2">
      <c r="A14" s="58" t="s">
        <v>16</v>
      </c>
      <c r="B14" s="59">
        <v>53.084861634000021</v>
      </c>
      <c r="C14" s="59">
        <v>29.744408228791688</v>
      </c>
      <c r="D14" s="59">
        <f t="shared" si="0"/>
        <v>28.520996290855674</v>
      </c>
      <c r="E14" s="59">
        <f t="shared" si="1"/>
        <v>55.837665444057379</v>
      </c>
      <c r="G14" t="str">
        <f>A30</f>
        <v>Mar' 17</v>
      </c>
      <c r="H14" s="47">
        <f t="shared" si="2"/>
        <v>51.875933828000001</v>
      </c>
      <c r="I14" s="47">
        <f t="shared" si="3"/>
        <v>40.563333333333333</v>
      </c>
      <c r="J14" s="47">
        <f t="shared" si="3"/>
        <v>38.36662046610239</v>
      </c>
    </row>
    <row r="15" spans="1:10" x14ac:dyDescent="0.2">
      <c r="A15" s="58" t="s">
        <v>17</v>
      </c>
      <c r="B15" s="59">
        <v>47.800973722000002</v>
      </c>
      <c r="C15" s="59">
        <v>37.829609708306599</v>
      </c>
      <c r="D15" s="59">
        <f t="shared" si="0"/>
        <v>33.069679257156857</v>
      </c>
      <c r="E15" s="59">
        <f t="shared" si="1"/>
        <v>43.363868167836891</v>
      </c>
      <c r="J15" s="47"/>
    </row>
    <row r="16" spans="1:10" x14ac:dyDescent="0.2">
      <c r="A16" s="58" t="s">
        <v>18</v>
      </c>
      <c r="B16" s="59">
        <v>47.252492879999991</v>
      </c>
      <c r="C16" s="59">
        <v>30.62029281990144</v>
      </c>
      <c r="D16" s="59">
        <f t="shared" ref="D16:D22" si="4">AVERAGE(C14:C16)</f>
        <v>32.731436918999911</v>
      </c>
      <c r="E16" s="59">
        <f t="shared" si="1"/>
        <v>43.309274502920687</v>
      </c>
    </row>
    <row r="17" spans="1:6" x14ac:dyDescent="0.2">
      <c r="A17" s="58" t="s">
        <v>19</v>
      </c>
      <c r="B17" s="59">
        <v>49.322500198000007</v>
      </c>
      <c r="C17" s="59">
        <v>34.164152461547431</v>
      </c>
      <c r="D17" s="59">
        <f t="shared" si="4"/>
        <v>34.204684996585158</v>
      </c>
      <c r="E17" s="59">
        <f t="shared" si="1"/>
        <v>43.259425019927072</v>
      </c>
    </row>
    <row r="18" spans="1:6" x14ac:dyDescent="0.2">
      <c r="A18" s="58" t="s">
        <v>20</v>
      </c>
      <c r="B18" s="59">
        <v>50.740736715999986</v>
      </c>
      <c r="C18" s="59">
        <v>43.432265175004318</v>
      </c>
      <c r="D18" s="59">
        <f t="shared" si="4"/>
        <v>36.072236818817728</v>
      </c>
      <c r="E18" s="59">
        <f t="shared" si="1"/>
        <v>42.199271121604113</v>
      </c>
    </row>
    <row r="19" spans="1:6" x14ac:dyDescent="0.2">
      <c r="A19" s="58" t="s">
        <v>336</v>
      </c>
      <c r="B19" s="59">
        <v>49.911482357000004</v>
      </c>
      <c r="C19" s="59">
        <v>36.159593124967401</v>
      </c>
      <c r="D19" s="59">
        <f t="shared" si="4"/>
        <v>37.918670253839714</v>
      </c>
      <c r="E19" s="59">
        <f t="shared" ref="E19:E26" si="5">B19*30/D19</f>
        <v>39.488316987022415</v>
      </c>
      <c r="F19" s="47"/>
    </row>
    <row r="20" spans="1:6" x14ac:dyDescent="0.2">
      <c r="A20" s="58" t="s">
        <v>337</v>
      </c>
      <c r="B20" s="59">
        <v>54.774238240999992</v>
      </c>
      <c r="C20" s="59">
        <v>33.167549711194305</v>
      </c>
      <c r="D20" s="59">
        <f t="shared" si="4"/>
        <v>37.586469337055341</v>
      </c>
      <c r="E20" s="59">
        <f t="shared" si="5"/>
        <v>43.718582144399306</v>
      </c>
      <c r="F20" s="47"/>
    </row>
    <row r="21" spans="1:6" x14ac:dyDescent="0.2">
      <c r="A21" s="58" t="s">
        <v>338</v>
      </c>
      <c r="B21" s="59">
        <v>57.817936441999983</v>
      </c>
      <c r="C21" s="59">
        <v>39.064038991306091</v>
      </c>
      <c r="D21" s="59">
        <f t="shared" si="4"/>
        <v>36.130393942489263</v>
      </c>
      <c r="E21" s="59">
        <f t="shared" si="5"/>
        <v>48.007727123622267</v>
      </c>
      <c r="F21" s="47"/>
    </row>
    <row r="22" spans="1:6" x14ac:dyDescent="0.2">
      <c r="A22" s="58" t="s">
        <v>339</v>
      </c>
      <c r="B22" s="59">
        <v>50.933553901999993</v>
      </c>
      <c r="C22" s="59">
        <v>35.829314128327987</v>
      </c>
      <c r="D22" s="59">
        <f t="shared" si="4"/>
        <v>36.020300943609463</v>
      </c>
      <c r="E22" s="59">
        <f t="shared" si="5"/>
        <v>42.420706574665388</v>
      </c>
      <c r="F22" s="47"/>
    </row>
    <row r="23" spans="1:6" x14ac:dyDescent="0.2">
      <c r="A23" s="58" t="s">
        <v>379</v>
      </c>
      <c r="B23" s="59">
        <v>45.921116135000005</v>
      </c>
      <c r="C23" s="59">
        <v>34.769572289010569</v>
      </c>
      <c r="D23" s="59">
        <f t="shared" ref="D23:D29" si="6">AVERAGE(C21:C23)</f>
        <v>36.554308469548211</v>
      </c>
      <c r="E23" s="59">
        <f t="shared" si="5"/>
        <v>37.687308055564671</v>
      </c>
      <c r="F23" s="47"/>
    </row>
    <row r="24" spans="1:6" x14ac:dyDescent="0.2">
      <c r="A24" s="58" t="s">
        <v>380</v>
      </c>
      <c r="B24" s="59">
        <v>43.392173477000007</v>
      </c>
      <c r="C24" s="162">
        <v>31.17</v>
      </c>
      <c r="D24" s="59">
        <f t="shared" si="6"/>
        <v>33.922962139112848</v>
      </c>
      <c r="E24" s="59">
        <f t="shared" si="5"/>
        <v>38.374160810947508</v>
      </c>
      <c r="F24" s="47"/>
    </row>
    <row r="25" spans="1:6" x14ac:dyDescent="0.2">
      <c r="A25" s="58" t="s">
        <v>381</v>
      </c>
      <c r="B25" s="59">
        <v>50.303243387000002</v>
      </c>
      <c r="C25" s="59">
        <v>29.75</v>
      </c>
      <c r="D25" s="59">
        <f t="shared" si="6"/>
        <v>31.896524096336858</v>
      </c>
      <c r="E25" s="59">
        <f t="shared" si="5"/>
        <v>47.312280706577425</v>
      </c>
      <c r="F25" s="47"/>
    </row>
    <row r="26" spans="1:6" x14ac:dyDescent="0.2">
      <c r="A26" s="58" t="s">
        <v>382</v>
      </c>
      <c r="B26" s="59">
        <v>62.281702901999999</v>
      </c>
      <c r="C26" s="59">
        <v>33.82</v>
      </c>
      <c r="D26" s="59">
        <f t="shared" si="6"/>
        <v>31.580000000000002</v>
      </c>
      <c r="E26" s="59">
        <f t="shared" si="5"/>
        <v>59.165645568714375</v>
      </c>
      <c r="F26" s="47"/>
    </row>
    <row r="27" spans="1:6" x14ac:dyDescent="0.2">
      <c r="A27" s="58" t="s">
        <v>383</v>
      </c>
      <c r="B27" s="59">
        <v>64</v>
      </c>
      <c r="C27" s="59">
        <v>31.73</v>
      </c>
      <c r="D27" s="59">
        <f t="shared" si="6"/>
        <v>31.766666666666666</v>
      </c>
      <c r="E27" s="59">
        <f>B27*30/D27</f>
        <v>60.440713536201471</v>
      </c>
      <c r="F27" s="47"/>
    </row>
    <row r="28" spans="1:6" x14ac:dyDescent="0.2">
      <c r="A28" s="58" t="s">
        <v>384</v>
      </c>
      <c r="B28" s="59">
        <v>57.89</v>
      </c>
      <c r="C28" s="59">
        <v>37.08</v>
      </c>
      <c r="D28" s="59">
        <f t="shared" si="6"/>
        <v>34.21</v>
      </c>
      <c r="E28" s="59">
        <f>B28*30/D28</f>
        <v>50.765857936275943</v>
      </c>
      <c r="F28" s="47"/>
    </row>
    <row r="29" spans="1:6" x14ac:dyDescent="0.2">
      <c r="A29" s="58" t="s">
        <v>385</v>
      </c>
      <c r="B29" s="59">
        <v>50.18</v>
      </c>
      <c r="C29" s="193">
        <v>43.46</v>
      </c>
      <c r="D29" s="59">
        <f t="shared" si="6"/>
        <v>37.423333333333339</v>
      </c>
      <c r="E29" s="59">
        <f>B29*30/D29</f>
        <v>40.226240313529878</v>
      </c>
      <c r="F29" s="47"/>
    </row>
    <row r="30" spans="1:6" x14ac:dyDescent="0.2">
      <c r="A30" s="58" t="s">
        <v>386</v>
      </c>
      <c r="B30" s="59">
        <v>51.875933828000001</v>
      </c>
      <c r="C30" s="193">
        <v>41.15</v>
      </c>
      <c r="D30" s="59">
        <f t="shared" ref="D30" si="7">AVERAGE(C28:C30)</f>
        <v>40.563333333333333</v>
      </c>
      <c r="E30" s="59">
        <f>B30*30/D30</f>
        <v>38.36662046610239</v>
      </c>
      <c r="F30" s="47"/>
    </row>
    <row r="31" spans="1:6" x14ac:dyDescent="0.2">
      <c r="A31" s="58"/>
      <c r="B31" s="59"/>
      <c r="C31" s="59"/>
      <c r="D31" s="59"/>
      <c r="E31" s="59"/>
    </row>
    <row r="32" spans="1:6" x14ac:dyDescent="0.2">
      <c r="A32" s="61"/>
      <c r="B32" s="60"/>
      <c r="C32" s="60"/>
      <c r="D32" s="60"/>
      <c r="E32" s="60"/>
    </row>
    <row r="33" spans="1:5" x14ac:dyDescent="0.2">
      <c r="A33" s="61"/>
    </row>
    <row r="34" spans="1:5" x14ac:dyDescent="0.2">
      <c r="B34" s="57"/>
      <c r="C34" s="57"/>
      <c r="D34" s="57"/>
      <c r="E34" s="57"/>
    </row>
    <row r="35" spans="1:5" x14ac:dyDescent="0.2">
      <c r="B35" s="57"/>
      <c r="C35" s="57"/>
      <c r="D35" s="57"/>
      <c r="E35" s="57"/>
    </row>
    <row r="36" spans="1:5" x14ac:dyDescent="0.2">
      <c r="B36" s="57"/>
      <c r="C36" s="57"/>
      <c r="D36" s="57"/>
      <c r="E36" s="57"/>
    </row>
    <row r="37" spans="1:5" x14ac:dyDescent="0.2">
      <c r="B37" s="57"/>
      <c r="C37" s="57"/>
      <c r="D37" s="57"/>
      <c r="E37" s="57"/>
    </row>
    <row r="38" spans="1:5" x14ac:dyDescent="0.2">
      <c r="B38" s="57"/>
      <c r="C38" s="57"/>
      <c r="D38" s="57"/>
      <c r="E38" s="57"/>
    </row>
    <row r="39" spans="1:5" x14ac:dyDescent="0.2">
      <c r="B39" s="57"/>
      <c r="C39" s="57"/>
      <c r="D39" s="57"/>
      <c r="E39" s="57"/>
    </row>
    <row r="40" spans="1:5" x14ac:dyDescent="0.2">
      <c r="B40" s="57"/>
      <c r="C40" s="57"/>
      <c r="D40" s="57"/>
      <c r="E40" s="57"/>
    </row>
    <row r="41" spans="1:5" x14ac:dyDescent="0.2">
      <c r="B41" s="57"/>
      <c r="C41" s="57"/>
      <c r="D41" s="57"/>
      <c r="E41" s="57"/>
    </row>
    <row r="42" spans="1:5" x14ac:dyDescent="0.2">
      <c r="B42" s="57"/>
      <c r="C42" s="57"/>
      <c r="D42" s="57"/>
      <c r="E42" s="57"/>
    </row>
    <row r="43" spans="1:5" x14ac:dyDescent="0.2">
      <c r="B43" s="57"/>
      <c r="C43" s="57"/>
      <c r="D43" s="57"/>
      <c r="E43" s="57"/>
    </row>
    <row r="44" spans="1:5" x14ac:dyDescent="0.2">
      <c r="B44" s="57"/>
      <c r="C44" s="57"/>
      <c r="D44" s="57"/>
      <c r="E44" s="57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8"/>
  <sheetViews>
    <sheetView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C163" sqref="C163"/>
    </sheetView>
  </sheetViews>
  <sheetFormatPr defaultRowHeight="12.75" x14ac:dyDescent="0.2"/>
  <cols>
    <col min="5" max="5" width="10" bestFit="1" customWidth="1"/>
  </cols>
  <sheetData>
    <row r="1" spans="1:23" x14ac:dyDescent="0.2">
      <c r="C1" s="221" t="s">
        <v>102</v>
      </c>
      <c r="D1" s="221"/>
      <c r="E1" s="221"/>
      <c r="F1" s="221"/>
      <c r="G1" s="221"/>
      <c r="H1">
        <f>42*125</f>
        <v>5250</v>
      </c>
      <c r="I1" s="221" t="s">
        <v>102</v>
      </c>
      <c r="J1" s="221"/>
      <c r="K1" s="221"/>
      <c r="L1" s="221"/>
      <c r="M1" s="221"/>
    </row>
    <row r="2" spans="1:23" x14ac:dyDescent="0.2">
      <c r="C2" t="s">
        <v>101</v>
      </c>
      <c r="D2" t="s">
        <v>35</v>
      </c>
      <c r="E2" t="s">
        <v>27</v>
      </c>
      <c r="F2" t="s">
        <v>30</v>
      </c>
      <c r="G2" t="s">
        <v>41</v>
      </c>
      <c r="I2" t="s">
        <v>101</v>
      </c>
      <c r="J2" t="s">
        <v>35</v>
      </c>
      <c r="K2" t="s">
        <v>27</v>
      </c>
      <c r="L2" t="s">
        <v>30</v>
      </c>
      <c r="M2" t="s">
        <v>41</v>
      </c>
      <c r="T2" t="s">
        <v>35</v>
      </c>
      <c r="U2" t="s">
        <v>27</v>
      </c>
      <c r="V2" t="s">
        <v>30</v>
      </c>
      <c r="W2" t="s">
        <v>41</v>
      </c>
    </row>
    <row r="4" spans="1:23" x14ac:dyDescent="0.2">
      <c r="A4" t="s">
        <v>32</v>
      </c>
      <c r="B4" t="s">
        <v>51</v>
      </c>
      <c r="C4" s="72">
        <v>3703.7570000000005</v>
      </c>
      <c r="D4" s="65">
        <v>20.736569482460446</v>
      </c>
      <c r="E4" s="65">
        <v>8.5497582406739969</v>
      </c>
      <c r="F4" s="65">
        <v>7.4035406440060036</v>
      </c>
      <c r="G4" s="65">
        <v>39.97772361144871</v>
      </c>
      <c r="H4" s="65"/>
      <c r="I4" s="65"/>
      <c r="J4" s="65">
        <f>D4-(($H$1*$C4)/10000000)</f>
        <v>18.792097057460445</v>
      </c>
      <c r="K4" s="65">
        <f>E4+(($H$1*$C4)/10000000)</f>
        <v>10.494230665673998</v>
      </c>
      <c r="L4" s="65">
        <f>F4</f>
        <v>7.4035406440060036</v>
      </c>
      <c r="M4" s="65">
        <f>G4</f>
        <v>39.97772361144871</v>
      </c>
      <c r="N4" s="65">
        <f>M4-L4-K4-J4</f>
        <v>3.2878552443082683</v>
      </c>
      <c r="O4" s="65"/>
      <c r="P4" s="65"/>
      <c r="Q4" s="65"/>
      <c r="S4" t="s">
        <v>32</v>
      </c>
      <c r="T4" s="73">
        <f>J4</f>
        <v>18.792097057460445</v>
      </c>
      <c r="U4" s="66">
        <f>K4</f>
        <v>10.494230665673998</v>
      </c>
      <c r="V4" s="66">
        <f>F4</f>
        <v>7.4035406440060036</v>
      </c>
      <c r="W4" s="66">
        <f>G4</f>
        <v>39.97772361144871</v>
      </c>
    </row>
    <row r="5" spans="1:23" x14ac:dyDescent="0.2">
      <c r="A5" t="s">
        <v>32</v>
      </c>
      <c r="B5" t="s">
        <v>52</v>
      </c>
      <c r="C5" s="72"/>
      <c r="D5" s="65">
        <v>7.1129696482105329</v>
      </c>
      <c r="E5" s="65">
        <v>1.1818990660188344</v>
      </c>
      <c r="F5" s="65">
        <v>1.1500104884452775</v>
      </c>
      <c r="G5" s="65">
        <v>10.249425729467839</v>
      </c>
      <c r="H5" s="65"/>
      <c r="I5" s="65"/>
      <c r="J5" s="93">
        <f>J4/M4</f>
        <v>0.47006420976102842</v>
      </c>
      <c r="K5" s="93">
        <f>K4/M4</f>
        <v>0.26250195653132907</v>
      </c>
      <c r="L5" s="93">
        <f>L4/M4</f>
        <v>0.18519165112957553</v>
      </c>
      <c r="M5" s="93"/>
      <c r="N5" s="93">
        <f>N4/M4</f>
        <v>8.2242182578067091E-2</v>
      </c>
      <c r="O5" s="65"/>
      <c r="P5" s="65"/>
      <c r="Q5" s="65"/>
      <c r="S5" t="s">
        <v>33</v>
      </c>
      <c r="T5" s="73">
        <f>J11</f>
        <v>18.255551066108545</v>
      </c>
      <c r="U5" s="66">
        <f>K11</f>
        <v>6.8934542928119074</v>
      </c>
      <c r="V5" s="66">
        <f>F11</f>
        <v>4.8117465005479119</v>
      </c>
      <c r="W5" s="66">
        <f>G11</f>
        <v>33.286236099157279</v>
      </c>
    </row>
    <row r="6" spans="1:23" x14ac:dyDescent="0.2">
      <c r="A6" t="s">
        <v>32</v>
      </c>
      <c r="B6" t="s">
        <v>53</v>
      </c>
      <c r="C6" s="72"/>
      <c r="D6" s="65">
        <v>13.623599834249912</v>
      </c>
      <c r="E6" s="65">
        <v>6.4736795263782634</v>
      </c>
      <c r="F6" s="65">
        <v>5.5165908677770492</v>
      </c>
      <c r="G6" s="65">
        <v>27.802422571213704</v>
      </c>
      <c r="H6" s="65"/>
      <c r="I6" s="65"/>
      <c r="J6" s="65"/>
      <c r="K6" s="65"/>
      <c r="L6" s="65"/>
      <c r="M6" s="65"/>
      <c r="N6" s="65"/>
      <c r="O6" s="65"/>
      <c r="P6" s="65"/>
      <c r="Q6" s="65"/>
      <c r="S6" t="s">
        <v>34</v>
      </c>
      <c r="T6" s="73">
        <f>J18</f>
        <v>16.136012512032938</v>
      </c>
      <c r="U6" s="66">
        <f>K18</f>
        <v>8.3779714040602347</v>
      </c>
      <c r="V6" s="66">
        <f>F18</f>
        <v>6.2173438254944546</v>
      </c>
      <c r="W6" s="66">
        <f>G18</f>
        <v>34.133497884207834</v>
      </c>
    </row>
    <row r="7" spans="1:23" x14ac:dyDescent="0.2">
      <c r="A7" t="s">
        <v>32</v>
      </c>
      <c r="B7" t="s">
        <v>54</v>
      </c>
      <c r="C7" s="72"/>
      <c r="D7" s="65">
        <v>0</v>
      </c>
      <c r="E7" s="65">
        <v>0.89417964827689922</v>
      </c>
      <c r="F7" s="65">
        <v>0.73693928778367646</v>
      </c>
      <c r="G7" s="65">
        <v>1.9258753107671653</v>
      </c>
      <c r="H7" s="65"/>
      <c r="I7" s="65"/>
      <c r="J7" s="65"/>
      <c r="K7" s="65"/>
      <c r="L7" s="65"/>
      <c r="M7" s="65"/>
      <c r="N7" s="65"/>
      <c r="O7" s="65"/>
      <c r="P7" s="65"/>
      <c r="Q7" s="65"/>
      <c r="S7" t="s">
        <v>9</v>
      </c>
      <c r="T7" s="73">
        <f>J25</f>
        <v>19.308878391950401</v>
      </c>
      <c r="U7" s="66">
        <f>K25</f>
        <v>9.221038752852655</v>
      </c>
      <c r="V7" s="66">
        <f>F25</f>
        <v>6.1793162863686444</v>
      </c>
      <c r="W7" s="66">
        <f>G25</f>
        <v>39.148918715118896</v>
      </c>
    </row>
    <row r="8" spans="1:23" x14ac:dyDescent="0.2">
      <c r="A8" t="s">
        <v>32</v>
      </c>
      <c r="B8" t="s">
        <v>55</v>
      </c>
      <c r="C8" s="72"/>
      <c r="D8" s="65">
        <v>0</v>
      </c>
      <c r="E8" s="65">
        <v>0</v>
      </c>
      <c r="F8" s="65">
        <v>0</v>
      </c>
      <c r="G8" s="65">
        <v>0</v>
      </c>
      <c r="H8" s="65"/>
      <c r="I8" s="65"/>
      <c r="J8" s="65"/>
      <c r="K8" s="65"/>
      <c r="L8" s="65"/>
      <c r="M8" s="65"/>
      <c r="N8" s="65"/>
      <c r="O8" s="65"/>
      <c r="P8" s="65"/>
      <c r="Q8" s="65"/>
      <c r="S8" t="s">
        <v>10</v>
      </c>
      <c r="T8" s="73">
        <f>J32</f>
        <v>20.237248695567075</v>
      </c>
      <c r="U8" s="66">
        <f>K32</f>
        <v>11.05271447975873</v>
      </c>
      <c r="V8" s="66">
        <f>F32</f>
        <v>7.0015292151805202</v>
      </c>
      <c r="W8" s="66">
        <f>G32</f>
        <v>43.101758783100458</v>
      </c>
    </row>
    <row r="9" spans="1:23" x14ac:dyDescent="0.2">
      <c r="A9" t="s">
        <v>32</v>
      </c>
      <c r="B9" t="s">
        <v>56</v>
      </c>
      <c r="C9" s="72"/>
      <c r="D9" s="65">
        <v>0</v>
      </c>
      <c r="E9" s="65">
        <v>2.2131282384390243</v>
      </c>
      <c r="F9" s="65">
        <v>2.9043904168208501</v>
      </c>
      <c r="G9" s="65">
        <v>5.7946673090455487</v>
      </c>
      <c r="H9" s="65"/>
      <c r="I9" s="65"/>
      <c r="J9" s="65"/>
      <c r="K9" s="65"/>
      <c r="L9" s="65"/>
      <c r="M9" s="65"/>
      <c r="N9" s="65"/>
      <c r="O9" s="65"/>
      <c r="P9" s="65"/>
      <c r="Q9" s="65"/>
      <c r="S9" t="s">
        <v>11</v>
      </c>
      <c r="T9" s="73">
        <f>J39</f>
        <v>20.137594629638503</v>
      </c>
      <c r="U9" s="66">
        <f>K39</f>
        <v>11.45844683732706</v>
      </c>
      <c r="V9" s="66">
        <f>F39</f>
        <v>7.5956551990830317</v>
      </c>
      <c r="W9" s="66">
        <f>G39</f>
        <v>43.786653215955596</v>
      </c>
    </row>
    <row r="10" spans="1:23" x14ac:dyDescent="0.2">
      <c r="C10" s="72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S10" t="s">
        <v>12</v>
      </c>
      <c r="T10" s="73">
        <f>J46</f>
        <v>20.064922726751586</v>
      </c>
      <c r="U10" s="66">
        <f>K46</f>
        <v>11.251834235706278</v>
      </c>
      <c r="V10" s="66">
        <f>F46</f>
        <v>6.5242462574615256</v>
      </c>
      <c r="W10" s="66">
        <f>G46</f>
        <v>42.604106035852304</v>
      </c>
    </row>
    <row r="11" spans="1:23" x14ac:dyDescent="0.2">
      <c r="A11" t="s">
        <v>33</v>
      </c>
      <c r="B11" t="s">
        <v>51</v>
      </c>
      <c r="C11" s="72">
        <v>3760.6189999999997</v>
      </c>
      <c r="D11" s="65">
        <v>20.229876041108547</v>
      </c>
      <c r="E11" s="65">
        <v>4.9191293178119073</v>
      </c>
      <c r="F11" s="65">
        <v>4.8117465005479119</v>
      </c>
      <c r="G11" s="65">
        <v>33.286236099157279</v>
      </c>
      <c r="H11" s="65"/>
      <c r="I11" s="65"/>
      <c r="J11" s="65">
        <f>D11-(($H$1*$C11)/10000000)</f>
        <v>18.255551066108545</v>
      </c>
      <c r="K11" s="65">
        <f>E11+(($H$1*$C11)/10000000)</f>
        <v>6.8934542928119074</v>
      </c>
      <c r="L11" s="65">
        <f>F11</f>
        <v>4.8117465005479119</v>
      </c>
      <c r="M11" s="65">
        <f>G11</f>
        <v>33.286236099157279</v>
      </c>
      <c r="N11" s="65">
        <f>M11-L11-K11-J11</f>
        <v>3.3254842396889153</v>
      </c>
      <c r="O11" s="65"/>
      <c r="P11" s="65"/>
      <c r="Q11" s="65"/>
      <c r="S11" t="s">
        <v>13</v>
      </c>
      <c r="T11" s="73">
        <f>J53</f>
        <v>17.476210802936976</v>
      </c>
      <c r="U11" s="66">
        <f>K53</f>
        <v>7.6260205206927303</v>
      </c>
      <c r="V11" s="66">
        <f>F53</f>
        <v>4.7897480516560895</v>
      </c>
      <c r="W11" s="66">
        <f>G53</f>
        <v>34.363569672441159</v>
      </c>
    </row>
    <row r="12" spans="1:23" x14ac:dyDescent="0.2">
      <c r="A12" t="s">
        <v>33</v>
      </c>
      <c r="B12" t="s">
        <v>52</v>
      </c>
      <c r="C12" s="72"/>
      <c r="D12" s="65">
        <v>5.3131500922360138</v>
      </c>
      <c r="E12" s="65">
        <v>0.85384050927777566</v>
      </c>
      <c r="F12" s="65">
        <v>0.80580391899584891</v>
      </c>
      <c r="G12" s="65">
        <v>7.6387781599360149</v>
      </c>
      <c r="H12" s="65"/>
      <c r="I12" s="65"/>
      <c r="J12" s="93">
        <f>J11/M11</f>
        <v>0.54844143422303993</v>
      </c>
      <c r="K12" s="93">
        <f>K11/M11</f>
        <v>0.20709623858572679</v>
      </c>
      <c r="L12" s="93">
        <f>L11/M11</f>
        <v>0.14455664155640993</v>
      </c>
      <c r="M12" s="93"/>
      <c r="N12" s="93">
        <f>N11/M11</f>
        <v>9.9905685634823341E-2</v>
      </c>
      <c r="O12" s="65"/>
      <c r="P12" s="65"/>
      <c r="Q12" s="65"/>
      <c r="S12" t="s">
        <v>38</v>
      </c>
      <c r="T12" s="73">
        <f>J60</f>
        <v>9.1576537662206636</v>
      </c>
      <c r="U12" s="66">
        <f>K60</f>
        <v>6.7947107586530935</v>
      </c>
      <c r="V12" s="66">
        <f>F60</f>
        <v>4.9746650867290585</v>
      </c>
      <c r="W12" s="66">
        <f>G60</f>
        <v>24.183560809403041</v>
      </c>
    </row>
    <row r="13" spans="1:23" x14ac:dyDescent="0.2">
      <c r="A13" t="s">
        <v>33</v>
      </c>
      <c r="B13" t="s">
        <v>53</v>
      </c>
      <c r="C13" s="72"/>
      <c r="D13" s="65">
        <v>14.872434479845669</v>
      </c>
      <c r="E13" s="65">
        <v>3.2187392467411455</v>
      </c>
      <c r="F13" s="65">
        <v>3.1006421352557623</v>
      </c>
      <c r="G13" s="65">
        <v>23.716347266210605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S13" t="s">
        <v>15</v>
      </c>
      <c r="T13" s="73">
        <f>J67</f>
        <v>11.128203032899362</v>
      </c>
      <c r="U13" s="66">
        <f>K67</f>
        <v>9.6170088428522913</v>
      </c>
      <c r="V13" s="66">
        <f>F67</f>
        <v>6.5373227946254993</v>
      </c>
      <c r="W13" s="66">
        <f>G67</f>
        <v>31.635019834372287</v>
      </c>
    </row>
    <row r="14" spans="1:23" x14ac:dyDescent="0.2">
      <c r="A14" t="s">
        <v>33</v>
      </c>
      <c r="B14" t="s">
        <v>54</v>
      </c>
      <c r="C14" s="72"/>
      <c r="D14" s="65">
        <v>0</v>
      </c>
      <c r="E14" s="65">
        <v>0.84350443422898624</v>
      </c>
      <c r="F14" s="65">
        <v>0.88849752526528047</v>
      </c>
      <c r="G14" s="65">
        <v>1.8616698543664243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S14" t="s">
        <v>16</v>
      </c>
      <c r="T14" s="73">
        <f>J74</f>
        <v>10.713449827181822</v>
      </c>
      <c r="U14" s="66">
        <f>K74</f>
        <v>7.6782627137127086</v>
      </c>
      <c r="V14" s="66">
        <f>F74</f>
        <v>6.2523315402811761</v>
      </c>
      <c r="W14" s="66">
        <f>G74</f>
        <v>29.744408228791698</v>
      </c>
    </row>
    <row r="15" spans="1:23" x14ac:dyDescent="0.2">
      <c r="A15" t="s">
        <v>33</v>
      </c>
      <c r="B15" t="s">
        <v>55</v>
      </c>
      <c r="C15" s="72"/>
      <c r="D15" s="65">
        <v>4.429146902686331E-2</v>
      </c>
      <c r="E15" s="65">
        <v>3.0451275640000003E-3</v>
      </c>
      <c r="F15" s="65">
        <v>1.6802921031020001E-2</v>
      </c>
      <c r="G15" s="65">
        <v>6.9440818644234806E-2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S15" t="s">
        <v>17</v>
      </c>
    </row>
    <row r="16" spans="1:23" x14ac:dyDescent="0.2">
      <c r="A16" t="s">
        <v>33</v>
      </c>
      <c r="B16" t="s">
        <v>56</v>
      </c>
      <c r="C16" s="72"/>
      <c r="D16" s="65">
        <v>0</v>
      </c>
      <c r="E16" s="65">
        <v>0.97583625131110396</v>
      </c>
      <c r="F16" s="65">
        <v>1.3176215018236299</v>
      </c>
      <c r="G16" s="65">
        <v>2.610514441685182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S16" t="s">
        <v>18</v>
      </c>
    </row>
    <row r="17" spans="1:19" x14ac:dyDescent="0.2">
      <c r="C17" s="72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S17" t="s">
        <v>19</v>
      </c>
    </row>
    <row r="18" spans="1:19" x14ac:dyDescent="0.2">
      <c r="A18" t="s">
        <v>34</v>
      </c>
      <c r="B18" t="s">
        <v>51</v>
      </c>
      <c r="C18" s="72">
        <v>3628.4849999999997</v>
      </c>
      <c r="D18" s="65">
        <v>18.040967137032936</v>
      </c>
      <c r="E18" s="65">
        <v>6.4730167790602344</v>
      </c>
      <c r="F18" s="65">
        <v>6.2173438254944546</v>
      </c>
      <c r="G18" s="65">
        <v>34.133497884207834</v>
      </c>
      <c r="H18" s="65"/>
      <c r="I18" s="65"/>
      <c r="J18" s="65">
        <f>D18-(($H$1*$C18)/10000000)</f>
        <v>16.136012512032938</v>
      </c>
      <c r="K18" s="65">
        <f>E18+(($H$1*$C18)/10000000)</f>
        <v>8.3779714040602347</v>
      </c>
      <c r="L18" s="65">
        <f>F18</f>
        <v>6.2173438254944546</v>
      </c>
      <c r="M18" s="65">
        <f>G18</f>
        <v>34.133497884207834</v>
      </c>
      <c r="N18" s="65">
        <f>M18-L18-K18-J18</f>
        <v>3.4021701426202107</v>
      </c>
      <c r="O18" s="65"/>
      <c r="P18" s="65"/>
      <c r="Q18" s="65"/>
      <c r="S18" t="s">
        <v>20</v>
      </c>
    </row>
    <row r="19" spans="1:19" x14ac:dyDescent="0.2">
      <c r="A19" t="s">
        <v>34</v>
      </c>
      <c r="B19" t="s">
        <v>52</v>
      </c>
      <c r="C19" s="72"/>
      <c r="D19" s="65">
        <v>4.2802577721655757</v>
      </c>
      <c r="E19" s="65">
        <v>0.82466651246621148</v>
      </c>
      <c r="F19" s="65">
        <v>0.73712749429264202</v>
      </c>
      <c r="G19" s="65">
        <v>6.6951411401415504</v>
      </c>
      <c r="H19" s="65"/>
      <c r="I19" s="65"/>
      <c r="J19" s="93">
        <f>J18/M18</f>
        <v>0.47273246260232848</v>
      </c>
      <c r="K19" s="93">
        <f>K18/M18</f>
        <v>0.24544719771999626</v>
      </c>
      <c r="L19" s="93">
        <f>L18/M18</f>
        <v>0.18214786678428771</v>
      </c>
      <c r="M19" s="93"/>
      <c r="N19" s="93">
        <f>N18/M18</f>
        <v>9.9672472893387667E-2</v>
      </c>
      <c r="O19" s="65"/>
      <c r="P19" s="65"/>
      <c r="Q19" s="65"/>
    </row>
    <row r="20" spans="1:19" x14ac:dyDescent="0.2">
      <c r="A20" t="s">
        <v>34</v>
      </c>
      <c r="B20" t="s">
        <v>53</v>
      </c>
      <c r="C20" s="72"/>
      <c r="D20" s="65">
        <v>13.76070936486736</v>
      </c>
      <c r="E20" s="65">
        <v>4.6957777918533816</v>
      </c>
      <c r="F20" s="65">
        <v>4.5380835464005598</v>
      </c>
      <c r="G20" s="65">
        <v>25.105853191020344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9" x14ac:dyDescent="0.2">
      <c r="A21" t="s">
        <v>34</v>
      </c>
      <c r="B21" t="s">
        <v>54</v>
      </c>
      <c r="C21" s="72"/>
      <c r="D21" s="65">
        <v>0</v>
      </c>
      <c r="E21" s="65">
        <v>0.95257247474064144</v>
      </c>
      <c r="F21" s="65">
        <v>0.94213278480125262</v>
      </c>
      <c r="G21" s="65">
        <v>2.3325035530459348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</row>
    <row r="22" spans="1:19" x14ac:dyDescent="0.2">
      <c r="A22" t="s">
        <v>34</v>
      </c>
      <c r="B22" t="s">
        <v>55</v>
      </c>
      <c r="C22" s="72"/>
      <c r="D22" s="65">
        <v>0</v>
      </c>
      <c r="E22" s="65">
        <v>0</v>
      </c>
      <c r="F22" s="65">
        <v>0</v>
      </c>
      <c r="G22" s="65"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</row>
    <row r="23" spans="1:19" x14ac:dyDescent="0.2">
      <c r="A23" t="s">
        <v>34</v>
      </c>
      <c r="B23" t="s">
        <v>56</v>
      </c>
      <c r="C23" s="72"/>
      <c r="D23" s="65">
        <v>0</v>
      </c>
      <c r="E23" s="65">
        <v>1.7059411729901559</v>
      </c>
      <c r="F23" s="65">
        <v>2.06493841367802</v>
      </c>
      <c r="G23" s="65">
        <v>4.1531487715440196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</row>
    <row r="24" spans="1:19" x14ac:dyDescent="0.2">
      <c r="C24" s="72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</row>
    <row r="25" spans="1:19" x14ac:dyDescent="0.2">
      <c r="A25" t="s">
        <v>9</v>
      </c>
      <c r="B25" t="s">
        <v>51</v>
      </c>
      <c r="C25" s="72">
        <v>4520.4830000000011</v>
      </c>
      <c r="D25" s="65">
        <v>21.682131966950401</v>
      </c>
      <c r="E25" s="65">
        <v>6.8477851778526544</v>
      </c>
      <c r="F25" s="65">
        <v>6.1793162863686444</v>
      </c>
      <c r="G25" s="65">
        <v>39.148918715118896</v>
      </c>
      <c r="H25" s="65"/>
      <c r="I25" s="65"/>
      <c r="J25" s="65">
        <f>D25-(($H$1*$C25)/10000000)</f>
        <v>19.308878391950401</v>
      </c>
      <c r="K25" s="65">
        <f>E25+(($H$1*$C25)/10000000)</f>
        <v>9.221038752852655</v>
      </c>
      <c r="L25" s="65">
        <f>F25</f>
        <v>6.1793162863686444</v>
      </c>
      <c r="M25" s="65">
        <f>G25</f>
        <v>39.148918715118896</v>
      </c>
      <c r="N25" s="65">
        <f>M25-L25-K25-J25</f>
        <v>4.4396852839471919</v>
      </c>
      <c r="O25" s="65"/>
      <c r="P25" s="65"/>
      <c r="Q25" s="65"/>
    </row>
    <row r="26" spans="1:19" x14ac:dyDescent="0.2">
      <c r="A26" t="s">
        <v>9</v>
      </c>
      <c r="B26" t="s">
        <v>52</v>
      </c>
      <c r="C26" s="72"/>
      <c r="D26" s="65">
        <v>5.5735118658449894</v>
      </c>
      <c r="E26" s="65">
        <v>1.359903577845526</v>
      </c>
      <c r="F26" s="65">
        <v>1.0664188288922771</v>
      </c>
      <c r="G26" s="65">
        <v>8.6434411609502977</v>
      </c>
      <c r="H26" s="65"/>
      <c r="I26" s="65"/>
      <c r="J26" s="93">
        <f>J25/M25</f>
        <v>0.49321613535378483</v>
      </c>
      <c r="K26" s="93">
        <f>K25/M25</f>
        <v>0.23553750794377848</v>
      </c>
      <c r="L26" s="93">
        <f>L25/M25</f>
        <v>0.15784130160361895</v>
      </c>
      <c r="M26" s="93"/>
      <c r="N26" s="93">
        <f>N25/M25</f>
        <v>0.11340505509881765</v>
      </c>
      <c r="O26" s="65"/>
      <c r="P26" s="65"/>
      <c r="Q26" s="65"/>
    </row>
    <row r="27" spans="1:19" x14ac:dyDescent="0.2">
      <c r="A27" t="s">
        <v>9</v>
      </c>
      <c r="B27" t="s">
        <v>53</v>
      </c>
      <c r="C27" s="72"/>
      <c r="D27" s="65">
        <v>16.108620101105409</v>
      </c>
      <c r="E27" s="65">
        <v>3.9715018288738446</v>
      </c>
      <c r="F27" s="65">
        <v>4.2247678177370975</v>
      </c>
      <c r="G27" s="65">
        <v>27.429531435094706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</row>
    <row r="28" spans="1:19" x14ac:dyDescent="0.2">
      <c r="A28" t="s">
        <v>9</v>
      </c>
      <c r="B28" t="s">
        <v>54</v>
      </c>
      <c r="C28" s="72"/>
      <c r="D28" s="65">
        <v>0</v>
      </c>
      <c r="E28" s="65">
        <v>0.82399598086646653</v>
      </c>
      <c r="F28" s="65">
        <v>0.86965085313655444</v>
      </c>
      <c r="G28" s="65">
        <v>2.3650835422043617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</row>
    <row r="29" spans="1:19" x14ac:dyDescent="0.2">
      <c r="A29" t="s">
        <v>9</v>
      </c>
      <c r="B29" t="s">
        <v>55</v>
      </c>
      <c r="C29" s="72"/>
      <c r="D29" s="65">
        <v>0</v>
      </c>
      <c r="E29" s="65">
        <v>0.69238379026681784</v>
      </c>
      <c r="F29" s="65">
        <v>1.8478786602715999E-2</v>
      </c>
      <c r="G29" s="65">
        <v>0.7108625768695338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</row>
    <row r="30" spans="1:19" x14ac:dyDescent="0.2">
      <c r="A30" t="s">
        <v>9</v>
      </c>
      <c r="B30" t="s">
        <v>56</v>
      </c>
      <c r="C30" s="72"/>
      <c r="D30" s="65">
        <v>0</v>
      </c>
      <c r="E30" s="65">
        <v>1.6067743385787601</v>
      </c>
      <c r="F30" s="65">
        <v>1.9441399118581753</v>
      </c>
      <c r="G30" s="65">
        <v>4.3325293773783056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</row>
    <row r="31" spans="1:19" x14ac:dyDescent="0.2">
      <c r="C31" s="72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</row>
    <row r="32" spans="1:19" x14ac:dyDescent="0.2">
      <c r="A32" t="s">
        <v>57</v>
      </c>
      <c r="B32" t="s">
        <v>51</v>
      </c>
      <c r="C32" s="72">
        <v>4811.7309999999998</v>
      </c>
      <c r="D32" s="65">
        <v>22.763407470567074</v>
      </c>
      <c r="E32" s="65">
        <v>8.5265557047587315</v>
      </c>
      <c r="F32" s="65">
        <v>7.0015292151805202</v>
      </c>
      <c r="G32" s="65">
        <v>43.101758783100458</v>
      </c>
      <c r="H32" s="65"/>
      <c r="I32" s="65"/>
      <c r="J32" s="65">
        <f>D32-(($H$1*$C32)/10000000)</f>
        <v>20.237248695567075</v>
      </c>
      <c r="K32" s="65">
        <f>E32+(($H$1*$C32)/10000000)</f>
        <v>11.05271447975873</v>
      </c>
      <c r="L32" s="65">
        <f>F32</f>
        <v>7.0015292151805202</v>
      </c>
      <c r="M32" s="65">
        <f>G32</f>
        <v>43.101758783100458</v>
      </c>
      <c r="N32" s="65">
        <f>M32-L32-K32-J32</f>
        <v>4.8102663925941336</v>
      </c>
      <c r="O32" s="65"/>
      <c r="P32" s="65"/>
      <c r="Q32" s="65"/>
    </row>
    <row r="33" spans="1:17" x14ac:dyDescent="0.2">
      <c r="A33" t="s">
        <v>57</v>
      </c>
      <c r="B33" t="s">
        <v>52</v>
      </c>
      <c r="C33" s="72"/>
      <c r="D33" s="65">
        <v>5.9951577651394263</v>
      </c>
      <c r="E33" s="65">
        <v>1.4134313237998035</v>
      </c>
      <c r="F33" s="65">
        <v>1.1670119049765248</v>
      </c>
      <c r="G33" s="65">
        <v>9.2541327036156176</v>
      </c>
      <c r="H33" s="65"/>
      <c r="I33" s="65"/>
      <c r="J33" s="93">
        <f>J32/M32</f>
        <v>0.4695225732528992</v>
      </c>
      <c r="K33" s="93">
        <f>K32/M32</f>
        <v>0.25643302713884453</v>
      </c>
      <c r="L33" s="93">
        <f>L32/M32</f>
        <v>0.16244184490043856</v>
      </c>
      <c r="M33" s="93"/>
      <c r="N33" s="93">
        <f>N32/M32</f>
        <v>0.11160255470781777</v>
      </c>
      <c r="O33" s="65"/>
      <c r="P33" s="65"/>
      <c r="Q33" s="65"/>
    </row>
    <row r="34" spans="1:17" x14ac:dyDescent="0.2">
      <c r="A34" t="s">
        <v>57</v>
      </c>
      <c r="B34" t="s">
        <v>53</v>
      </c>
      <c r="C34" s="72"/>
      <c r="D34" s="65">
        <v>16.76824970542765</v>
      </c>
      <c r="E34" s="65">
        <v>4.4150698176623218</v>
      </c>
      <c r="F34" s="65">
        <v>4.7763728883233938</v>
      </c>
      <c r="G34" s="65">
        <v>29.351388350437105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</row>
    <row r="35" spans="1:17" x14ac:dyDescent="0.2">
      <c r="A35" t="s">
        <v>57</v>
      </c>
      <c r="B35" t="s">
        <v>54</v>
      </c>
      <c r="C35" s="72"/>
      <c r="D35" s="65">
        <v>0</v>
      </c>
      <c r="E35" s="65">
        <v>0.98695605248717388</v>
      </c>
      <c r="F35" s="65">
        <v>1.0124775176550012</v>
      </c>
      <c r="G35" s="65">
        <v>2.7394723140126973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</row>
    <row r="36" spans="1:17" x14ac:dyDescent="0.2">
      <c r="A36" t="s">
        <v>57</v>
      </c>
      <c r="B36" t="s">
        <v>55</v>
      </c>
      <c r="C36" s="72"/>
      <c r="D36" s="65">
        <v>0</v>
      </c>
      <c r="E36" s="65">
        <v>1.7110985108094334</v>
      </c>
      <c r="F36" s="65">
        <v>4.5666904225599964E-2</v>
      </c>
      <c r="G36" s="65">
        <v>1.7567654150350336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</row>
    <row r="37" spans="1:17" x14ac:dyDescent="0.2">
      <c r="A37" t="s">
        <v>57</v>
      </c>
      <c r="B37" t="s">
        <v>56</v>
      </c>
      <c r="C37" s="72"/>
      <c r="D37" s="65">
        <v>0</v>
      </c>
      <c r="E37" s="65">
        <v>1.645491825801648</v>
      </c>
      <c r="F37" s="65">
        <v>2.0078446292821699</v>
      </c>
      <c r="G37" s="65">
        <v>4.5254200249300194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</row>
    <row r="38" spans="1:17" x14ac:dyDescent="0.2">
      <c r="C38" s="72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</row>
    <row r="39" spans="1:17" x14ac:dyDescent="0.2">
      <c r="A39" t="s">
        <v>11</v>
      </c>
      <c r="B39" t="s">
        <v>51</v>
      </c>
      <c r="C39" s="72">
        <v>4892.9970000000003</v>
      </c>
      <c r="D39" s="65">
        <v>22.706418054638505</v>
      </c>
      <c r="E39" s="65">
        <v>8.8896234123270599</v>
      </c>
      <c r="F39" s="65">
        <v>7.5956551990830317</v>
      </c>
      <c r="G39" s="65">
        <v>43.786653215955596</v>
      </c>
      <c r="H39" s="65"/>
      <c r="I39" s="65"/>
      <c r="J39" s="65">
        <f>D39-(($H$1*$C39)/10000000)</f>
        <v>20.137594629638503</v>
      </c>
      <c r="K39" s="65">
        <f>E39+(($H$1*$C39)/10000000)</f>
        <v>11.45844683732706</v>
      </c>
      <c r="L39" s="65">
        <f>F39</f>
        <v>7.5956551990830317</v>
      </c>
      <c r="M39" s="65">
        <f>G39</f>
        <v>43.786653215955596</v>
      </c>
      <c r="N39" s="65">
        <f>M39-L39-K39-J39</f>
        <v>4.5949565499069998</v>
      </c>
      <c r="O39" s="65"/>
      <c r="P39" s="65"/>
      <c r="Q39" s="65"/>
    </row>
    <row r="40" spans="1:17" x14ac:dyDescent="0.2">
      <c r="A40" t="s">
        <v>11</v>
      </c>
      <c r="B40" t="s">
        <v>52</v>
      </c>
      <c r="C40" s="72"/>
      <c r="D40" s="65">
        <v>7.0291096219167883</v>
      </c>
      <c r="E40" s="65">
        <v>1.6999305650941534</v>
      </c>
      <c r="F40" s="65">
        <v>1.4238068564852431</v>
      </c>
      <c r="G40" s="65">
        <v>10.939604031599906</v>
      </c>
      <c r="H40" s="65"/>
      <c r="I40" s="65"/>
      <c r="J40" s="93">
        <f>J39/M39</f>
        <v>0.45990257648420785</v>
      </c>
      <c r="K40" s="93">
        <f>K39/M39</f>
        <v>0.26168811717155105</v>
      </c>
      <c r="L40" s="93">
        <f>L39/M39</f>
        <v>0.1734696452277659</v>
      </c>
      <c r="M40" s="93"/>
      <c r="N40" s="93">
        <f>N39/M39</f>
        <v>0.10493966111647521</v>
      </c>
      <c r="O40" s="65"/>
      <c r="P40" s="65"/>
      <c r="Q40" s="65"/>
    </row>
    <row r="41" spans="1:17" x14ac:dyDescent="0.2">
      <c r="A41" t="s">
        <v>11</v>
      </c>
      <c r="B41" t="s">
        <v>53</v>
      </c>
      <c r="C41" s="72"/>
      <c r="D41" s="65">
        <v>15.677308432721718</v>
      </c>
      <c r="E41" s="65">
        <v>5.0835272539115701</v>
      </c>
      <c r="F41" s="65">
        <v>4.939750704413318</v>
      </c>
      <c r="G41" s="65">
        <v>28.686492782767726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pans="1:17" x14ac:dyDescent="0.2">
      <c r="A42" t="s">
        <v>11</v>
      </c>
      <c r="B42" t="s">
        <v>54</v>
      </c>
      <c r="C42" s="72"/>
      <c r="D42" s="65">
        <v>0</v>
      </c>
      <c r="E42" s="65">
        <v>1.2506163379166171</v>
      </c>
      <c r="F42" s="65">
        <v>1.2092641860716717</v>
      </c>
      <c r="G42" s="65">
        <v>3.2821736940704489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</row>
    <row r="43" spans="1:17" x14ac:dyDescent="0.2">
      <c r="A43" t="s">
        <v>11</v>
      </c>
      <c r="B43" t="s">
        <v>55</v>
      </c>
      <c r="C43" s="72"/>
      <c r="D43" s="65">
        <v>0</v>
      </c>
      <c r="E43" s="65">
        <v>0.85554925540471882</v>
      </c>
      <c r="F43" s="65">
        <v>2.2833452112800034E-2</v>
      </c>
      <c r="G43" s="65">
        <v>0.8783827075175189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</row>
    <row r="44" spans="1:17" x14ac:dyDescent="0.2">
      <c r="A44" t="s">
        <v>11</v>
      </c>
      <c r="B44" t="s">
        <v>56</v>
      </c>
      <c r="C44" s="72"/>
      <c r="D44" s="65">
        <v>0</v>
      </c>
      <c r="E44" s="65">
        <v>1.4134092998051837</v>
      </c>
      <c r="F44" s="65">
        <v>1.9652308014459001</v>
      </c>
      <c r="G44" s="65">
        <v>3.964787255339485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</row>
    <row r="45" spans="1:17" x14ac:dyDescent="0.2">
      <c r="C45" s="72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</row>
    <row r="46" spans="1:17" x14ac:dyDescent="0.2">
      <c r="A46" t="s">
        <v>12</v>
      </c>
      <c r="B46" t="s">
        <v>51</v>
      </c>
      <c r="C46" s="72">
        <v>4837.1080000000002</v>
      </c>
      <c r="D46" s="65">
        <v>22.604404426751586</v>
      </c>
      <c r="E46" s="65">
        <v>8.7123525357062785</v>
      </c>
      <c r="F46" s="65">
        <v>6.5242462574615256</v>
      </c>
      <c r="G46" s="65">
        <v>42.604106035852304</v>
      </c>
      <c r="H46" s="65"/>
      <c r="I46" s="65"/>
      <c r="J46" s="65">
        <f>D46-(($H$1*$C46)/10000000)</f>
        <v>20.064922726751586</v>
      </c>
      <c r="K46" s="65">
        <f>E46+(($H$1*$C46)/10000000)</f>
        <v>11.251834235706278</v>
      </c>
      <c r="L46" s="65">
        <f>F46</f>
        <v>6.5242462574615256</v>
      </c>
      <c r="M46" s="65">
        <f>G46</f>
        <v>42.604106035852304</v>
      </c>
      <c r="N46" s="65">
        <f>M46-L46-K46-J46</f>
        <v>4.7631028159329141</v>
      </c>
      <c r="O46" s="65"/>
      <c r="P46" s="65"/>
      <c r="Q46" s="65"/>
    </row>
    <row r="47" spans="1:17" x14ac:dyDescent="0.2">
      <c r="A47" t="s">
        <v>12</v>
      </c>
      <c r="B47" t="s">
        <v>52</v>
      </c>
      <c r="C47" s="72"/>
      <c r="D47" s="65">
        <v>6.4248535392683213</v>
      </c>
      <c r="E47" s="65">
        <v>1.4785992772130931</v>
      </c>
      <c r="F47" s="65">
        <v>1.2975062595132185</v>
      </c>
      <c r="G47" s="65">
        <v>9.9793692077233551</v>
      </c>
      <c r="H47" s="65"/>
      <c r="I47" s="65"/>
      <c r="J47" s="93">
        <f>J46/M46</f>
        <v>0.47096218167015419</v>
      </c>
      <c r="K47" s="93">
        <f>K46/M46</f>
        <v>0.2641021085206578</v>
      </c>
      <c r="L47" s="93">
        <f>L46/M46</f>
        <v>0.15313656040502827</v>
      </c>
      <c r="M47" s="93"/>
      <c r="N47" s="93">
        <f>N46/M46</f>
        <v>0.11179914940415971</v>
      </c>
      <c r="O47" s="65"/>
      <c r="P47" s="65"/>
      <c r="Q47" s="65"/>
    </row>
    <row r="48" spans="1:17" x14ac:dyDescent="0.2">
      <c r="A48" t="s">
        <v>12</v>
      </c>
      <c r="B48" t="s">
        <v>53</v>
      </c>
      <c r="C48" s="72"/>
      <c r="D48" s="65">
        <v>16.179550887483266</v>
      </c>
      <c r="E48" s="65">
        <v>4.6986664848700643</v>
      </c>
      <c r="F48" s="65">
        <v>4.1723034506276164</v>
      </c>
      <c r="G48" s="65">
        <v>28.507295155661836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</row>
    <row r="49" spans="1:22" x14ac:dyDescent="0.2">
      <c r="A49" t="s">
        <v>12</v>
      </c>
      <c r="B49" t="s">
        <v>54</v>
      </c>
      <c r="C49" s="72"/>
      <c r="D49" s="65">
        <v>0</v>
      </c>
      <c r="E49" s="65">
        <v>0.9520223090253026</v>
      </c>
      <c r="F49" s="65">
        <v>1.0188319973206916</v>
      </c>
      <c r="G49" s="65">
        <v>2.4194098283899224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</row>
    <row r="50" spans="1:22" x14ac:dyDescent="0.2">
      <c r="A50" t="s">
        <v>12</v>
      </c>
      <c r="B50" t="s">
        <v>55</v>
      </c>
      <c r="C50" s="72"/>
      <c r="D50" s="65">
        <v>0</v>
      </c>
      <c r="E50" s="65">
        <v>1.5830644645978187</v>
      </c>
      <c r="F50" s="65">
        <v>3.5604549999999999E-2</v>
      </c>
      <c r="G50" s="65">
        <v>1.6980318440771927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</row>
    <row r="51" spans="1:22" x14ac:dyDescent="0.2">
      <c r="A51" t="s">
        <v>12</v>
      </c>
      <c r="B51" t="s">
        <v>56</v>
      </c>
      <c r="C51" s="72"/>
      <c r="D51" s="65">
        <v>0</v>
      </c>
      <c r="E51" s="65">
        <v>0.67551981847159193</v>
      </c>
      <c r="F51" s="65">
        <v>1.1908504162178</v>
      </c>
      <c r="G51" s="65">
        <v>2.24699160575345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</row>
    <row r="52" spans="1:22" x14ac:dyDescent="0.2">
      <c r="C52" s="72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</row>
    <row r="53" spans="1:22" x14ac:dyDescent="0.2">
      <c r="A53" t="s">
        <v>13</v>
      </c>
      <c r="B53" t="s">
        <v>51</v>
      </c>
      <c r="C53" s="72">
        <v>4017.2120000000004</v>
      </c>
      <c r="D53" s="65">
        <v>19.585247102936975</v>
      </c>
      <c r="E53" s="65">
        <v>5.5169842206927298</v>
      </c>
      <c r="F53" s="65">
        <v>4.7897480516560895</v>
      </c>
      <c r="G53" s="65">
        <v>34.363569672441159</v>
      </c>
      <c r="H53" s="65"/>
      <c r="I53" s="65"/>
      <c r="J53" s="65">
        <f>D53-(($H$1*$C53)/10000000)</f>
        <v>17.476210802936976</v>
      </c>
      <c r="K53" s="65">
        <f>E53+(($H$1*$C53)/10000000)</f>
        <v>7.6260205206927303</v>
      </c>
      <c r="L53" s="65">
        <f>F53</f>
        <v>4.7897480516560895</v>
      </c>
      <c r="M53" s="65">
        <f>G53</f>
        <v>34.363569672441159</v>
      </c>
      <c r="N53" s="65">
        <f>M53-L53-K53-J53</f>
        <v>4.4715902971553625</v>
      </c>
      <c r="O53" s="65"/>
      <c r="P53" s="65"/>
      <c r="Q53" s="65"/>
    </row>
    <row r="54" spans="1:22" x14ac:dyDescent="0.2">
      <c r="A54" t="s">
        <v>13</v>
      </c>
      <c r="B54" t="s">
        <v>52</v>
      </c>
      <c r="C54" s="72"/>
      <c r="D54" s="65">
        <v>5.2292260467341078</v>
      </c>
      <c r="E54" s="65">
        <v>1.1185113198384753</v>
      </c>
      <c r="F54" s="65">
        <v>1.1071745229509546</v>
      </c>
      <c r="G54" s="65">
        <v>8.1510478807828051</v>
      </c>
      <c r="H54" s="65"/>
      <c r="I54" s="65"/>
      <c r="J54" s="93">
        <f>J53/M53</f>
        <v>0.50856796804065785</v>
      </c>
      <c r="K54" s="93">
        <f>K53/M53</f>
        <v>0.22192166277791081</v>
      </c>
      <c r="L54" s="93">
        <f>L53/M53</f>
        <v>0.13938447307170665</v>
      </c>
      <c r="M54" s="93"/>
      <c r="N54" s="93">
        <f>N53/M53</f>
        <v>0.13012589610972464</v>
      </c>
      <c r="O54" s="65"/>
      <c r="P54" s="65"/>
      <c r="Q54" s="65"/>
    </row>
    <row r="55" spans="1:22" x14ac:dyDescent="0.2">
      <c r="A55" t="s">
        <v>13</v>
      </c>
      <c r="B55" t="s">
        <v>53</v>
      </c>
      <c r="C55" s="72"/>
      <c r="D55" s="65">
        <v>14.356021056202868</v>
      </c>
      <c r="E55" s="65">
        <v>3.2842699411800864</v>
      </c>
      <c r="F55" s="65">
        <v>2.7233650974193786</v>
      </c>
      <c r="G55" s="65">
        <v>23.42834733130119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</row>
    <row r="56" spans="1:22" x14ac:dyDescent="0.2">
      <c r="A56" t="s">
        <v>13</v>
      </c>
      <c r="B56" t="s">
        <v>54</v>
      </c>
      <c r="C56" s="72"/>
      <c r="D56" s="65">
        <v>0</v>
      </c>
      <c r="E56" s="65">
        <v>1.1142029596741683</v>
      </c>
      <c r="F56" s="65">
        <v>0.95920843128575595</v>
      </c>
      <c r="G56" s="65">
        <v>2.7841744603571659</v>
      </c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22" x14ac:dyDescent="0.2">
      <c r="A57" t="s">
        <v>13</v>
      </c>
      <c r="B57" t="s">
        <v>55</v>
      </c>
      <c r="C57" s="72"/>
      <c r="D57" s="65">
        <v>0</v>
      </c>
      <c r="E57" s="65">
        <v>0</v>
      </c>
      <c r="F57" s="65">
        <v>0</v>
      </c>
      <c r="G57" s="65">
        <v>0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</row>
    <row r="58" spans="1:22" x14ac:dyDescent="0.2">
      <c r="A58" t="s">
        <v>13</v>
      </c>
      <c r="B58" t="s">
        <v>56</v>
      </c>
      <c r="C58" s="72"/>
      <c r="D58" s="65">
        <v>0</v>
      </c>
      <c r="E58" s="65">
        <v>7.3496145936359988E-2</v>
      </c>
      <c r="F58" s="65">
        <v>0.20419470525981998</v>
      </c>
      <c r="G58" s="65">
        <v>0.31393012014517735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</row>
    <row r="59" spans="1:22" x14ac:dyDescent="0.2">
      <c r="C59" s="72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</row>
    <row r="60" spans="1:22" x14ac:dyDescent="0.2">
      <c r="A60" t="s">
        <v>38</v>
      </c>
      <c r="B60" t="s">
        <v>51</v>
      </c>
      <c r="C60" s="72">
        <v>2388.4590000000003</v>
      </c>
      <c r="D60" s="65">
        <v>10.411594741220664</v>
      </c>
      <c r="E60" s="65">
        <v>5.5407697836530936</v>
      </c>
      <c r="F60" s="65">
        <v>4.9746650867290585</v>
      </c>
      <c r="G60" s="65">
        <v>24.183560809403041</v>
      </c>
      <c r="H60" s="65"/>
      <c r="I60" s="65"/>
      <c r="J60" s="65">
        <f>D60-(($H$1*$C60)/10000000)</f>
        <v>9.1576537662206636</v>
      </c>
      <c r="K60" s="65">
        <f>E60+(($H$1*$C60)/10000000)</f>
        <v>6.7947107586530935</v>
      </c>
      <c r="L60" s="65">
        <f>F60</f>
        <v>4.9746650867290585</v>
      </c>
      <c r="M60" s="65">
        <f>G60</f>
        <v>24.183560809403041</v>
      </c>
      <c r="N60" s="65">
        <f>M60-L60-K60-J60</f>
        <v>3.2565311978002267</v>
      </c>
      <c r="O60" s="65"/>
      <c r="P60" s="65"/>
      <c r="Q60" s="65"/>
      <c r="R60" s="63"/>
      <c r="S60" s="63"/>
      <c r="T60" s="63"/>
      <c r="U60" s="63"/>
      <c r="V60" s="63"/>
    </row>
    <row r="61" spans="1:22" x14ac:dyDescent="0.2">
      <c r="A61" t="s">
        <v>38</v>
      </c>
      <c r="B61" t="s">
        <v>52</v>
      </c>
      <c r="C61" s="72"/>
      <c r="D61" s="65">
        <v>5.4122636180025863</v>
      </c>
      <c r="E61" s="65">
        <v>1.2489618760671004</v>
      </c>
      <c r="F61" s="65">
        <v>1.1317708824692481</v>
      </c>
      <c r="G61" s="65">
        <v>8.4573442940138737</v>
      </c>
      <c r="H61" s="65"/>
      <c r="I61" s="65"/>
      <c r="J61" s="93">
        <f>J60/M60</f>
        <v>0.3786726792797192</v>
      </c>
      <c r="K61" s="93">
        <f>K60/M60</f>
        <v>0.28096403222850364</v>
      </c>
      <c r="L61" s="93">
        <f>L60/M60</f>
        <v>0.20570440912054652</v>
      </c>
      <c r="M61" s="93"/>
      <c r="N61" s="93">
        <f>N60/M60</f>
        <v>0.13465887937123072</v>
      </c>
      <c r="O61" s="65"/>
      <c r="P61" s="65"/>
      <c r="Q61" s="65"/>
      <c r="R61" s="63"/>
      <c r="S61" s="63"/>
      <c r="T61" s="63"/>
      <c r="U61" s="63"/>
      <c r="V61" s="63"/>
    </row>
    <row r="62" spans="1:22" x14ac:dyDescent="0.2">
      <c r="A62" t="s">
        <v>38</v>
      </c>
      <c r="B62" t="s">
        <v>53</v>
      </c>
      <c r="C62" s="72"/>
      <c r="D62" s="65">
        <v>4.999331123218079</v>
      </c>
      <c r="E62" s="65">
        <v>2.9607929456150992</v>
      </c>
      <c r="F62" s="65">
        <v>2.6581708216863977</v>
      </c>
      <c r="G62" s="65">
        <v>12.137361124109582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3"/>
      <c r="S62" s="63"/>
      <c r="T62" s="63"/>
      <c r="U62" s="63"/>
      <c r="V62" s="63"/>
    </row>
    <row r="63" spans="1:22" x14ac:dyDescent="0.2">
      <c r="A63" t="s">
        <v>38</v>
      </c>
      <c r="B63" t="s">
        <v>54</v>
      </c>
      <c r="C63" s="72"/>
      <c r="D63" s="65"/>
      <c r="E63" s="65">
        <v>1.3310149619708938</v>
      </c>
      <c r="F63" s="65">
        <v>1.1847233825734129</v>
      </c>
      <c r="G63" s="65">
        <v>3.5888553912795826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3"/>
      <c r="S63" s="63"/>
      <c r="T63" s="63"/>
      <c r="U63" s="63"/>
      <c r="V63" s="63"/>
    </row>
    <row r="64" spans="1:22" x14ac:dyDescent="0.2">
      <c r="A64" t="s">
        <v>38</v>
      </c>
      <c r="B64" t="s">
        <v>55</v>
      </c>
      <c r="C64" s="72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3"/>
      <c r="S64" s="63"/>
      <c r="T64" s="63"/>
      <c r="U64" s="63"/>
      <c r="V64" s="63"/>
    </row>
    <row r="65" spans="1:22" x14ac:dyDescent="0.2">
      <c r="A65" t="s">
        <v>38</v>
      </c>
      <c r="B65" t="s">
        <v>56</v>
      </c>
      <c r="C65" s="72"/>
      <c r="D65" s="65"/>
      <c r="E65" s="65">
        <v>0.35581868043623999</v>
      </c>
      <c r="F65" s="65">
        <v>0.50578698044889991</v>
      </c>
      <c r="G65" s="65">
        <v>0.93000578651121069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3"/>
      <c r="S65" s="63"/>
      <c r="T65" s="63"/>
      <c r="U65" s="63"/>
      <c r="V65" s="63"/>
    </row>
    <row r="66" spans="1:22" x14ac:dyDescent="0.2">
      <c r="C66" s="72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3"/>
      <c r="S66" s="63"/>
      <c r="T66" s="63"/>
      <c r="U66" s="63"/>
      <c r="V66" s="63"/>
    </row>
    <row r="67" spans="1:22" x14ac:dyDescent="0.2">
      <c r="A67" t="s">
        <v>15</v>
      </c>
      <c r="B67" t="s">
        <v>51</v>
      </c>
      <c r="C67" s="72">
        <v>2955.085</v>
      </c>
      <c r="D67" s="65">
        <v>12.679622657899362</v>
      </c>
      <c r="E67" s="65">
        <v>8.0655892178522919</v>
      </c>
      <c r="F67" s="65">
        <v>6.5373227946254993</v>
      </c>
      <c r="G67" s="65">
        <v>31.635019834372287</v>
      </c>
      <c r="H67" s="65"/>
      <c r="I67" s="65"/>
      <c r="J67" s="65">
        <f>D67-(($H$1*$C67)/10000000)</f>
        <v>11.128203032899362</v>
      </c>
      <c r="K67" s="65">
        <f>E67+(($H$1*$C67)/10000000)</f>
        <v>9.6170088428522913</v>
      </c>
      <c r="L67" s="65">
        <f>F67</f>
        <v>6.5373227946254993</v>
      </c>
      <c r="M67" s="65">
        <f>G67</f>
        <v>31.635019834372287</v>
      </c>
      <c r="N67" s="65">
        <f>M67-L67-K67-J67</f>
        <v>4.3524851639951336</v>
      </c>
      <c r="O67" s="65"/>
      <c r="P67" s="65"/>
      <c r="Q67" s="65"/>
      <c r="R67" s="63"/>
      <c r="S67" s="63"/>
      <c r="T67" s="63"/>
      <c r="U67" s="63"/>
      <c r="V67" s="63"/>
    </row>
    <row r="68" spans="1:22" x14ac:dyDescent="0.2">
      <c r="A68" t="s">
        <v>15</v>
      </c>
      <c r="B68" t="s">
        <v>52</v>
      </c>
      <c r="C68" s="72"/>
      <c r="D68" s="65">
        <v>6.646028440998947</v>
      </c>
      <c r="E68" s="65">
        <v>1.9115652275725656</v>
      </c>
      <c r="F68" s="65">
        <v>1.5445541759508503</v>
      </c>
      <c r="G68" s="65">
        <v>10.915926307509396</v>
      </c>
      <c r="H68" s="65"/>
      <c r="I68" s="65"/>
      <c r="J68" s="93">
        <f>J67/M67</f>
        <v>0.35176848603737165</v>
      </c>
      <c r="K68" s="93">
        <f>K67/M67</f>
        <v>0.30399882450533999</v>
      </c>
      <c r="L68" s="93">
        <f>L67/M67</f>
        <v>0.20664829131930953</v>
      </c>
      <c r="M68" s="93"/>
      <c r="N68" s="93">
        <f>N67/M67</f>
        <v>0.13758439813797882</v>
      </c>
      <c r="O68" s="65"/>
      <c r="P68" s="65"/>
      <c r="Q68" s="65"/>
    </row>
    <row r="69" spans="1:22" x14ac:dyDescent="0.2">
      <c r="A69" t="s">
        <v>15</v>
      </c>
      <c r="B69" t="s">
        <v>53</v>
      </c>
      <c r="C69" s="72"/>
      <c r="D69" s="65">
        <v>6.0335942169004158</v>
      </c>
      <c r="E69" s="65">
        <v>4.5162081694016747</v>
      </c>
      <c r="F69" s="65">
        <v>3.5224381631662101</v>
      </c>
      <c r="G69" s="65">
        <v>16.643091721656369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22" x14ac:dyDescent="0.2">
      <c r="A70" t="s">
        <v>15</v>
      </c>
      <c r="B70" t="s">
        <v>54</v>
      </c>
      <c r="C70" s="72"/>
      <c r="D70" s="65">
        <v>0</v>
      </c>
      <c r="E70" s="65">
        <v>1.6378158208780518</v>
      </c>
      <c r="F70" s="65">
        <v>1.4703304555084387</v>
      </c>
      <c r="G70" s="65">
        <v>4.0698690610849058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</row>
    <row r="71" spans="1:22" x14ac:dyDescent="0.2">
      <c r="A71" t="s">
        <v>15</v>
      </c>
      <c r="B71" t="s">
        <v>55</v>
      </c>
      <c r="C71" s="72"/>
      <c r="D71" s="65">
        <v>0</v>
      </c>
      <c r="E71" s="65">
        <v>0</v>
      </c>
      <c r="F71" s="65">
        <v>0</v>
      </c>
      <c r="G71" s="65">
        <v>0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</row>
    <row r="72" spans="1:22" x14ac:dyDescent="0.2">
      <c r="A72" t="s">
        <v>15</v>
      </c>
      <c r="B72" t="s">
        <v>56</v>
      </c>
      <c r="C72" s="72"/>
      <c r="D72" s="65"/>
      <c r="E72" s="65">
        <v>1.0097721226515599</v>
      </c>
      <c r="F72" s="65">
        <v>1.0960856572376101</v>
      </c>
      <c r="G72" s="65">
        <v>2.3473042801674735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</row>
    <row r="73" spans="1:22" x14ac:dyDescent="0.2">
      <c r="C73" s="72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</row>
    <row r="74" spans="1:22" x14ac:dyDescent="0.2">
      <c r="A74" t="s">
        <v>16</v>
      </c>
      <c r="B74" t="s">
        <v>51</v>
      </c>
      <c r="C74" s="72">
        <v>3036.8820000000001</v>
      </c>
      <c r="D74" s="65">
        <v>12.307812877181822</v>
      </c>
      <c r="E74" s="65">
        <v>6.0838996637127085</v>
      </c>
      <c r="F74" s="65">
        <v>6.2523315402811761</v>
      </c>
      <c r="G74" s="65">
        <v>29.744408228791698</v>
      </c>
      <c r="H74" s="65"/>
      <c r="I74" s="65"/>
      <c r="J74" s="65">
        <f>D74-(($H$1*$C74)/10000000)</f>
        <v>10.713449827181822</v>
      </c>
      <c r="K74" s="65">
        <f>E74+(($H$1*$C74)/10000000)</f>
        <v>7.6782627137127086</v>
      </c>
      <c r="L74" s="65">
        <f>F74</f>
        <v>6.2523315402811761</v>
      </c>
      <c r="M74" s="65">
        <f>G74</f>
        <v>29.744408228791698</v>
      </c>
      <c r="N74" s="65">
        <f>M74-L74-K74-J74</f>
        <v>5.1003641476159913</v>
      </c>
      <c r="O74" s="65"/>
      <c r="P74" s="65"/>
      <c r="Q74" s="65"/>
    </row>
    <row r="75" spans="1:22" x14ac:dyDescent="0.2">
      <c r="A75" t="s">
        <v>16</v>
      </c>
      <c r="B75" t="s">
        <v>52</v>
      </c>
      <c r="D75" s="65">
        <v>6.8086761081430085</v>
      </c>
      <c r="E75" s="65">
        <v>2.0505515166339885</v>
      </c>
      <c r="F75" s="65">
        <v>2.037090705534093</v>
      </c>
      <c r="G75" s="65">
        <v>11.80605340696378</v>
      </c>
      <c r="H75" s="65"/>
      <c r="I75" s="65"/>
      <c r="J75" s="93">
        <f>J74/M74</f>
        <v>0.36018366022866521</v>
      </c>
      <c r="K75" s="93">
        <f>K74/M74</f>
        <v>0.25814138424446381</v>
      </c>
      <c r="L75" s="93">
        <f>L74/M74</f>
        <v>0.21020191399300073</v>
      </c>
      <c r="M75" s="93"/>
      <c r="N75" s="93">
        <f>N74/M74</f>
        <v>0.17147304153387027</v>
      </c>
      <c r="O75" s="65"/>
      <c r="P75" s="65"/>
      <c r="Q75" s="65"/>
    </row>
    <row r="76" spans="1:22" x14ac:dyDescent="0.2">
      <c r="A76" t="s">
        <v>16</v>
      </c>
      <c r="B76" t="s">
        <v>53</v>
      </c>
      <c r="D76" s="65">
        <v>5.4991367690388131</v>
      </c>
      <c r="E76" s="65">
        <v>2.8110933576736477</v>
      </c>
      <c r="F76" s="65">
        <v>3.1650402868017187</v>
      </c>
      <c r="G76" s="65">
        <v>14.897850964291774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</row>
    <row r="77" spans="1:22" x14ac:dyDescent="0.2">
      <c r="A77" t="s">
        <v>16</v>
      </c>
      <c r="B77" t="s">
        <v>54</v>
      </c>
      <c r="D77" s="65">
        <v>0</v>
      </c>
      <c r="E77" s="65">
        <v>1.2222547894050713</v>
      </c>
      <c r="F77" s="65">
        <v>1.0502005479453642</v>
      </c>
      <c r="G77" s="65">
        <v>3.0405038575361334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</row>
    <row r="78" spans="1:22" x14ac:dyDescent="0.2">
      <c r="A78" t="s">
        <v>16</v>
      </c>
      <c r="B78" t="s">
        <v>55</v>
      </c>
      <c r="D78" s="65">
        <v>0</v>
      </c>
      <c r="E78" s="65">
        <v>0</v>
      </c>
      <c r="F78" s="65">
        <v>0</v>
      </c>
      <c r="G78" s="65">
        <v>0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</row>
    <row r="79" spans="1:22" x14ac:dyDescent="0.2">
      <c r="A79" t="s">
        <v>16</v>
      </c>
      <c r="B79" t="s">
        <v>56</v>
      </c>
      <c r="D79" s="65">
        <v>0.1733383685394958</v>
      </c>
      <c r="E79" s="65">
        <v>0.81860047522799595</v>
      </c>
      <c r="F79" s="65">
        <v>1.318566112111164</v>
      </c>
      <c r="G79" s="65">
        <v>2.804038445728581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</row>
    <row r="81" spans="1:14" x14ac:dyDescent="0.2">
      <c r="A81" t="s">
        <v>17</v>
      </c>
      <c r="B81" t="s">
        <v>51</v>
      </c>
      <c r="C81" s="72">
        <v>4183.4699999999993</v>
      </c>
      <c r="D81" s="65">
        <v>17.67884910243917</v>
      </c>
      <c r="E81" s="65">
        <v>7.1572111718529507</v>
      </c>
      <c r="F81" s="65">
        <v>5.9699215493014259</v>
      </c>
      <c r="G81" s="65">
        <v>37.829609708306599</v>
      </c>
      <c r="J81" s="65">
        <f>D81-(($H$1*$C81)/10000000)</f>
        <v>15.48252735243917</v>
      </c>
      <c r="K81" s="65">
        <f>E81+(($H$1*$C81)/10000000)</f>
        <v>9.3535329218529508</v>
      </c>
      <c r="L81" s="65">
        <f>F81</f>
        <v>5.9699215493014259</v>
      </c>
      <c r="M81" s="65">
        <f>G81</f>
        <v>37.829609708306599</v>
      </c>
      <c r="N81" s="65">
        <f>M81-L81-K81-J81</f>
        <v>7.0236278847130507</v>
      </c>
    </row>
    <row r="82" spans="1:14" x14ac:dyDescent="0.2">
      <c r="A82" t="s">
        <v>17</v>
      </c>
      <c r="B82" t="s">
        <v>52</v>
      </c>
      <c r="C82" s="72"/>
      <c r="D82" s="65">
        <v>5.9133106474890997</v>
      </c>
      <c r="E82" s="65">
        <v>1.7139082064362217</v>
      </c>
      <c r="F82" s="65">
        <v>1.4442237045218209</v>
      </c>
      <c r="G82" s="65">
        <v>9.8249399767988663</v>
      </c>
      <c r="J82" s="93">
        <f>J81/M81</f>
        <v>0.40927007896249928</v>
      </c>
      <c r="K82" s="93">
        <f>K81/M81</f>
        <v>0.24725428028402599</v>
      </c>
      <c r="L82" s="93">
        <f>L81/M81</f>
        <v>0.15781081526703022</v>
      </c>
      <c r="M82" s="93"/>
      <c r="N82" s="93">
        <f>N81/M81</f>
        <v>0.18566482548644447</v>
      </c>
    </row>
    <row r="83" spans="1:14" x14ac:dyDescent="0.2">
      <c r="A83" t="s">
        <v>17</v>
      </c>
      <c r="B83" t="s">
        <v>53</v>
      </c>
      <c r="C83" s="72"/>
      <c r="D83" s="65">
        <v>11.765538454950068</v>
      </c>
      <c r="E83" s="65">
        <v>3.5565950080842335</v>
      </c>
      <c r="F83" s="65">
        <v>3.0707469337709679</v>
      </c>
      <c r="G83" s="65">
        <v>23.638568944026296</v>
      </c>
    </row>
    <row r="84" spans="1:14" x14ac:dyDescent="0.2">
      <c r="A84" t="s">
        <v>17</v>
      </c>
      <c r="B84" t="s">
        <v>54</v>
      </c>
      <c r="C84" s="72"/>
      <c r="D84" s="65">
        <v>0</v>
      </c>
      <c r="E84" s="65">
        <v>1.8867079573324952</v>
      </c>
      <c r="F84" s="65">
        <v>1.4549509110086367</v>
      </c>
      <c r="G84" s="65">
        <v>4.3661007874814333</v>
      </c>
    </row>
    <row r="85" spans="1:14" x14ac:dyDescent="0.2">
      <c r="A85" t="s">
        <v>17</v>
      </c>
      <c r="B85" t="s">
        <v>55</v>
      </c>
      <c r="C85" s="72"/>
      <c r="D85" s="65">
        <v>0</v>
      </c>
      <c r="E85" s="65">
        <v>0</v>
      </c>
      <c r="F85" s="65">
        <v>0</v>
      </c>
      <c r="G85" s="65">
        <v>0</v>
      </c>
    </row>
    <row r="86" spans="1:14" x14ac:dyDescent="0.2">
      <c r="A86" t="s">
        <v>17</v>
      </c>
      <c r="B86" t="s">
        <v>56</v>
      </c>
      <c r="C86" s="72"/>
      <c r="D86" s="65">
        <v>9.9730658856859652E-2</v>
      </c>
      <c r="E86" s="65">
        <v>0.65110241377436195</v>
      </c>
      <c r="F86" s="65">
        <v>0.94700802219470503</v>
      </c>
      <c r="G86" s="65">
        <v>2.0065297969344691</v>
      </c>
    </row>
    <row r="88" spans="1:14" x14ac:dyDescent="0.2">
      <c r="A88" t="s">
        <v>18</v>
      </c>
      <c r="B88" t="s">
        <v>51</v>
      </c>
      <c r="C88" s="65">
        <v>3238.0740000000005</v>
      </c>
      <c r="D88" s="65">
        <v>13.518518238187061</v>
      </c>
      <c r="E88" s="65">
        <v>6.813964918576672</v>
      </c>
      <c r="F88" s="65">
        <v>5.1848673931028211</v>
      </c>
      <c r="G88" s="65">
        <v>30.62029281990144</v>
      </c>
      <c r="H88" s="65"/>
      <c r="I88" s="65"/>
      <c r="J88" s="65">
        <f>D88-(($H$1*$C88)/10000000)</f>
        <v>11.818529388187061</v>
      </c>
      <c r="K88" s="65">
        <f>E88+(($H$1*$C88)/10000000)</f>
        <v>8.5139537685766733</v>
      </c>
      <c r="L88" s="65">
        <f>F88</f>
        <v>5.1848673931028211</v>
      </c>
      <c r="M88" s="65">
        <f>G88</f>
        <v>30.62029281990144</v>
      </c>
      <c r="N88" s="65">
        <f>M88-L88-K88-J88</f>
        <v>5.1029422700348857</v>
      </c>
    </row>
    <row r="89" spans="1:14" x14ac:dyDescent="0.2">
      <c r="A89" t="s">
        <v>18</v>
      </c>
      <c r="B89" t="s">
        <v>52</v>
      </c>
      <c r="C89" s="65"/>
      <c r="D89" s="65"/>
      <c r="E89" s="65"/>
      <c r="F89" s="65"/>
      <c r="G89" s="65"/>
      <c r="H89" s="65"/>
      <c r="I89" s="65"/>
      <c r="J89" s="93">
        <f>J88/M88</f>
        <v>0.38597048884214757</v>
      </c>
      <c r="K89" s="93">
        <f>K88/M88</f>
        <v>0.27804939092689179</v>
      </c>
      <c r="L89" s="93">
        <f>L88/M88</f>
        <v>0.16932781876380207</v>
      </c>
      <c r="M89" s="93"/>
      <c r="N89" s="93">
        <f>N88/M88</f>
        <v>0.16665230146715856</v>
      </c>
    </row>
    <row r="90" spans="1:14" x14ac:dyDescent="0.2">
      <c r="A90" t="s">
        <v>18</v>
      </c>
      <c r="B90" t="s">
        <v>53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</row>
    <row r="91" spans="1:14" x14ac:dyDescent="0.2">
      <c r="A91" t="s">
        <v>18</v>
      </c>
      <c r="B91" t="s">
        <v>54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</row>
    <row r="92" spans="1:14" x14ac:dyDescent="0.2">
      <c r="A92" t="s">
        <v>18</v>
      </c>
      <c r="B92" t="s">
        <v>55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</row>
    <row r="93" spans="1:14" x14ac:dyDescent="0.2">
      <c r="A93" t="s">
        <v>18</v>
      </c>
      <c r="B93" t="s">
        <v>56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</row>
    <row r="94" spans="1:14" x14ac:dyDescent="0.2"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</row>
    <row r="95" spans="1:14" x14ac:dyDescent="0.2"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</row>
    <row r="96" spans="1:14" x14ac:dyDescent="0.2">
      <c r="A96" t="s">
        <v>19</v>
      </c>
      <c r="B96" t="s">
        <v>51</v>
      </c>
      <c r="C96" s="65">
        <v>4117.704999999999</v>
      </c>
      <c r="D96" s="65">
        <v>17.595426941762561</v>
      </c>
      <c r="E96" s="65">
        <v>5.4124509148769588</v>
      </c>
      <c r="F96" s="65">
        <v>5.1803087065992406</v>
      </c>
      <c r="G96" s="65">
        <v>34.164152461547431</v>
      </c>
      <c r="H96" s="65"/>
      <c r="I96" s="65"/>
      <c r="J96" s="65">
        <f>D96-(($H$1*$C96)/10000000)</f>
        <v>15.433631816762562</v>
      </c>
      <c r="K96" s="65">
        <f>E96+(($H$1*$C96)/10000000)</f>
        <v>7.5742460398769591</v>
      </c>
      <c r="L96" s="65">
        <f>F96</f>
        <v>5.1803087065992406</v>
      </c>
      <c r="M96" s="65">
        <f>G96</f>
        <v>34.164152461547431</v>
      </c>
      <c r="N96" s="65">
        <f>M96-L96-K96-J96</f>
        <v>5.975965898308667</v>
      </c>
    </row>
    <row r="97" spans="1:15" x14ac:dyDescent="0.2">
      <c r="A97" t="s">
        <v>19</v>
      </c>
      <c r="B97" t="s">
        <v>52</v>
      </c>
      <c r="J97" s="93">
        <f>J96/M96</f>
        <v>0.45174929581916257</v>
      </c>
      <c r="K97" s="93">
        <f>K96/M96</f>
        <v>0.22170156418784145</v>
      </c>
      <c r="L97" s="93">
        <f>L96/M96</f>
        <v>0.15162994932860699</v>
      </c>
      <c r="M97" s="93"/>
      <c r="N97" s="93">
        <f>N96/M96</f>
        <v>0.17491919066438891</v>
      </c>
    </row>
    <row r="98" spans="1:15" x14ac:dyDescent="0.2">
      <c r="A98" t="s">
        <v>19</v>
      </c>
      <c r="B98" t="s">
        <v>53</v>
      </c>
    </row>
    <row r="99" spans="1:15" x14ac:dyDescent="0.2">
      <c r="A99" t="s">
        <v>19</v>
      </c>
      <c r="B99" t="s">
        <v>54</v>
      </c>
    </row>
    <row r="100" spans="1:15" x14ac:dyDescent="0.2">
      <c r="A100" t="s">
        <v>19</v>
      </c>
      <c r="B100" t="s">
        <v>55</v>
      </c>
    </row>
    <row r="101" spans="1:15" x14ac:dyDescent="0.2">
      <c r="A101" t="s">
        <v>19</v>
      </c>
      <c r="B101" t="s">
        <v>56</v>
      </c>
    </row>
    <row r="103" spans="1:15" x14ac:dyDescent="0.2">
      <c r="A103" t="s">
        <v>20</v>
      </c>
      <c r="B103" t="s">
        <v>51</v>
      </c>
      <c r="C103" s="65">
        <v>5110</v>
      </c>
      <c r="D103" s="65">
        <v>21.038405873254778</v>
      </c>
      <c r="E103" s="65">
        <v>7.9452204645180169</v>
      </c>
      <c r="F103" s="65">
        <v>6.5459685866690354</v>
      </c>
      <c r="G103" s="65">
        <v>43.432265175004318</v>
      </c>
      <c r="J103" s="65">
        <f>D103-(($H$1*$C103)/10000000)</f>
        <v>18.355655873254779</v>
      </c>
      <c r="K103" s="65">
        <f>E103+(($H$1*$C103)/10000000)</f>
        <v>10.627970464518016</v>
      </c>
      <c r="L103" s="65">
        <f>F103</f>
        <v>6.5459685866690354</v>
      </c>
      <c r="M103" s="65">
        <f>G103</f>
        <v>43.432265175004318</v>
      </c>
      <c r="N103" s="65">
        <f>M103-L103-K103-J103</f>
        <v>7.9026702505624904</v>
      </c>
    </row>
    <row r="104" spans="1:15" x14ac:dyDescent="0.2">
      <c r="A104" t="s">
        <v>20</v>
      </c>
      <c r="C104" s="65"/>
      <c r="D104" s="65"/>
      <c r="E104" s="65"/>
      <c r="F104" s="65"/>
      <c r="G104" s="65"/>
      <c r="J104" s="93">
        <f>J103/M103</f>
        <v>0.42262718279355677</v>
      </c>
      <c r="K104" s="93">
        <f>K103/M103</f>
        <v>0.2447021913707258</v>
      </c>
      <c r="L104" s="93">
        <f>L103/M103</f>
        <v>0.15071672085931873</v>
      </c>
      <c r="M104" s="93"/>
      <c r="N104" s="93">
        <f>N103/M103</f>
        <v>0.18195390497639879</v>
      </c>
    </row>
    <row r="105" spans="1:15" x14ac:dyDescent="0.2">
      <c r="A105" t="s">
        <v>20</v>
      </c>
      <c r="C105" s="65"/>
      <c r="D105" s="65"/>
      <c r="E105" s="65"/>
      <c r="F105" s="65"/>
      <c r="G105" s="65"/>
    </row>
    <row r="106" spans="1:15" x14ac:dyDescent="0.2">
      <c r="A106" t="s">
        <v>20</v>
      </c>
      <c r="C106" s="65"/>
      <c r="D106" s="65"/>
      <c r="E106" s="65"/>
      <c r="F106" s="65"/>
      <c r="G106" s="65"/>
    </row>
    <row r="107" spans="1:15" x14ac:dyDescent="0.2">
      <c r="A107" t="s">
        <v>20</v>
      </c>
      <c r="C107" s="65"/>
      <c r="D107" s="65"/>
      <c r="E107" s="65"/>
      <c r="F107" s="65"/>
      <c r="G107" s="65"/>
    </row>
    <row r="108" spans="1:15" x14ac:dyDescent="0.2">
      <c r="A108" t="s">
        <v>20</v>
      </c>
      <c r="C108" s="65"/>
      <c r="D108" s="65"/>
      <c r="E108" s="65"/>
      <c r="F108" s="65"/>
      <c r="G108" s="65"/>
      <c r="O108" s="93"/>
    </row>
    <row r="109" spans="1:15" x14ac:dyDescent="0.2">
      <c r="C109" s="65"/>
      <c r="D109" s="65"/>
      <c r="E109" s="65"/>
      <c r="F109" s="65"/>
      <c r="G109" s="65"/>
    </row>
    <row r="110" spans="1:15" x14ac:dyDescent="0.2">
      <c r="A110" t="s">
        <v>336</v>
      </c>
      <c r="B110" t="s">
        <v>51</v>
      </c>
      <c r="C110" s="65">
        <v>4181</v>
      </c>
      <c r="D110" s="65">
        <v>18.826758476214625</v>
      </c>
      <c r="E110" s="65">
        <v>6.4376547911361524</v>
      </c>
      <c r="F110" s="65">
        <v>5.7323749790424232</v>
      </c>
      <c r="G110" s="65">
        <v>36.159593124967401</v>
      </c>
      <c r="J110" s="65">
        <f>D110-(($H$1*$C110)/10000000)</f>
        <v>16.631733476214624</v>
      </c>
      <c r="K110" s="65">
        <f>E110+(($H$1*$C110)/10000000)</f>
        <v>8.6326797911361517</v>
      </c>
      <c r="L110" s="65">
        <f>F110</f>
        <v>5.7323749790424232</v>
      </c>
      <c r="M110" s="65">
        <f>G110</f>
        <v>36.159593124967401</v>
      </c>
      <c r="N110" s="65">
        <f>M110-L110-K110-J110</f>
        <v>5.1628048785742031</v>
      </c>
    </row>
    <row r="111" spans="1:15" x14ac:dyDescent="0.2">
      <c r="A111" t="s">
        <v>336</v>
      </c>
      <c r="C111" s="65"/>
      <c r="D111" s="65"/>
      <c r="E111" s="65"/>
      <c r="F111" s="65"/>
      <c r="G111" s="65"/>
      <c r="J111" s="93">
        <f>J110/M110</f>
        <v>0.45995355696441115</v>
      </c>
      <c r="K111" s="93">
        <f>K110/M110</f>
        <v>0.23873829999418542</v>
      </c>
      <c r="L111" s="93">
        <f>L110/M110</f>
        <v>0.15852985290048369</v>
      </c>
      <c r="M111" s="93"/>
      <c r="N111" s="93">
        <f>N110/M110</f>
        <v>0.14277829014091975</v>
      </c>
    </row>
    <row r="112" spans="1:15" x14ac:dyDescent="0.2">
      <c r="A112" t="s">
        <v>336</v>
      </c>
      <c r="C112" s="65"/>
      <c r="D112" s="65"/>
      <c r="E112" s="65"/>
      <c r="F112" s="65"/>
      <c r="G112" s="65"/>
    </row>
    <row r="113" spans="1:14" x14ac:dyDescent="0.2">
      <c r="A113" t="s">
        <v>336</v>
      </c>
      <c r="C113" s="65"/>
      <c r="D113" s="65"/>
      <c r="E113" s="65"/>
      <c r="F113" s="65"/>
      <c r="G113" s="65"/>
    </row>
    <row r="114" spans="1:14" x14ac:dyDescent="0.2">
      <c r="A114" t="s">
        <v>336</v>
      </c>
      <c r="C114" s="65"/>
      <c r="D114" s="65"/>
      <c r="E114" s="65"/>
      <c r="F114" s="65"/>
      <c r="G114" s="65"/>
    </row>
    <row r="115" spans="1:14" x14ac:dyDescent="0.2">
      <c r="A115" t="s">
        <v>336</v>
      </c>
      <c r="C115" s="65"/>
      <c r="D115" s="65"/>
      <c r="E115" s="65"/>
      <c r="F115" s="65"/>
      <c r="G115" s="65"/>
    </row>
    <row r="116" spans="1:14" x14ac:dyDescent="0.2">
      <c r="C116" s="65"/>
      <c r="D116" s="65"/>
      <c r="E116" s="65"/>
      <c r="F116" s="65"/>
      <c r="G116" s="65"/>
    </row>
    <row r="117" spans="1:14" x14ac:dyDescent="0.2">
      <c r="A117" t="s">
        <v>337</v>
      </c>
      <c r="B117" t="s">
        <v>51</v>
      </c>
      <c r="C117" s="65">
        <v>3605.2700000000004</v>
      </c>
      <c r="D117" s="65">
        <v>14.853163063880913</v>
      </c>
      <c r="E117" s="65">
        <v>7.4157099398602542</v>
      </c>
      <c r="F117" s="65">
        <v>6.0717103261004661</v>
      </c>
      <c r="G117" s="65">
        <v>33.167549711194305</v>
      </c>
      <c r="J117" s="65">
        <f>D117-(($H$1*$C117)/10000000)</f>
        <v>12.960396313880914</v>
      </c>
      <c r="K117" s="65">
        <f>E117+(($H$1*$C117)/10000000)</f>
        <v>9.3084766898602549</v>
      </c>
      <c r="L117" s="65">
        <f>F117</f>
        <v>6.0717103261004661</v>
      </c>
      <c r="M117" s="65">
        <f>G117</f>
        <v>33.167549711194305</v>
      </c>
      <c r="N117" s="65">
        <f>M117-L117-K117-J117</f>
        <v>4.8269663813526691</v>
      </c>
    </row>
    <row r="118" spans="1:14" x14ac:dyDescent="0.2">
      <c r="A118" t="s">
        <v>337</v>
      </c>
      <c r="J118" s="93">
        <f>J117/M117</f>
        <v>0.39075531435795752</v>
      </c>
      <c r="K118" s="93">
        <f>K117/M117</f>
        <v>0.28065011648173011</v>
      </c>
      <c r="L118" s="93">
        <f>L117/M117</f>
        <v>0.18306176907759988</v>
      </c>
      <c r="M118" s="93"/>
      <c r="N118" s="93">
        <f>N117/M117</f>
        <v>0.14553280008271249</v>
      </c>
    </row>
    <row r="119" spans="1:14" x14ac:dyDescent="0.2">
      <c r="A119" t="s">
        <v>337</v>
      </c>
    </row>
    <row r="120" spans="1:14" x14ac:dyDescent="0.2">
      <c r="A120" t="s">
        <v>337</v>
      </c>
    </row>
    <row r="121" spans="1:14" x14ac:dyDescent="0.2">
      <c r="A121" t="s">
        <v>337</v>
      </c>
    </row>
    <row r="122" spans="1:14" x14ac:dyDescent="0.2">
      <c r="A122" t="s">
        <v>337</v>
      </c>
    </row>
    <row r="124" spans="1:14" x14ac:dyDescent="0.2">
      <c r="A124" t="s">
        <v>338</v>
      </c>
      <c r="B124" t="s">
        <v>51</v>
      </c>
      <c r="C124" s="65">
        <v>4247.6990000000005</v>
      </c>
      <c r="D124" s="65">
        <v>20.461143195260906</v>
      </c>
      <c r="E124" s="65">
        <v>7.1991922797647803</v>
      </c>
      <c r="F124" s="65">
        <v>5.9072265824962695</v>
      </c>
      <c r="G124" s="65">
        <v>39.064038991306091</v>
      </c>
      <c r="J124" s="65">
        <f>D124-(($H$1*$C124)/10000000)</f>
        <v>18.231101220260907</v>
      </c>
      <c r="K124" s="65">
        <f>E124+(($H$1*$C124)/10000000)</f>
        <v>9.4292342547647809</v>
      </c>
      <c r="L124" s="65">
        <f>F124</f>
        <v>5.9072265824962695</v>
      </c>
      <c r="M124" s="65">
        <f>G124</f>
        <v>39.064038991306091</v>
      </c>
      <c r="N124" s="65">
        <f>M124-L124-K124-J124</f>
        <v>5.4964769337841339</v>
      </c>
    </row>
    <row r="125" spans="1:14" x14ac:dyDescent="0.2">
      <c r="A125" t="s">
        <v>338</v>
      </c>
      <c r="J125" s="93">
        <f>J124/M124</f>
        <v>0.46669780419578055</v>
      </c>
      <c r="K125" s="93">
        <f>K124/M124</f>
        <v>0.24137888703375773</v>
      </c>
      <c r="L125" s="93">
        <f>L124/M124</f>
        <v>0.15121904275722625</v>
      </c>
      <c r="M125" s="93"/>
      <c r="N125" s="93">
        <f>N124/M124</f>
        <v>0.14070426601323544</v>
      </c>
    </row>
    <row r="126" spans="1:14" x14ac:dyDescent="0.2">
      <c r="A126" t="s">
        <v>338</v>
      </c>
    </row>
    <row r="127" spans="1:14" x14ac:dyDescent="0.2">
      <c r="A127" t="s">
        <v>338</v>
      </c>
    </row>
    <row r="128" spans="1:14" x14ac:dyDescent="0.2">
      <c r="A128" t="s">
        <v>338</v>
      </c>
    </row>
    <row r="129" spans="1:14" x14ac:dyDescent="0.2">
      <c r="A129" t="s">
        <v>338</v>
      </c>
    </row>
    <row r="131" spans="1:14" x14ac:dyDescent="0.2">
      <c r="A131" t="s">
        <v>339</v>
      </c>
      <c r="B131" t="s">
        <v>51</v>
      </c>
      <c r="C131" s="65">
        <v>3939</v>
      </c>
      <c r="D131" s="65">
        <v>19.166932331676627</v>
      </c>
      <c r="E131" s="65">
        <v>5.4831511669124442</v>
      </c>
      <c r="F131" s="65">
        <v>5.5341494716493047</v>
      </c>
      <c r="G131" s="65">
        <v>35.829314128327987</v>
      </c>
      <c r="J131" s="65">
        <f>D131-(($H$1*$C131)/10000000)</f>
        <v>17.098957331676626</v>
      </c>
      <c r="K131" s="65">
        <f>E131+(($H$1*$C131)/10000000)</f>
        <v>7.5511261669124448</v>
      </c>
      <c r="L131" s="65">
        <f>F131</f>
        <v>5.5341494716493047</v>
      </c>
      <c r="M131" s="65">
        <f>G131</f>
        <v>35.829314128327987</v>
      </c>
      <c r="N131" s="65">
        <f>M131-L131-K131-J131</f>
        <v>5.6450811580896136</v>
      </c>
    </row>
    <row r="132" spans="1:14" x14ac:dyDescent="0.2">
      <c r="A132" t="s">
        <v>339</v>
      </c>
      <c r="J132" s="93">
        <f>J131/M131</f>
        <v>0.47723373298283583</v>
      </c>
      <c r="K132" s="93">
        <f>K131/M131</f>
        <v>0.21075274117352538</v>
      </c>
      <c r="L132" s="93">
        <f>L131/M131</f>
        <v>0.15445870528885733</v>
      </c>
      <c r="M132" s="93"/>
      <c r="N132" s="93">
        <f>N131/M131</f>
        <v>0.15755482055478151</v>
      </c>
    </row>
    <row r="133" spans="1:14" x14ac:dyDescent="0.2">
      <c r="A133" t="s">
        <v>339</v>
      </c>
    </row>
    <row r="134" spans="1:14" x14ac:dyDescent="0.2">
      <c r="A134" t="s">
        <v>339</v>
      </c>
    </row>
    <row r="135" spans="1:14" x14ac:dyDescent="0.2">
      <c r="A135" t="s">
        <v>339</v>
      </c>
    </row>
    <row r="136" spans="1:14" x14ac:dyDescent="0.2">
      <c r="A136" t="s">
        <v>339</v>
      </c>
    </row>
    <row r="139" spans="1:14" x14ac:dyDescent="0.2">
      <c r="A139" t="s">
        <v>379</v>
      </c>
      <c r="B139" t="s">
        <v>51</v>
      </c>
      <c r="C139" s="65">
        <v>3632.5480000000002</v>
      </c>
      <c r="D139" s="65">
        <v>16.961085909710107</v>
      </c>
      <c r="E139" s="65">
        <v>6.419739935980922</v>
      </c>
      <c r="F139" s="65">
        <v>5.9498311938847639</v>
      </c>
      <c r="G139" s="65">
        <v>34.769572289010569</v>
      </c>
      <c r="J139" s="65">
        <f>D139-(($H$1*$C139)/10000000)</f>
        <v>15.053998209710107</v>
      </c>
      <c r="K139" s="65">
        <f>E139+(($H$1*$C139)/10000000)</f>
        <v>8.3268276359809228</v>
      </c>
      <c r="L139" s="65">
        <f>F139</f>
        <v>5.9498311938847639</v>
      </c>
      <c r="M139" s="65">
        <f>G139</f>
        <v>34.769572289010569</v>
      </c>
      <c r="N139" s="65">
        <f>M139-L139-K139-J139</f>
        <v>5.4389152494347766</v>
      </c>
    </row>
    <row r="140" spans="1:14" x14ac:dyDescent="0.2">
      <c r="A140" t="s">
        <v>379</v>
      </c>
      <c r="J140" s="93">
        <f>J139/M139</f>
        <v>0.43296472227437044</v>
      </c>
      <c r="K140" s="93">
        <f>K139/M139</f>
        <v>0.23948605311468668</v>
      </c>
      <c r="L140" s="93">
        <f>L139/M139</f>
        <v>0.17112178270209252</v>
      </c>
      <c r="M140" s="93"/>
      <c r="N140" s="93">
        <f>N139/M139</f>
        <v>0.15642744190885044</v>
      </c>
    </row>
    <row r="141" spans="1:14" x14ac:dyDescent="0.2">
      <c r="A141" t="s">
        <v>379</v>
      </c>
    </row>
    <row r="142" spans="1:14" x14ac:dyDescent="0.2">
      <c r="A142" t="s">
        <v>379</v>
      </c>
    </row>
    <row r="143" spans="1:14" x14ac:dyDescent="0.2">
      <c r="A143" t="s">
        <v>379</v>
      </c>
    </row>
    <row r="144" spans="1:14" x14ac:dyDescent="0.2">
      <c r="A144" t="s">
        <v>379</v>
      </c>
    </row>
    <row r="147" spans="1:14" x14ac:dyDescent="0.2">
      <c r="A147" t="s">
        <v>380</v>
      </c>
      <c r="B147" t="s">
        <v>51</v>
      </c>
      <c r="C147" s="65">
        <v>2367.4</v>
      </c>
      <c r="D147" s="65">
        <v>13.8</v>
      </c>
      <c r="E147" s="65">
        <v>6.35</v>
      </c>
      <c r="F147" s="65">
        <v>4.78</v>
      </c>
      <c r="G147" s="65">
        <v>31.17</v>
      </c>
      <c r="J147" s="65">
        <f>D147-(($H$1*$C147)/10000000)</f>
        <v>12.557115000000001</v>
      </c>
      <c r="K147" s="65">
        <f>E147+(($H$1*$C147)/10000000)</f>
        <v>7.5928849999999999</v>
      </c>
      <c r="L147" s="65">
        <f>F147</f>
        <v>4.78</v>
      </c>
      <c r="M147" s="65">
        <f>G147</f>
        <v>31.17</v>
      </c>
      <c r="N147" s="65">
        <f>M147-L147-K147-J147</f>
        <v>6.24</v>
      </c>
    </row>
    <row r="148" spans="1:14" x14ac:dyDescent="0.2">
      <c r="A148" t="s">
        <v>380</v>
      </c>
      <c r="J148" s="93">
        <f>J147/M147</f>
        <v>0.40285899903753614</v>
      </c>
      <c r="K148" s="93">
        <f>K147/M147</f>
        <v>0.24359592556945781</v>
      </c>
      <c r="L148" s="93">
        <f>L147/M147</f>
        <v>0.15335258261148541</v>
      </c>
      <c r="M148" s="93"/>
      <c r="N148" s="93">
        <f>N147/M147</f>
        <v>0.20019249278152068</v>
      </c>
    </row>
    <row r="149" spans="1:14" x14ac:dyDescent="0.2">
      <c r="A149" t="s">
        <v>380</v>
      </c>
    </row>
    <row r="150" spans="1:14" x14ac:dyDescent="0.2">
      <c r="A150" t="s">
        <v>380</v>
      </c>
      <c r="J150" s="65"/>
      <c r="K150" s="65"/>
      <c r="L150" s="65"/>
      <c r="M150" s="65"/>
      <c r="N150" s="65"/>
    </row>
    <row r="151" spans="1:14" x14ac:dyDescent="0.2">
      <c r="A151" t="s">
        <v>380</v>
      </c>
      <c r="J151" s="93"/>
      <c r="K151" s="93"/>
      <c r="L151" s="93"/>
      <c r="M151" s="93"/>
      <c r="N151" s="93"/>
    </row>
    <row r="152" spans="1:14" x14ac:dyDescent="0.2">
      <c r="A152" t="s">
        <v>380</v>
      </c>
    </row>
    <row r="155" spans="1:14" x14ac:dyDescent="0.2">
      <c r="A155" t="s">
        <v>381</v>
      </c>
      <c r="B155" t="s">
        <v>51</v>
      </c>
      <c r="C155" s="65">
        <f>2313.923376+224</f>
        <v>2537.9233760000002</v>
      </c>
      <c r="D155" s="65">
        <v>12.73</v>
      </c>
      <c r="E155" s="65">
        <v>6.69</v>
      </c>
      <c r="F155" s="65">
        <v>5.16</v>
      </c>
      <c r="G155" s="65">
        <v>29.75</v>
      </c>
      <c r="J155" s="65">
        <f>D155-(($H$1*$C155)/10000000)</f>
        <v>11.3975902276</v>
      </c>
      <c r="K155" s="65">
        <f>E155+(($H$1*$C155)/10000000)</f>
        <v>8.0224097723999996</v>
      </c>
      <c r="L155" s="65">
        <f>F155</f>
        <v>5.16</v>
      </c>
      <c r="M155" s="65">
        <f>G155</f>
        <v>29.75</v>
      </c>
      <c r="N155" s="65">
        <f>M155-L155-K155-J155</f>
        <v>5.17</v>
      </c>
    </row>
    <row r="156" spans="1:14" x14ac:dyDescent="0.2">
      <c r="A156" t="s">
        <v>381</v>
      </c>
      <c r="J156" s="93">
        <f>J155/M155</f>
        <v>0.38311227655798319</v>
      </c>
      <c r="K156" s="93">
        <f>K155/M155</f>
        <v>0.26966083268571428</v>
      </c>
      <c r="L156" s="93">
        <f>L155/M155</f>
        <v>0.17344537815126052</v>
      </c>
      <c r="M156" s="93"/>
      <c r="N156" s="93">
        <f>N155/M155</f>
        <v>0.17378151260504202</v>
      </c>
    </row>
    <row r="157" spans="1:14" x14ac:dyDescent="0.2">
      <c r="A157" t="s">
        <v>381</v>
      </c>
    </row>
    <row r="158" spans="1:14" x14ac:dyDescent="0.2">
      <c r="A158" t="s">
        <v>381</v>
      </c>
      <c r="J158" s="65"/>
      <c r="K158" s="65"/>
      <c r="L158" s="65"/>
      <c r="M158" s="65"/>
      <c r="N158" s="65"/>
    </row>
    <row r="159" spans="1:14" x14ac:dyDescent="0.2">
      <c r="A159" t="s">
        <v>381</v>
      </c>
      <c r="J159" s="93"/>
      <c r="K159" s="93"/>
      <c r="L159" s="93"/>
      <c r="M159" s="93"/>
      <c r="N159" s="93"/>
    </row>
    <row r="160" spans="1:14" x14ac:dyDescent="0.2">
      <c r="A160" t="s">
        <v>381</v>
      </c>
    </row>
    <row r="163" spans="1:14" x14ac:dyDescent="0.2">
      <c r="A163" t="s">
        <v>382</v>
      </c>
      <c r="B163" t="s">
        <v>51</v>
      </c>
      <c r="C163" s="65">
        <v>2749.3788850000001</v>
      </c>
      <c r="D163" s="65">
        <v>15.58</v>
      </c>
      <c r="E163" s="65">
        <v>6.93</v>
      </c>
      <c r="F163" s="65">
        <v>5.74</v>
      </c>
      <c r="G163" s="65">
        <v>33.82</v>
      </c>
      <c r="J163" s="65">
        <f>D163-(($H$1*$C163)/10000000)</f>
        <v>14.136576085374999</v>
      </c>
      <c r="K163" s="65">
        <f>E163+(($H$1*$C163)/10000000)</f>
        <v>8.3734239146250005</v>
      </c>
      <c r="L163" s="65">
        <f>F163</f>
        <v>5.74</v>
      </c>
      <c r="M163" s="65">
        <f>G163</f>
        <v>33.82</v>
      </c>
      <c r="N163" s="65">
        <f>M163-L163-K163-J163</f>
        <v>5.5699999999999985</v>
      </c>
    </row>
    <row r="164" spans="1:14" x14ac:dyDescent="0.2">
      <c r="A164" t="s">
        <v>382</v>
      </c>
      <c r="J164" s="93">
        <f>J163/M163</f>
        <v>0.41799456195668239</v>
      </c>
      <c r="K164" s="93">
        <f>K163/M163</f>
        <v>0.24758793360807216</v>
      </c>
      <c r="L164" s="93">
        <f>L163/M163</f>
        <v>0.16972205795387346</v>
      </c>
      <c r="M164" s="93"/>
      <c r="N164" s="93">
        <f>N163/M163</f>
        <v>0.16469544648137191</v>
      </c>
    </row>
    <row r="165" spans="1:14" x14ac:dyDescent="0.2">
      <c r="A165" t="s">
        <v>382</v>
      </c>
      <c r="C165" s="65"/>
    </row>
    <row r="166" spans="1:14" x14ac:dyDescent="0.2">
      <c r="A166" t="s">
        <v>382</v>
      </c>
      <c r="J166" s="65"/>
      <c r="K166" s="65"/>
      <c r="L166" s="65"/>
      <c r="M166" s="65"/>
      <c r="N166" s="65"/>
    </row>
    <row r="167" spans="1:14" x14ac:dyDescent="0.2">
      <c r="A167" t="s">
        <v>382</v>
      </c>
      <c r="J167" s="93"/>
      <c r="K167" s="93"/>
      <c r="L167" s="93"/>
      <c r="M167" s="93"/>
      <c r="N167" s="93"/>
    </row>
    <row r="168" spans="1:14" x14ac:dyDescent="0.2">
      <c r="A168" t="s">
        <v>382</v>
      </c>
    </row>
  </sheetData>
  <mergeCells count="2">
    <mergeCell ref="C1:G1"/>
    <mergeCell ref="I1:M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zoomScale="80" zoomScaleNormal="80" workbookViewId="0">
      <selection activeCell="B4" sqref="B4:I28"/>
    </sheetView>
  </sheetViews>
  <sheetFormatPr defaultRowHeight="15.75" x14ac:dyDescent="0.25"/>
  <cols>
    <col min="1" max="1" width="9.140625" style="79"/>
    <col min="2" max="2" width="25" style="79" bestFit="1" customWidth="1"/>
    <col min="3" max="3" width="15.5703125" style="80" bestFit="1" customWidth="1"/>
    <col min="4" max="4" width="10.5703125" style="80" bestFit="1" customWidth="1"/>
    <col min="5" max="5" width="9.28515625" style="80" customWidth="1"/>
    <col min="6" max="6" width="8.140625" style="80" customWidth="1"/>
    <col min="7" max="7" width="8.7109375" style="80" bestFit="1" customWidth="1"/>
    <col min="8" max="8" width="8.42578125" style="80" customWidth="1"/>
    <col min="9" max="9" width="18.140625" style="79" bestFit="1" customWidth="1"/>
    <col min="10" max="10" width="25.85546875" style="79" customWidth="1"/>
    <col min="11" max="11" width="22.5703125" style="79" customWidth="1"/>
    <col min="12" max="12" width="25.85546875" style="79" customWidth="1"/>
    <col min="13" max="13" width="22.5703125" style="79" customWidth="1"/>
    <col min="14" max="14" width="25.85546875" style="79" customWidth="1"/>
    <col min="15" max="15" width="12.5703125" style="79" customWidth="1"/>
    <col min="16" max="16" width="12.5703125" style="79" bestFit="1" customWidth="1"/>
    <col min="17" max="17" width="11.140625" style="79" bestFit="1" customWidth="1"/>
    <col min="18" max="16384" width="9.140625" style="79"/>
  </cols>
  <sheetData>
    <row r="2" spans="2:16" x14ac:dyDescent="0.25">
      <c r="B2"/>
      <c r="C2"/>
    </row>
    <row r="3" spans="2:16" ht="16.5" thickBot="1" x14ac:dyDescent="0.3"/>
    <row r="4" spans="2:16" x14ac:dyDescent="0.25">
      <c r="B4" s="179" t="s">
        <v>212</v>
      </c>
      <c r="C4" s="180" t="s">
        <v>209</v>
      </c>
      <c r="D4" s="181"/>
      <c r="E4" s="181"/>
      <c r="F4" s="181"/>
      <c r="G4" s="181"/>
      <c r="H4" s="181"/>
      <c r="I4" s="183"/>
      <c r="J4"/>
      <c r="K4"/>
      <c r="L4"/>
      <c r="M4"/>
      <c r="N4"/>
      <c r="O4"/>
      <c r="P4"/>
    </row>
    <row r="5" spans="2:16" x14ac:dyDescent="0.25">
      <c r="B5" s="180" t="s">
        <v>211</v>
      </c>
      <c r="C5" s="181" t="s">
        <v>339</v>
      </c>
      <c r="D5" s="181" t="s">
        <v>379</v>
      </c>
      <c r="E5" s="181" t="s">
        <v>380</v>
      </c>
      <c r="F5" s="181" t="s">
        <v>381</v>
      </c>
      <c r="G5" s="181" t="s">
        <v>382</v>
      </c>
      <c r="H5" s="181" t="s">
        <v>383</v>
      </c>
      <c r="I5" s="188" t="s">
        <v>544</v>
      </c>
      <c r="J5"/>
      <c r="K5"/>
      <c r="L5"/>
      <c r="M5"/>
      <c r="N5"/>
      <c r="O5"/>
      <c r="P5"/>
    </row>
    <row r="6" spans="2:16" x14ac:dyDescent="0.25">
      <c r="B6" s="178" t="s">
        <v>158</v>
      </c>
      <c r="C6" s="182">
        <v>53.778390957497393</v>
      </c>
      <c r="D6" s="182">
        <v>17.592699375780963</v>
      </c>
      <c r="E6" s="182">
        <v>218.74765753108599</v>
      </c>
      <c r="F6" s="182">
        <v>146.3000570534152</v>
      </c>
      <c r="G6" s="182">
        <v>293.9491380571389</v>
      </c>
      <c r="H6" s="182">
        <v>72.055461778072328</v>
      </c>
      <c r="I6" s="182">
        <f>AVERAGE(C6:H6)</f>
        <v>133.73723412549845</v>
      </c>
      <c r="J6"/>
      <c r="K6"/>
      <c r="L6"/>
      <c r="M6"/>
      <c r="N6"/>
      <c r="O6"/>
      <c r="P6"/>
    </row>
    <row r="7" spans="2:16" x14ac:dyDescent="0.25">
      <c r="B7" s="178" t="s">
        <v>159</v>
      </c>
      <c r="C7" s="182"/>
      <c r="D7" s="182">
        <v>23.935194282299996</v>
      </c>
      <c r="E7" s="182">
        <v>55.692833903999997</v>
      </c>
      <c r="F7" s="182">
        <v>24.614537863700001</v>
      </c>
      <c r="G7" s="182">
        <v>166.49663459946004</v>
      </c>
      <c r="H7" s="182">
        <v>206.86013612911998</v>
      </c>
      <c r="I7" s="182">
        <f t="shared" ref="I7:I16" si="0">AVERAGE(C7:H7)</f>
        <v>95.519867355716002</v>
      </c>
      <c r="J7"/>
      <c r="K7"/>
      <c r="L7"/>
      <c r="M7"/>
      <c r="N7"/>
      <c r="O7"/>
      <c r="P7"/>
    </row>
    <row r="8" spans="2:16" x14ac:dyDescent="0.25">
      <c r="B8" s="178" t="s">
        <v>234</v>
      </c>
      <c r="C8" s="182">
        <v>40.213247160000002</v>
      </c>
      <c r="D8" s="182"/>
      <c r="E8" s="182"/>
      <c r="F8" s="182">
        <v>7.605033615</v>
      </c>
      <c r="G8" s="182">
        <v>30.42013446</v>
      </c>
      <c r="H8" s="182"/>
      <c r="I8" s="182">
        <f t="shared" si="0"/>
        <v>26.079471745000003</v>
      </c>
      <c r="J8"/>
      <c r="K8"/>
      <c r="L8"/>
      <c r="M8"/>
      <c r="N8"/>
      <c r="O8"/>
      <c r="P8"/>
    </row>
    <row r="9" spans="2:16" x14ac:dyDescent="0.25">
      <c r="B9" s="178" t="s">
        <v>156</v>
      </c>
      <c r="C9" s="182">
        <v>4.5465064720740003</v>
      </c>
      <c r="D9" s="182">
        <v>1.7030080770099996</v>
      </c>
      <c r="E9" s="182">
        <v>2.3835712698920002</v>
      </c>
      <c r="F9" s="182">
        <v>27.093628899400006</v>
      </c>
      <c r="G9" s="182">
        <v>2.3962715970000001</v>
      </c>
      <c r="H9" s="182">
        <v>4.4980794634750003</v>
      </c>
      <c r="I9" s="182">
        <f t="shared" si="0"/>
        <v>7.1035109631418338</v>
      </c>
      <c r="J9"/>
      <c r="K9"/>
      <c r="L9"/>
      <c r="M9"/>
      <c r="N9"/>
      <c r="O9"/>
      <c r="P9"/>
    </row>
    <row r="10" spans="2:16" x14ac:dyDescent="0.25">
      <c r="B10" s="178" t="s">
        <v>155</v>
      </c>
      <c r="C10" s="182"/>
      <c r="D10" s="182"/>
      <c r="E10" s="182"/>
      <c r="F10" s="182"/>
      <c r="G10" s="182"/>
      <c r="H10" s="182">
        <v>16.569695178</v>
      </c>
      <c r="I10" s="182">
        <f t="shared" si="0"/>
        <v>16.569695178</v>
      </c>
      <c r="J10"/>
      <c r="K10"/>
      <c r="L10"/>
      <c r="M10"/>
      <c r="N10"/>
      <c r="O10"/>
      <c r="P10"/>
    </row>
    <row r="11" spans="2:16" x14ac:dyDescent="0.25">
      <c r="B11" s="178" t="s">
        <v>206</v>
      </c>
      <c r="C11" s="182"/>
      <c r="D11" s="182">
        <v>14.368206951000001</v>
      </c>
      <c r="E11" s="182"/>
      <c r="F11" s="182"/>
      <c r="G11" s="182"/>
      <c r="H11" s="182"/>
      <c r="I11" s="182">
        <f t="shared" si="0"/>
        <v>14.368206951000001</v>
      </c>
      <c r="J11"/>
      <c r="K11"/>
      <c r="L11"/>
      <c r="M11"/>
      <c r="N11"/>
      <c r="O11"/>
      <c r="P11"/>
    </row>
    <row r="12" spans="2:16" x14ac:dyDescent="0.25">
      <c r="B12" s="178" t="s">
        <v>233</v>
      </c>
      <c r="C12" s="182"/>
      <c r="D12" s="182"/>
      <c r="E12" s="182"/>
      <c r="F12" s="182"/>
      <c r="G12" s="182">
        <v>10.5</v>
      </c>
      <c r="H12" s="182"/>
      <c r="I12" s="182">
        <f t="shared" si="0"/>
        <v>10.5</v>
      </c>
      <c r="J12"/>
      <c r="K12"/>
      <c r="L12"/>
      <c r="M12"/>
      <c r="N12"/>
      <c r="O12"/>
      <c r="P12"/>
    </row>
    <row r="13" spans="2:16" x14ac:dyDescent="0.25">
      <c r="B13" s="178" t="s">
        <v>317</v>
      </c>
      <c r="C13" s="182">
        <v>6.5613752112676051</v>
      </c>
      <c r="D13" s="182"/>
      <c r="E13" s="182"/>
      <c r="F13" s="182"/>
      <c r="G13" s="182"/>
      <c r="H13" s="182"/>
      <c r="I13" s="182">
        <f t="shared" si="0"/>
        <v>6.5613752112676051</v>
      </c>
      <c r="J13"/>
      <c r="K13"/>
      <c r="L13"/>
      <c r="M13"/>
      <c r="N13"/>
      <c r="O13"/>
      <c r="P13"/>
    </row>
    <row r="14" spans="2:16" x14ac:dyDescent="0.25">
      <c r="B14" s="178" t="s">
        <v>536</v>
      </c>
      <c r="C14" s="182"/>
      <c r="D14" s="182"/>
      <c r="E14" s="182"/>
      <c r="F14" s="182"/>
      <c r="G14" s="182">
        <v>0.5557624000000001</v>
      </c>
      <c r="H14" s="182"/>
      <c r="I14" s="182">
        <f t="shared" si="0"/>
        <v>0.5557624000000001</v>
      </c>
      <c r="J14"/>
      <c r="K14"/>
      <c r="L14"/>
      <c r="M14"/>
      <c r="N14"/>
      <c r="O14"/>
      <c r="P14"/>
    </row>
    <row r="15" spans="2:16" x14ac:dyDescent="0.25">
      <c r="B15" s="178" t="s">
        <v>160</v>
      </c>
      <c r="C15" s="182"/>
      <c r="D15" s="182">
        <v>0</v>
      </c>
      <c r="E15" s="182"/>
      <c r="F15" s="182"/>
      <c r="G15" s="182"/>
      <c r="H15" s="182"/>
      <c r="I15" s="182">
        <f t="shared" si="0"/>
        <v>0</v>
      </c>
      <c r="J15"/>
      <c r="K15"/>
      <c r="L15"/>
      <c r="M15"/>
      <c r="N15"/>
      <c r="O15"/>
      <c r="P15"/>
    </row>
    <row r="16" spans="2:16" ht="16.5" thickBot="1" x14ac:dyDescent="0.3">
      <c r="B16" s="178" t="s">
        <v>210</v>
      </c>
      <c r="C16" s="182">
        <v>105.099519800839</v>
      </c>
      <c r="D16" s="182">
        <v>57.599108686090958</v>
      </c>
      <c r="E16" s="182">
        <v>276.82406270497796</v>
      </c>
      <c r="F16" s="182">
        <v>205.61325743151522</v>
      </c>
      <c r="G16" s="182">
        <v>504.31794111359892</v>
      </c>
      <c r="H16" s="182">
        <v>299.98337254866732</v>
      </c>
      <c r="I16" s="184">
        <f t="shared" si="0"/>
        <v>241.57287704761492</v>
      </c>
      <c r="J16"/>
      <c r="K16"/>
      <c r="L16"/>
      <c r="M16"/>
      <c r="N16"/>
      <c r="O16"/>
      <c r="P16"/>
    </row>
    <row r="17" spans="2:14" x14ac:dyDescent="0.25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25">
      <c r="B18" s="170"/>
      <c r="C18" s="79"/>
      <c r="D18" s="79"/>
    </row>
    <row r="19" spans="2:14" x14ac:dyDescent="0.25">
      <c r="B19" s="177" t="s">
        <v>211</v>
      </c>
      <c r="C19" s="192" t="s">
        <v>270</v>
      </c>
      <c r="D19" s="192" t="s">
        <v>271</v>
      </c>
      <c r="E19" s="190"/>
    </row>
    <row r="20" spans="2:14" x14ac:dyDescent="0.25">
      <c r="B20" s="178" t="s">
        <v>339</v>
      </c>
      <c r="C20" s="182">
        <v>62.189485439797359</v>
      </c>
      <c r="D20" s="182">
        <v>42.910034361041632</v>
      </c>
      <c r="E20" s="176"/>
    </row>
    <row r="21" spans="2:14" x14ac:dyDescent="0.25">
      <c r="B21" s="178" t="s">
        <v>379</v>
      </c>
      <c r="C21" s="182">
        <v>25.20661242328956</v>
      </c>
      <c r="D21" s="182">
        <v>32.392496262801409</v>
      </c>
      <c r="E21" s="176"/>
      <c r="F21" s="185"/>
      <c r="G21" s="186"/>
    </row>
    <row r="22" spans="2:14" x14ac:dyDescent="0.25">
      <c r="B22" s="178" t="s">
        <v>380</v>
      </c>
      <c r="C22" s="182">
        <v>184.17297957164155</v>
      </c>
      <c r="D22" s="182">
        <v>92.651083133336527</v>
      </c>
      <c r="E22" s="176"/>
      <c r="F22" s="185"/>
      <c r="G22" s="186"/>
      <c r="I22" s="187"/>
      <c r="J22" s="187"/>
      <c r="K22" s="187"/>
      <c r="L22" s="187"/>
      <c r="M22" s="151"/>
    </row>
    <row r="23" spans="2:14" x14ac:dyDescent="0.25">
      <c r="B23" s="178" t="s">
        <v>381</v>
      </c>
      <c r="C23" s="182">
        <v>104.95295645396678</v>
      </c>
      <c r="D23" s="182">
        <v>100.66030097754847</v>
      </c>
      <c r="E23" s="176"/>
    </row>
    <row r="24" spans="2:14" x14ac:dyDescent="0.25">
      <c r="B24" s="178" t="s">
        <v>382</v>
      </c>
      <c r="C24" s="182">
        <v>288.46618109456057</v>
      </c>
      <c r="D24" s="182">
        <v>215.85176001903835</v>
      </c>
      <c r="E24" s="176"/>
      <c r="I24" s="187"/>
      <c r="J24" s="187"/>
      <c r="K24" s="187"/>
      <c r="L24" s="187"/>
      <c r="M24" s="151"/>
    </row>
    <row r="25" spans="2:14" x14ac:dyDescent="0.25">
      <c r="B25" s="178" t="s">
        <v>383</v>
      </c>
      <c r="C25" s="182">
        <v>140.57109542030756</v>
      </c>
      <c r="D25" s="182">
        <v>159.41227712835968</v>
      </c>
      <c r="E25" s="176"/>
    </row>
    <row r="26" spans="2:14" x14ac:dyDescent="0.25">
      <c r="B26" s="178" t="s">
        <v>210</v>
      </c>
      <c r="C26" s="182">
        <v>805.55931040356336</v>
      </c>
      <c r="D26" s="182">
        <v>643.87795188212613</v>
      </c>
      <c r="E26" s="189"/>
    </row>
    <row r="28" spans="2:14" ht="18.75" x14ac:dyDescent="0.3">
      <c r="B28" s="191" t="s">
        <v>537</v>
      </c>
    </row>
  </sheetData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5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R4" sqref="R4"/>
    </sheetView>
  </sheetViews>
  <sheetFormatPr defaultRowHeight="12.75" x14ac:dyDescent="0.2"/>
  <cols>
    <col min="1" max="2" width="9.140625" style="52"/>
    <col min="3" max="3" width="8" style="52" bestFit="1" customWidth="1"/>
    <col min="4" max="4" width="48.140625" style="52" customWidth="1"/>
    <col min="5" max="6" width="8.42578125" style="52" bestFit="1" customWidth="1"/>
    <col min="7" max="7" width="7" style="52" bestFit="1" customWidth="1"/>
    <col min="8" max="8" width="33" style="52" customWidth="1"/>
    <col min="9" max="9" width="8.42578125" style="52" customWidth="1"/>
    <col min="10" max="10" width="11.5703125" style="52" bestFit="1" customWidth="1"/>
    <col min="11" max="12" width="11.42578125" style="52" bestFit="1" customWidth="1"/>
    <col min="13" max="13" width="11.5703125" style="52" bestFit="1" customWidth="1"/>
    <col min="14" max="15" width="11.42578125" style="52" bestFit="1" customWidth="1"/>
    <col min="16" max="16" width="8.42578125" style="52" bestFit="1" customWidth="1"/>
    <col min="17" max="17" width="7" style="52" bestFit="1" customWidth="1"/>
    <col min="18" max="18" width="19" style="52" customWidth="1"/>
    <col min="19" max="19" width="10.5703125" style="52" bestFit="1" customWidth="1"/>
    <col min="20" max="20" width="11.5703125" style="52" bestFit="1" customWidth="1"/>
    <col min="21" max="16384" width="9.140625" style="52"/>
  </cols>
  <sheetData>
    <row r="1" spans="1:18" s="53" customFormat="1" ht="38.25" x14ac:dyDescent="0.2">
      <c r="A1" s="92" t="s">
        <v>25</v>
      </c>
      <c r="B1" s="92" t="s">
        <v>134</v>
      </c>
      <c r="C1" s="92" t="s">
        <v>103</v>
      </c>
      <c r="D1" s="92" t="s">
        <v>104</v>
      </c>
      <c r="E1" s="92" t="s">
        <v>105</v>
      </c>
      <c r="F1" s="92" t="s">
        <v>27</v>
      </c>
      <c r="G1" s="92" t="s">
        <v>30</v>
      </c>
      <c r="H1" s="92" t="s">
        <v>106</v>
      </c>
      <c r="I1" s="92" t="s">
        <v>138</v>
      </c>
      <c r="J1" s="92" t="s">
        <v>35</v>
      </c>
      <c r="K1" s="92" t="s">
        <v>27</v>
      </c>
      <c r="L1" s="92" t="s">
        <v>30</v>
      </c>
      <c r="M1" s="92" t="s">
        <v>59</v>
      </c>
      <c r="N1" s="92" t="s">
        <v>139</v>
      </c>
      <c r="O1" s="92" t="s">
        <v>135</v>
      </c>
      <c r="P1" s="92" t="s">
        <v>136</v>
      </c>
      <c r="Q1" s="92" t="s">
        <v>140</v>
      </c>
      <c r="R1" s="92" t="s">
        <v>137</v>
      </c>
    </row>
    <row r="2" spans="1:18" s="53" customFormat="1" x14ac:dyDescent="0.2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1:18" s="53" customFormat="1" x14ac:dyDescent="0.2">
      <c r="A3" s="94" t="s">
        <v>383</v>
      </c>
      <c r="B3" s="94" t="s">
        <v>155</v>
      </c>
      <c r="C3" s="94">
        <v>1680061</v>
      </c>
      <c r="D3" s="94" t="s">
        <v>538</v>
      </c>
      <c r="E3" s="95">
        <v>54</v>
      </c>
      <c r="F3" s="95">
        <v>54</v>
      </c>
      <c r="G3" s="95">
        <v>54</v>
      </c>
      <c r="H3" s="95"/>
      <c r="I3" s="95">
        <v>5250</v>
      </c>
      <c r="J3" s="95">
        <v>32380.89661308522</v>
      </c>
      <c r="K3" s="95">
        <v>18299.332000000002</v>
      </c>
      <c r="L3" s="95">
        <v>12385.288700000001</v>
      </c>
      <c r="M3" s="95">
        <v>72530.344744424292</v>
      </c>
      <c r="N3" s="95">
        <f t="shared" ref="N3:N44" si="0">$F3*J3/100000</f>
        <v>17.485684171066019</v>
      </c>
      <c r="O3" s="95">
        <f t="shared" ref="O3:O44" si="1">F3*K3/100000</f>
        <v>9.8816392799999999</v>
      </c>
      <c r="P3" s="95">
        <f t="shared" ref="P3:P44" si="2">L3*G3/100000</f>
        <v>6.6880558980000009</v>
      </c>
      <c r="Q3" s="95">
        <f t="shared" ref="Q3:Q44" si="3">O3+P3</f>
        <v>16.569695178</v>
      </c>
      <c r="R3" s="94" t="s">
        <v>543</v>
      </c>
    </row>
    <row r="4" spans="1:18" s="53" customFormat="1" x14ac:dyDescent="0.2">
      <c r="A4" s="94" t="s">
        <v>383</v>
      </c>
      <c r="B4" s="94" t="s">
        <v>159</v>
      </c>
      <c r="C4" s="94">
        <v>1601302</v>
      </c>
      <c r="D4" s="94" t="s">
        <v>509</v>
      </c>
      <c r="E4" s="95">
        <v>94</v>
      </c>
      <c r="F4" s="95">
        <v>94</v>
      </c>
      <c r="G4" s="95">
        <v>94</v>
      </c>
      <c r="H4" s="95"/>
      <c r="I4" s="95">
        <v>5250</v>
      </c>
      <c r="J4" s="95">
        <v>52974.0794035078</v>
      </c>
      <c r="K4" s="95">
        <v>18406.298269999999</v>
      </c>
      <c r="L4" s="95">
        <v>32243.659999999996</v>
      </c>
      <c r="M4" s="95">
        <v>125883.46114435655</v>
      </c>
      <c r="N4" s="95">
        <f t="shared" si="0"/>
        <v>49.795634639297333</v>
      </c>
      <c r="O4" s="95">
        <f t="shared" si="1"/>
        <v>17.301920373799998</v>
      </c>
      <c r="P4" s="95">
        <f t="shared" si="2"/>
        <v>30.309040399999997</v>
      </c>
      <c r="Q4" s="95">
        <f t="shared" si="3"/>
        <v>47.610960773799995</v>
      </c>
      <c r="R4" s="94" t="s">
        <v>543</v>
      </c>
    </row>
    <row r="5" spans="1:18" s="53" customFormat="1" x14ac:dyDescent="0.2">
      <c r="A5" s="94" t="s">
        <v>383</v>
      </c>
      <c r="B5" s="94" t="s">
        <v>159</v>
      </c>
      <c r="C5" s="94">
        <v>1601303</v>
      </c>
      <c r="D5" s="94" t="s">
        <v>449</v>
      </c>
      <c r="E5" s="95">
        <v>24.000000000000007</v>
      </c>
      <c r="F5" s="95">
        <v>24.000000000000007</v>
      </c>
      <c r="G5" s="95">
        <v>24.000000000000007</v>
      </c>
      <c r="H5" s="95"/>
      <c r="I5" s="95">
        <v>5250</v>
      </c>
      <c r="J5" s="95">
        <v>52974.0794035078</v>
      </c>
      <c r="K5" s="95">
        <v>18406.298269999999</v>
      </c>
      <c r="L5" s="95">
        <v>17872.850900000001</v>
      </c>
      <c r="M5" s="95">
        <v>145811.57567956997</v>
      </c>
      <c r="N5" s="95">
        <f t="shared" si="0"/>
        <v>12.713779056841876</v>
      </c>
      <c r="O5" s="95">
        <f t="shared" si="1"/>
        <v>4.4175115848000006</v>
      </c>
      <c r="P5" s="95">
        <f t="shared" si="2"/>
        <v>4.2894842160000017</v>
      </c>
      <c r="Q5" s="95">
        <f t="shared" si="3"/>
        <v>8.7069958008000015</v>
      </c>
      <c r="R5" s="94" t="s">
        <v>543</v>
      </c>
    </row>
    <row r="6" spans="1:18" s="53" customFormat="1" x14ac:dyDescent="0.2">
      <c r="A6" s="94" t="s">
        <v>383</v>
      </c>
      <c r="B6" s="94" t="s">
        <v>159</v>
      </c>
      <c r="C6" s="94">
        <v>1601304</v>
      </c>
      <c r="D6" s="94" t="s">
        <v>510</v>
      </c>
      <c r="E6" s="95">
        <v>90</v>
      </c>
      <c r="F6" s="95">
        <v>90</v>
      </c>
      <c r="G6" s="95">
        <v>90</v>
      </c>
      <c r="H6" s="95"/>
      <c r="I6" s="95">
        <v>5250</v>
      </c>
      <c r="J6" s="95">
        <v>52974.0794035078</v>
      </c>
      <c r="K6" s="95">
        <v>18406.298269999999</v>
      </c>
      <c r="L6" s="95">
        <v>16461.5635</v>
      </c>
      <c r="M6" s="95">
        <v>126230.44660807593</v>
      </c>
      <c r="N6" s="95">
        <f t="shared" si="0"/>
        <v>47.676671463157021</v>
      </c>
      <c r="O6" s="95">
        <f t="shared" si="1"/>
        <v>16.565668443</v>
      </c>
      <c r="P6" s="95">
        <f t="shared" si="2"/>
        <v>14.81540715</v>
      </c>
      <c r="Q6" s="95">
        <f t="shared" si="3"/>
        <v>31.381075592999998</v>
      </c>
      <c r="R6" s="94" t="s">
        <v>543</v>
      </c>
    </row>
    <row r="7" spans="1:18" s="53" customFormat="1" x14ac:dyDescent="0.2">
      <c r="A7" s="94" t="s">
        <v>383</v>
      </c>
      <c r="B7" s="94" t="s">
        <v>159</v>
      </c>
      <c r="C7" s="94">
        <v>1601362</v>
      </c>
      <c r="D7" s="94" t="s">
        <v>473</v>
      </c>
      <c r="E7" s="95">
        <v>36</v>
      </c>
      <c r="F7" s="95">
        <v>36</v>
      </c>
      <c r="G7" s="95">
        <v>36</v>
      </c>
      <c r="H7" s="95"/>
      <c r="I7" s="95">
        <v>5250</v>
      </c>
      <c r="J7" s="95">
        <v>52974.0794035078</v>
      </c>
      <c r="K7" s="95">
        <v>18406.298269999999</v>
      </c>
      <c r="L7" s="95">
        <v>16461.5635</v>
      </c>
      <c r="M7" s="95">
        <v>126230.44660807593</v>
      </c>
      <c r="N7" s="95">
        <f t="shared" si="0"/>
        <v>19.070668585262808</v>
      </c>
      <c r="O7" s="95">
        <f t="shared" si="1"/>
        <v>6.6262673771999996</v>
      </c>
      <c r="P7" s="95">
        <f t="shared" si="2"/>
        <v>5.9261628599999998</v>
      </c>
      <c r="Q7" s="95">
        <f t="shared" si="3"/>
        <v>12.552430237199999</v>
      </c>
      <c r="R7" s="94" t="s">
        <v>543</v>
      </c>
    </row>
    <row r="8" spans="1:18" s="53" customFormat="1" x14ac:dyDescent="0.2">
      <c r="A8" s="94" t="s">
        <v>383</v>
      </c>
      <c r="B8" s="94" t="s">
        <v>159</v>
      </c>
      <c r="C8" s="94">
        <v>1601377</v>
      </c>
      <c r="D8" s="94" t="s">
        <v>513</v>
      </c>
      <c r="E8" s="95">
        <v>24</v>
      </c>
      <c r="F8" s="95">
        <v>24</v>
      </c>
      <c r="G8" s="95">
        <v>24</v>
      </c>
      <c r="H8" s="95"/>
      <c r="I8" s="95">
        <v>5250</v>
      </c>
      <c r="J8" s="95">
        <v>47048.061894801787</v>
      </c>
      <c r="K8" s="95">
        <v>18493.15727</v>
      </c>
      <c r="L8" s="95">
        <v>7753.3557999999994</v>
      </c>
      <c r="M8" s="95">
        <v>97096.646281340771</v>
      </c>
      <c r="N8" s="95">
        <f t="shared" si="0"/>
        <v>11.291534854752429</v>
      </c>
      <c r="O8" s="95">
        <f t="shared" si="1"/>
        <v>4.4383577448000002</v>
      </c>
      <c r="P8" s="95">
        <f t="shared" si="2"/>
        <v>1.8608053920000001</v>
      </c>
      <c r="Q8" s="95">
        <f t="shared" si="3"/>
        <v>6.2991631368000007</v>
      </c>
      <c r="R8" s="94" t="s">
        <v>543</v>
      </c>
    </row>
    <row r="9" spans="1:18" s="53" customFormat="1" x14ac:dyDescent="0.2">
      <c r="A9" s="94" t="s">
        <v>383</v>
      </c>
      <c r="B9" s="94" t="s">
        <v>159</v>
      </c>
      <c r="C9" s="94">
        <v>1601307</v>
      </c>
      <c r="D9" s="94" t="s">
        <v>514</v>
      </c>
      <c r="E9" s="95">
        <v>72</v>
      </c>
      <c r="F9" s="95">
        <v>22.999999999999986</v>
      </c>
      <c r="G9" s="95">
        <v>72</v>
      </c>
      <c r="H9" s="95"/>
      <c r="I9" s="95">
        <v>5250</v>
      </c>
      <c r="J9" s="95">
        <v>52974.0794035078</v>
      </c>
      <c r="K9" s="95">
        <v>18406.298269999999</v>
      </c>
      <c r="L9" s="95">
        <v>11382.333299999998</v>
      </c>
      <c r="M9" s="95">
        <v>115967</v>
      </c>
      <c r="N9" s="95">
        <f t="shared" si="0"/>
        <v>12.184038262806785</v>
      </c>
      <c r="O9" s="95">
        <f t="shared" si="1"/>
        <v>4.2334486020999975</v>
      </c>
      <c r="P9" s="95">
        <f t="shared" si="2"/>
        <v>8.1952799759999984</v>
      </c>
      <c r="Q9" s="95">
        <f t="shared" si="3"/>
        <v>12.428728578099996</v>
      </c>
      <c r="R9" s="94" t="s">
        <v>543</v>
      </c>
    </row>
    <row r="10" spans="1:18" s="53" customFormat="1" x14ac:dyDescent="0.2">
      <c r="A10" s="94" t="s">
        <v>383</v>
      </c>
      <c r="B10" s="94" t="s">
        <v>159</v>
      </c>
      <c r="C10" s="94">
        <v>1601312</v>
      </c>
      <c r="D10" s="94" t="s">
        <v>450</v>
      </c>
      <c r="E10" s="95">
        <v>34</v>
      </c>
      <c r="F10" s="95">
        <v>34</v>
      </c>
      <c r="G10" s="95">
        <v>34</v>
      </c>
      <c r="H10" s="95"/>
      <c r="I10" s="95">
        <v>5250</v>
      </c>
      <c r="J10" s="95">
        <v>52671.604082956779</v>
      </c>
      <c r="K10" s="95">
        <v>33869.885374999998</v>
      </c>
      <c r="L10" s="95">
        <v>16384.9391</v>
      </c>
      <c r="M10" s="95">
        <v>141284.10193173139</v>
      </c>
      <c r="N10" s="95">
        <f t="shared" si="0"/>
        <v>17.908345388205305</v>
      </c>
      <c r="O10" s="95">
        <f t="shared" si="1"/>
        <v>11.515761027499998</v>
      </c>
      <c r="P10" s="95">
        <f t="shared" si="2"/>
        <v>5.570879294</v>
      </c>
      <c r="Q10" s="95">
        <f t="shared" si="3"/>
        <v>17.086640321499999</v>
      </c>
      <c r="R10" s="94" t="s">
        <v>543</v>
      </c>
    </row>
    <row r="11" spans="1:18" s="53" customFormat="1" x14ac:dyDescent="0.2">
      <c r="A11" s="94" t="s">
        <v>383</v>
      </c>
      <c r="B11" s="94" t="s">
        <v>159</v>
      </c>
      <c r="C11" s="94">
        <v>1601259</v>
      </c>
      <c r="D11" s="94" t="s">
        <v>475</v>
      </c>
      <c r="E11" s="95">
        <v>35.999999999999993</v>
      </c>
      <c r="F11" s="95">
        <v>35.999999999999993</v>
      </c>
      <c r="G11" s="95">
        <v>35.999999999999993</v>
      </c>
      <c r="H11" s="95"/>
      <c r="I11" s="95"/>
      <c r="J11" s="95">
        <v>443289</v>
      </c>
      <c r="K11" s="95">
        <v>38323</v>
      </c>
      <c r="L11" s="95">
        <v>28588</v>
      </c>
      <c r="M11" s="95">
        <v>540000</v>
      </c>
      <c r="N11" s="95">
        <f t="shared" si="0"/>
        <v>159.58403999999996</v>
      </c>
      <c r="O11" s="95">
        <f t="shared" si="1"/>
        <v>13.796279999999998</v>
      </c>
      <c r="P11" s="95">
        <f t="shared" si="2"/>
        <v>10.291679999999998</v>
      </c>
      <c r="Q11" s="95">
        <f t="shared" si="3"/>
        <v>24.087959999999995</v>
      </c>
      <c r="R11" s="94" t="s">
        <v>543</v>
      </c>
    </row>
    <row r="12" spans="1:18" s="53" customFormat="1" x14ac:dyDescent="0.2">
      <c r="A12" s="94" t="s">
        <v>383</v>
      </c>
      <c r="B12" s="94" t="s">
        <v>156</v>
      </c>
      <c r="C12" s="94">
        <v>1600751</v>
      </c>
      <c r="D12" s="94" t="s">
        <v>476</v>
      </c>
      <c r="E12" s="95">
        <v>5.4</v>
      </c>
      <c r="F12" s="95"/>
      <c r="G12" s="95">
        <v>5.4</v>
      </c>
      <c r="H12" s="95"/>
      <c r="I12" s="95">
        <v>5250</v>
      </c>
      <c r="J12" s="95">
        <v>45575.008071466567</v>
      </c>
      <c r="K12" s="95">
        <v>27130.814000000002</v>
      </c>
      <c r="L12" s="95">
        <v>36356.500899999999</v>
      </c>
      <c r="M12" s="95">
        <v>121069.96913792202</v>
      </c>
      <c r="N12" s="95">
        <f t="shared" si="0"/>
        <v>0</v>
      </c>
      <c r="O12" s="95">
        <f t="shared" si="1"/>
        <v>0</v>
      </c>
      <c r="P12" s="95">
        <f t="shared" si="2"/>
        <v>1.9632510486000001</v>
      </c>
      <c r="Q12" s="95">
        <f t="shared" si="3"/>
        <v>1.9632510486000001</v>
      </c>
      <c r="R12" s="94" t="s">
        <v>543</v>
      </c>
    </row>
    <row r="13" spans="1:18" s="53" customFormat="1" x14ac:dyDescent="0.2">
      <c r="A13" s="94" t="s">
        <v>383</v>
      </c>
      <c r="B13" s="94" t="s">
        <v>156</v>
      </c>
      <c r="C13" s="94">
        <v>1600756</v>
      </c>
      <c r="D13" s="94" t="s">
        <v>388</v>
      </c>
      <c r="E13" s="95">
        <v>3.25</v>
      </c>
      <c r="F13" s="95"/>
      <c r="G13" s="95">
        <v>3.25</v>
      </c>
      <c r="H13" s="95"/>
      <c r="I13" s="95">
        <v>5250</v>
      </c>
      <c r="J13" s="95">
        <v>45575.008071466567</v>
      </c>
      <c r="K13" s="95">
        <v>27130.814000000002</v>
      </c>
      <c r="L13" s="95">
        <v>23844.879699999998</v>
      </c>
      <c r="M13" s="95">
        <v>108918.89362559767</v>
      </c>
      <c r="N13" s="95">
        <f t="shared" si="0"/>
        <v>0</v>
      </c>
      <c r="O13" s="95">
        <f t="shared" si="1"/>
        <v>0</v>
      </c>
      <c r="P13" s="95">
        <f t="shared" si="2"/>
        <v>0.77495859025000002</v>
      </c>
      <c r="Q13" s="95">
        <f t="shared" si="3"/>
        <v>0.77495859025000002</v>
      </c>
      <c r="R13" s="94" t="s">
        <v>543</v>
      </c>
    </row>
    <row r="14" spans="1:18" s="53" customFormat="1" x14ac:dyDescent="0.2">
      <c r="A14" s="94" t="s">
        <v>383</v>
      </c>
      <c r="B14" s="94" t="s">
        <v>156</v>
      </c>
      <c r="C14" s="94">
        <v>1600757</v>
      </c>
      <c r="D14" s="94" t="s">
        <v>110</v>
      </c>
      <c r="E14" s="95">
        <v>5.5</v>
      </c>
      <c r="F14" s="95"/>
      <c r="G14" s="95">
        <v>5.5</v>
      </c>
      <c r="H14" s="95"/>
      <c r="I14" s="95">
        <v>5250</v>
      </c>
      <c r="J14" s="95">
        <v>45575.008071466567</v>
      </c>
      <c r="K14" s="95">
        <v>27130.814000000002</v>
      </c>
      <c r="L14" s="95">
        <v>25211.188099999999</v>
      </c>
      <c r="M14" s="95">
        <v>107597.21541428882</v>
      </c>
      <c r="N14" s="95">
        <f t="shared" si="0"/>
        <v>0</v>
      </c>
      <c r="O14" s="95">
        <f t="shared" si="1"/>
        <v>0</v>
      </c>
      <c r="P14" s="95">
        <f t="shared" si="2"/>
        <v>1.3866153454999999</v>
      </c>
      <c r="Q14" s="95">
        <f t="shared" si="3"/>
        <v>1.3866153454999999</v>
      </c>
      <c r="R14" s="94" t="s">
        <v>543</v>
      </c>
    </row>
    <row r="15" spans="1:18" s="53" customFormat="1" x14ac:dyDescent="0.2">
      <c r="A15" s="94" t="s">
        <v>383</v>
      </c>
      <c r="B15" s="94" t="s">
        <v>156</v>
      </c>
      <c r="C15" s="94">
        <v>1601227</v>
      </c>
      <c r="D15" s="94" t="s">
        <v>496</v>
      </c>
      <c r="E15" s="95">
        <v>1.375</v>
      </c>
      <c r="F15" s="95"/>
      <c r="G15" s="95">
        <v>1.375</v>
      </c>
      <c r="H15" s="95"/>
      <c r="I15" s="95">
        <v>5250</v>
      </c>
      <c r="J15" s="95">
        <v>45109.731118662014</v>
      </c>
      <c r="K15" s="95">
        <v>28646.3033</v>
      </c>
      <c r="L15" s="95">
        <v>27145.780299999999</v>
      </c>
      <c r="M15" s="95">
        <v>101716.98694497749</v>
      </c>
      <c r="N15" s="95">
        <f t="shared" si="0"/>
        <v>0</v>
      </c>
      <c r="O15" s="95">
        <f t="shared" si="1"/>
        <v>0</v>
      </c>
      <c r="P15" s="95">
        <f t="shared" si="2"/>
        <v>0.37325447912499998</v>
      </c>
      <c r="Q15" s="95">
        <f t="shared" si="3"/>
        <v>0.37325447912499998</v>
      </c>
      <c r="R15" s="94" t="s">
        <v>543</v>
      </c>
    </row>
    <row r="16" spans="1:18" s="53" customFormat="1" x14ac:dyDescent="0.2">
      <c r="A16" s="94" t="s">
        <v>383</v>
      </c>
      <c r="B16" s="94" t="s">
        <v>158</v>
      </c>
      <c r="C16" s="94">
        <v>1601007</v>
      </c>
      <c r="D16" s="94" t="s">
        <v>169</v>
      </c>
      <c r="E16" s="95">
        <v>15</v>
      </c>
      <c r="F16" s="95">
        <v>15</v>
      </c>
      <c r="G16" s="95">
        <v>15</v>
      </c>
      <c r="H16" s="95"/>
      <c r="I16" s="95">
        <v>5250</v>
      </c>
      <c r="J16" s="95">
        <v>22419.988991859394</v>
      </c>
      <c r="K16" s="95">
        <v>14315.707</v>
      </c>
      <c r="L16" s="95">
        <v>8998.5203999999994</v>
      </c>
      <c r="M16" s="95">
        <v>50214.286393819311</v>
      </c>
      <c r="N16" s="95">
        <f t="shared" si="0"/>
        <v>3.3629983487789095</v>
      </c>
      <c r="O16" s="95">
        <f t="shared" si="1"/>
        <v>2.14735605</v>
      </c>
      <c r="P16" s="95">
        <f t="shared" si="2"/>
        <v>1.3497780599999998</v>
      </c>
      <c r="Q16" s="95">
        <f t="shared" si="3"/>
        <v>3.4971341099999997</v>
      </c>
      <c r="R16" s="94" t="s">
        <v>543</v>
      </c>
    </row>
    <row r="17" spans="1:18" s="53" customFormat="1" x14ac:dyDescent="0.2">
      <c r="A17" s="94" t="s">
        <v>383</v>
      </c>
      <c r="B17" s="94" t="s">
        <v>158</v>
      </c>
      <c r="C17" s="94">
        <v>1601299</v>
      </c>
      <c r="D17" s="94" t="s">
        <v>497</v>
      </c>
      <c r="E17" s="95">
        <v>15</v>
      </c>
      <c r="F17" s="95">
        <v>15</v>
      </c>
      <c r="G17" s="95">
        <v>15</v>
      </c>
      <c r="H17" s="95"/>
      <c r="I17" s="95">
        <v>5250</v>
      </c>
      <c r="J17" s="95">
        <v>39297.865413515625</v>
      </c>
      <c r="K17" s="95">
        <v>12054.80384</v>
      </c>
      <c r="L17" s="95">
        <v>6448.1352000000006</v>
      </c>
      <c r="M17" s="95">
        <v>62657.527746231492</v>
      </c>
      <c r="N17" s="95">
        <f t="shared" si="0"/>
        <v>5.894679812027344</v>
      </c>
      <c r="O17" s="95">
        <f t="shared" si="1"/>
        <v>1.8082205760000001</v>
      </c>
      <c r="P17" s="95">
        <f t="shared" si="2"/>
        <v>0.96722028000000004</v>
      </c>
      <c r="Q17" s="95">
        <f t="shared" si="3"/>
        <v>2.7754408560000003</v>
      </c>
      <c r="R17" s="94" t="s">
        <v>543</v>
      </c>
    </row>
    <row r="18" spans="1:18" s="53" customFormat="1" x14ac:dyDescent="0.2">
      <c r="A18" s="94" t="s">
        <v>383</v>
      </c>
      <c r="B18" s="94" t="s">
        <v>158</v>
      </c>
      <c r="C18" s="94">
        <v>1600939</v>
      </c>
      <c r="D18" s="94" t="s">
        <v>172</v>
      </c>
      <c r="E18" s="95">
        <v>2</v>
      </c>
      <c r="F18" s="95">
        <v>2</v>
      </c>
      <c r="G18" s="95">
        <v>2</v>
      </c>
      <c r="H18" s="95"/>
      <c r="I18" s="95">
        <v>5250</v>
      </c>
      <c r="J18" s="95">
        <v>39654.505427713069</v>
      </c>
      <c r="K18" s="95">
        <v>12791.45285</v>
      </c>
      <c r="L18" s="95">
        <v>5937.9168</v>
      </c>
      <c r="M18" s="95">
        <v>63278.800506305299</v>
      </c>
      <c r="N18" s="95">
        <f t="shared" si="0"/>
        <v>0.79309010855426143</v>
      </c>
      <c r="O18" s="95">
        <f t="shared" si="1"/>
        <v>0.25582905699999997</v>
      </c>
      <c r="P18" s="95">
        <f t="shared" si="2"/>
        <v>0.11875833600000001</v>
      </c>
      <c r="Q18" s="95">
        <f t="shared" si="3"/>
        <v>0.37458739299999999</v>
      </c>
      <c r="R18" s="94" t="s">
        <v>543</v>
      </c>
    </row>
    <row r="19" spans="1:18" s="53" customFormat="1" x14ac:dyDescent="0.2">
      <c r="A19" s="94" t="s">
        <v>383</v>
      </c>
      <c r="B19" s="94" t="s">
        <v>158</v>
      </c>
      <c r="C19" s="94">
        <v>1601295</v>
      </c>
      <c r="D19" s="94" t="s">
        <v>498</v>
      </c>
      <c r="E19" s="95">
        <v>10</v>
      </c>
      <c r="F19" s="95">
        <v>10</v>
      </c>
      <c r="G19" s="95">
        <v>10</v>
      </c>
      <c r="H19" s="95"/>
      <c r="I19" s="95">
        <v>5250</v>
      </c>
      <c r="J19" s="95">
        <v>32307.195626852772</v>
      </c>
      <c r="K19" s="95">
        <v>12122.710200000001</v>
      </c>
      <c r="L19" s="95">
        <v>6270.3196000000007</v>
      </c>
      <c r="M19" s="95">
        <v>55991.372481848834</v>
      </c>
      <c r="N19" s="95">
        <f t="shared" si="0"/>
        <v>3.2307195626852772</v>
      </c>
      <c r="O19" s="95">
        <f t="shared" si="1"/>
        <v>1.2122710200000002</v>
      </c>
      <c r="P19" s="95">
        <f t="shared" si="2"/>
        <v>0.62703196000000005</v>
      </c>
      <c r="Q19" s="95">
        <f t="shared" si="3"/>
        <v>1.8393029800000003</v>
      </c>
      <c r="R19" s="94" t="s">
        <v>543</v>
      </c>
    </row>
    <row r="20" spans="1:18" s="53" customFormat="1" x14ac:dyDescent="0.2">
      <c r="A20" s="94" t="s">
        <v>383</v>
      </c>
      <c r="B20" s="94" t="s">
        <v>158</v>
      </c>
      <c r="C20" s="94">
        <v>1600792</v>
      </c>
      <c r="D20" s="94" t="s">
        <v>539</v>
      </c>
      <c r="E20" s="95">
        <v>10</v>
      </c>
      <c r="F20" s="95">
        <v>10</v>
      </c>
      <c r="G20" s="95">
        <v>10</v>
      </c>
      <c r="H20" s="95"/>
      <c r="I20" s="95">
        <v>5250</v>
      </c>
      <c r="J20" s="95">
        <v>39654.505427713069</v>
      </c>
      <c r="K20" s="95">
        <v>12791.45285</v>
      </c>
      <c r="L20" s="95">
        <v>5937.9168</v>
      </c>
      <c r="M20" s="95">
        <v>63278.800506305299</v>
      </c>
      <c r="N20" s="95">
        <f t="shared" si="0"/>
        <v>3.9654505427713072</v>
      </c>
      <c r="O20" s="95">
        <f t="shared" si="1"/>
        <v>1.279145285</v>
      </c>
      <c r="P20" s="95">
        <f t="shared" si="2"/>
        <v>0.59379167999999993</v>
      </c>
      <c r="Q20" s="95">
        <f t="shared" si="3"/>
        <v>1.8729369650000001</v>
      </c>
      <c r="R20" s="94" t="s">
        <v>543</v>
      </c>
    </row>
    <row r="21" spans="1:18" s="53" customFormat="1" x14ac:dyDescent="0.2">
      <c r="A21" s="94" t="s">
        <v>383</v>
      </c>
      <c r="B21" s="94" t="s">
        <v>158</v>
      </c>
      <c r="C21" s="94">
        <v>1601297</v>
      </c>
      <c r="D21" s="94" t="s">
        <v>500</v>
      </c>
      <c r="E21" s="95">
        <v>15</v>
      </c>
      <c r="F21" s="95"/>
      <c r="G21" s="95">
        <v>15</v>
      </c>
      <c r="H21" s="95"/>
      <c r="I21" s="95">
        <v>5250</v>
      </c>
      <c r="J21" s="95">
        <v>39293.793172329992</v>
      </c>
      <c r="K21" s="95">
        <v>13862.49231</v>
      </c>
      <c r="L21" s="95">
        <v>13341.492</v>
      </c>
      <c r="M21" s="95">
        <v>71354.064569614886</v>
      </c>
      <c r="N21" s="95">
        <f t="shared" si="0"/>
        <v>0</v>
      </c>
      <c r="O21" s="95">
        <f t="shared" si="1"/>
        <v>0</v>
      </c>
      <c r="P21" s="95">
        <f t="shared" si="2"/>
        <v>2.0012238</v>
      </c>
      <c r="Q21" s="95">
        <f t="shared" si="3"/>
        <v>2.0012238</v>
      </c>
      <c r="R21" s="94" t="s">
        <v>543</v>
      </c>
    </row>
    <row r="22" spans="1:18" s="53" customFormat="1" x14ac:dyDescent="0.2">
      <c r="A22" s="94" t="s">
        <v>383</v>
      </c>
      <c r="B22" s="94" t="s">
        <v>158</v>
      </c>
      <c r="C22" s="94">
        <v>1600826</v>
      </c>
      <c r="D22" s="94" t="s">
        <v>130</v>
      </c>
      <c r="E22" s="95">
        <v>12</v>
      </c>
      <c r="F22" s="95">
        <v>12</v>
      </c>
      <c r="G22" s="95">
        <v>12</v>
      </c>
      <c r="H22" s="95"/>
      <c r="I22" s="95">
        <v>5250</v>
      </c>
      <c r="J22" s="95">
        <v>46556.493091635806</v>
      </c>
      <c r="K22" s="95">
        <v>15965.345000000001</v>
      </c>
      <c r="L22" s="95">
        <v>23145.275900000001</v>
      </c>
      <c r="M22" s="95">
        <v>90679.37883495295</v>
      </c>
      <c r="N22" s="95">
        <f t="shared" si="0"/>
        <v>5.5867791709962962</v>
      </c>
      <c r="O22" s="95">
        <f t="shared" si="1"/>
        <v>1.9158414000000001</v>
      </c>
      <c r="P22" s="95">
        <f t="shared" si="2"/>
        <v>2.7774331079999999</v>
      </c>
      <c r="Q22" s="95">
        <f t="shared" si="3"/>
        <v>4.693274508</v>
      </c>
      <c r="R22" s="94" t="s">
        <v>543</v>
      </c>
    </row>
    <row r="23" spans="1:18" s="53" customFormat="1" x14ac:dyDescent="0.2">
      <c r="A23" s="94" t="s">
        <v>383</v>
      </c>
      <c r="B23" s="94" t="s">
        <v>158</v>
      </c>
      <c r="C23" s="94">
        <v>1600830</v>
      </c>
      <c r="D23" s="94" t="s">
        <v>540</v>
      </c>
      <c r="E23" s="95">
        <v>15</v>
      </c>
      <c r="F23" s="95">
        <v>15</v>
      </c>
      <c r="G23" s="95">
        <v>15</v>
      </c>
      <c r="H23" s="95"/>
      <c r="I23" s="95">
        <v>5250</v>
      </c>
      <c r="J23" s="95">
        <v>34995.049078855947</v>
      </c>
      <c r="K23" s="95">
        <v>15960.117000000002</v>
      </c>
      <c r="L23" s="95">
        <v>23222.842499999999</v>
      </c>
      <c r="M23" s="95">
        <v>80008.727649363704</v>
      </c>
      <c r="N23" s="95">
        <f t="shared" si="0"/>
        <v>5.2492573618283922</v>
      </c>
      <c r="O23" s="95">
        <f t="shared" si="1"/>
        <v>2.3940175500000005</v>
      </c>
      <c r="P23" s="95">
        <f t="shared" si="2"/>
        <v>3.4834263749999996</v>
      </c>
      <c r="Q23" s="95">
        <f t="shared" si="3"/>
        <v>5.8774439249999997</v>
      </c>
      <c r="R23" s="94" t="s">
        <v>543</v>
      </c>
    </row>
    <row r="24" spans="1:18" s="53" customFormat="1" ht="25.5" x14ac:dyDescent="0.2">
      <c r="A24" s="94" t="s">
        <v>383</v>
      </c>
      <c r="B24" s="94" t="s">
        <v>158</v>
      </c>
      <c r="C24" s="94">
        <v>1601204</v>
      </c>
      <c r="D24" s="94" t="s">
        <v>541</v>
      </c>
      <c r="E24" s="95">
        <v>5</v>
      </c>
      <c r="F24" s="95">
        <v>5</v>
      </c>
      <c r="G24" s="95">
        <v>5</v>
      </c>
      <c r="H24" s="95"/>
      <c r="I24" s="95">
        <v>5250</v>
      </c>
      <c r="J24" s="95">
        <v>34995.049078855947</v>
      </c>
      <c r="K24" s="95">
        <v>15960.117000000002</v>
      </c>
      <c r="L24" s="95">
        <v>23222.842499999999</v>
      </c>
      <c r="M24" s="95">
        <v>80008.727649363704</v>
      </c>
      <c r="N24" s="95">
        <f t="shared" si="0"/>
        <v>1.7497524539427975</v>
      </c>
      <c r="O24" s="95">
        <f t="shared" si="1"/>
        <v>0.79800585000000002</v>
      </c>
      <c r="P24" s="95">
        <f t="shared" si="2"/>
        <v>1.161142125</v>
      </c>
      <c r="Q24" s="95">
        <f t="shared" si="3"/>
        <v>1.959147975</v>
      </c>
      <c r="R24" s="94" t="s">
        <v>543</v>
      </c>
    </row>
    <row r="25" spans="1:18" s="53" customFormat="1" x14ac:dyDescent="0.2">
      <c r="A25" s="94" t="s">
        <v>383</v>
      </c>
      <c r="B25" s="94" t="s">
        <v>158</v>
      </c>
      <c r="C25" s="94">
        <v>1600827</v>
      </c>
      <c r="D25" s="94" t="s">
        <v>227</v>
      </c>
      <c r="E25" s="95">
        <v>8</v>
      </c>
      <c r="F25" s="95">
        <v>2.375</v>
      </c>
      <c r="G25" s="95">
        <v>8</v>
      </c>
      <c r="H25" s="95"/>
      <c r="I25" s="95">
        <v>5250</v>
      </c>
      <c r="J25" s="95">
        <v>34995.049078855947</v>
      </c>
      <c r="K25" s="95">
        <v>15960.117000000002</v>
      </c>
      <c r="L25" s="95">
        <v>15822.6684</v>
      </c>
      <c r="M25" s="95">
        <v>72696.14689759491</v>
      </c>
      <c r="N25" s="95">
        <f t="shared" si="0"/>
        <v>0.83113241562282869</v>
      </c>
      <c r="O25" s="95">
        <f t="shared" si="1"/>
        <v>0.3790527787500001</v>
      </c>
      <c r="P25" s="95">
        <f t="shared" si="2"/>
        <v>1.2658134720000001</v>
      </c>
      <c r="Q25" s="95">
        <f t="shared" si="3"/>
        <v>1.6448662507500003</v>
      </c>
      <c r="R25" s="94" t="s">
        <v>543</v>
      </c>
    </row>
    <row r="26" spans="1:18" s="53" customFormat="1" x14ac:dyDescent="0.2">
      <c r="A26" s="94" t="s">
        <v>383</v>
      </c>
      <c r="B26" s="94" t="s">
        <v>158</v>
      </c>
      <c r="C26" s="94">
        <v>1600478</v>
      </c>
      <c r="D26" s="94" t="s">
        <v>132</v>
      </c>
      <c r="E26" s="95">
        <v>4</v>
      </c>
      <c r="F26" s="95">
        <v>4</v>
      </c>
      <c r="G26" s="95">
        <v>4</v>
      </c>
      <c r="H26" s="95"/>
      <c r="I26" s="95">
        <v>5250</v>
      </c>
      <c r="J26" s="95">
        <v>41412.947150439475</v>
      </c>
      <c r="K26" s="95">
        <v>16766.112624000001</v>
      </c>
      <c r="L26" s="95">
        <v>21860.431199999999</v>
      </c>
      <c r="M26" s="95">
        <v>85717.884114185799</v>
      </c>
      <c r="N26" s="95">
        <f t="shared" si="0"/>
        <v>1.6565178860175791</v>
      </c>
      <c r="O26" s="95">
        <f t="shared" si="1"/>
        <v>0.67064450496000005</v>
      </c>
      <c r="P26" s="95">
        <f t="shared" si="2"/>
        <v>0.87441724799999998</v>
      </c>
      <c r="Q26" s="95">
        <f t="shared" si="3"/>
        <v>1.5450617529600001</v>
      </c>
      <c r="R26" s="94" t="s">
        <v>543</v>
      </c>
    </row>
    <row r="27" spans="1:18" s="53" customFormat="1" x14ac:dyDescent="0.2">
      <c r="A27" s="94" t="s">
        <v>383</v>
      </c>
      <c r="B27" s="94" t="s">
        <v>158</v>
      </c>
      <c r="C27" s="94">
        <v>1601314</v>
      </c>
      <c r="D27" s="94" t="s">
        <v>484</v>
      </c>
      <c r="E27" s="95">
        <v>25</v>
      </c>
      <c r="F27" s="95">
        <v>25</v>
      </c>
      <c r="G27" s="95">
        <v>25</v>
      </c>
      <c r="H27" s="95"/>
      <c r="I27" s="95">
        <v>5250</v>
      </c>
      <c r="J27" s="95">
        <v>41412.947150439475</v>
      </c>
      <c r="K27" s="95">
        <v>16766.112624000001</v>
      </c>
      <c r="L27" s="95">
        <v>24971.833000000002</v>
      </c>
      <c r="M27" s="95">
        <v>88829.285914185806</v>
      </c>
      <c r="N27" s="95">
        <f t="shared" si="0"/>
        <v>10.35323678760987</v>
      </c>
      <c r="O27" s="95">
        <f t="shared" si="1"/>
        <v>4.1915281560000004</v>
      </c>
      <c r="P27" s="95">
        <f t="shared" si="2"/>
        <v>6.2429582500000009</v>
      </c>
      <c r="Q27" s="95">
        <f t="shared" si="3"/>
        <v>10.434486406000001</v>
      </c>
      <c r="R27" s="94" t="s">
        <v>543</v>
      </c>
    </row>
    <row r="28" spans="1:18" s="53" customFormat="1" x14ac:dyDescent="0.2">
      <c r="A28" s="94" t="s">
        <v>383</v>
      </c>
      <c r="B28" s="94" t="s">
        <v>158</v>
      </c>
      <c r="C28" s="94">
        <v>1600891</v>
      </c>
      <c r="D28" s="94" t="s">
        <v>486</v>
      </c>
      <c r="E28" s="95">
        <v>8</v>
      </c>
      <c r="F28" s="95">
        <v>8</v>
      </c>
      <c r="G28" s="95">
        <v>8</v>
      </c>
      <c r="H28" s="95"/>
      <c r="I28" s="95"/>
      <c r="J28" s="95">
        <v>0</v>
      </c>
      <c r="K28" s="95">
        <v>102865.09420000002</v>
      </c>
      <c r="L28" s="95">
        <v>26175.903899999994</v>
      </c>
      <c r="M28" s="95">
        <v>153976.31045082287</v>
      </c>
      <c r="N28" s="95">
        <f t="shared" si="0"/>
        <v>0</v>
      </c>
      <c r="O28" s="95">
        <f t="shared" si="1"/>
        <v>8.2292075360000023</v>
      </c>
      <c r="P28" s="95">
        <f t="shared" si="2"/>
        <v>2.0940723119999993</v>
      </c>
      <c r="Q28" s="95">
        <f t="shared" si="3"/>
        <v>10.323279848000002</v>
      </c>
      <c r="R28" s="94" t="s">
        <v>543</v>
      </c>
    </row>
    <row r="29" spans="1:18" s="53" customFormat="1" x14ac:dyDescent="0.2">
      <c r="A29" s="94" t="s">
        <v>383</v>
      </c>
      <c r="B29" s="94" t="s">
        <v>158</v>
      </c>
      <c r="C29" s="94">
        <v>1600892</v>
      </c>
      <c r="D29" s="94" t="s">
        <v>364</v>
      </c>
      <c r="E29" s="95">
        <v>13</v>
      </c>
      <c r="F29" s="95">
        <v>2</v>
      </c>
      <c r="G29" s="95">
        <v>13</v>
      </c>
      <c r="H29" s="95"/>
      <c r="I29" s="95"/>
      <c r="J29" s="95">
        <v>0</v>
      </c>
      <c r="K29" s="95">
        <v>84697.840002199999</v>
      </c>
      <c r="L29" s="95">
        <v>31353.311200000004</v>
      </c>
      <c r="M29" s="95">
        <v>140986.46355302286</v>
      </c>
      <c r="N29" s="95">
        <f t="shared" si="0"/>
        <v>0</v>
      </c>
      <c r="O29" s="95">
        <f t="shared" si="1"/>
        <v>1.693956800044</v>
      </c>
      <c r="P29" s="95">
        <f t="shared" si="2"/>
        <v>4.0759304560000009</v>
      </c>
      <c r="Q29" s="95">
        <f t="shared" si="3"/>
        <v>5.7698872560440009</v>
      </c>
      <c r="R29" s="94" t="s">
        <v>543</v>
      </c>
    </row>
    <row r="30" spans="1:18" s="53" customFormat="1" x14ac:dyDescent="0.2">
      <c r="A30" s="94" t="s">
        <v>383</v>
      </c>
      <c r="B30" s="94" t="s">
        <v>158</v>
      </c>
      <c r="C30" s="94">
        <v>1600894</v>
      </c>
      <c r="D30" s="94" t="s">
        <v>394</v>
      </c>
      <c r="E30" s="95">
        <v>2</v>
      </c>
      <c r="F30" s="95">
        <v>2</v>
      </c>
      <c r="G30" s="95">
        <v>2</v>
      </c>
      <c r="H30" s="95"/>
      <c r="I30" s="95"/>
      <c r="J30" s="95">
        <v>0</v>
      </c>
      <c r="K30" s="95">
        <v>87202.891999999993</v>
      </c>
      <c r="L30" s="95">
        <v>25840.550599999999</v>
      </c>
      <c r="M30" s="95">
        <v>137978.75495082285</v>
      </c>
      <c r="N30" s="95">
        <f t="shared" si="0"/>
        <v>0</v>
      </c>
      <c r="O30" s="95">
        <f t="shared" si="1"/>
        <v>1.7440578399999997</v>
      </c>
      <c r="P30" s="95">
        <f t="shared" si="2"/>
        <v>0.51681101200000001</v>
      </c>
      <c r="Q30" s="95">
        <f t="shared" si="3"/>
        <v>2.2608688519999998</v>
      </c>
      <c r="R30" s="94" t="s">
        <v>543</v>
      </c>
    </row>
    <row r="31" spans="1:18" s="53" customFormat="1" x14ac:dyDescent="0.2">
      <c r="A31" s="94" t="s">
        <v>383</v>
      </c>
      <c r="B31" s="94" t="s">
        <v>158</v>
      </c>
      <c r="C31" s="94">
        <v>1600896</v>
      </c>
      <c r="D31" s="94" t="s">
        <v>395</v>
      </c>
      <c r="E31" s="95">
        <v>2.5</v>
      </c>
      <c r="F31" s="95">
        <v>2.5</v>
      </c>
      <c r="G31" s="95">
        <v>2.5</v>
      </c>
      <c r="H31" s="95"/>
      <c r="I31" s="95"/>
      <c r="J31" s="95">
        <v>0</v>
      </c>
      <c r="K31" s="95">
        <v>87202.891999999993</v>
      </c>
      <c r="L31" s="95">
        <v>31098.911800000002</v>
      </c>
      <c r="M31" s="95">
        <v>143237.11615082284</v>
      </c>
      <c r="N31" s="95">
        <f t="shared" si="0"/>
        <v>0</v>
      </c>
      <c r="O31" s="95">
        <f t="shared" si="1"/>
        <v>2.1800723</v>
      </c>
      <c r="P31" s="95">
        <f t="shared" si="2"/>
        <v>0.77747279499999999</v>
      </c>
      <c r="Q31" s="95">
        <f t="shared" si="3"/>
        <v>2.957545095</v>
      </c>
      <c r="R31" s="94" t="s">
        <v>543</v>
      </c>
    </row>
    <row r="32" spans="1:18" s="53" customFormat="1" x14ac:dyDescent="0.2">
      <c r="A32" s="94" t="s">
        <v>383</v>
      </c>
      <c r="B32" s="94" t="s">
        <v>158</v>
      </c>
      <c r="C32" s="94">
        <v>1600893</v>
      </c>
      <c r="D32" s="94" t="s">
        <v>487</v>
      </c>
      <c r="E32" s="95">
        <v>1</v>
      </c>
      <c r="F32" s="95">
        <v>1</v>
      </c>
      <c r="G32" s="95">
        <v>1</v>
      </c>
      <c r="H32" s="95"/>
      <c r="I32" s="95"/>
      <c r="J32" s="95">
        <v>0</v>
      </c>
      <c r="K32" s="95">
        <v>84816.485579999993</v>
      </c>
      <c r="L32" s="95">
        <v>25840.550599999999</v>
      </c>
      <c r="M32" s="95">
        <v>135592.34853082284</v>
      </c>
      <c r="N32" s="95">
        <f t="shared" si="0"/>
        <v>0</v>
      </c>
      <c r="O32" s="95">
        <f t="shared" si="1"/>
        <v>0.84816485579999989</v>
      </c>
      <c r="P32" s="95">
        <f t="shared" si="2"/>
        <v>0.25840550600000001</v>
      </c>
      <c r="Q32" s="95">
        <f t="shared" si="3"/>
        <v>1.1065703617999998</v>
      </c>
      <c r="R32" s="94" t="s">
        <v>543</v>
      </c>
    </row>
    <row r="33" spans="1:18" s="53" customFormat="1" x14ac:dyDescent="0.2">
      <c r="A33" s="94" t="s">
        <v>383</v>
      </c>
      <c r="B33" s="94" t="s">
        <v>158</v>
      </c>
      <c r="C33" s="94">
        <v>1600895</v>
      </c>
      <c r="D33" s="94" t="s">
        <v>404</v>
      </c>
      <c r="E33" s="95">
        <v>2</v>
      </c>
      <c r="F33" s="95">
        <v>2</v>
      </c>
      <c r="G33" s="95">
        <v>2</v>
      </c>
      <c r="H33" s="95"/>
      <c r="I33" s="95"/>
      <c r="J33" s="95">
        <v>0</v>
      </c>
      <c r="K33" s="95">
        <v>85945.477580000006</v>
      </c>
      <c r="L33" s="95">
        <v>31081.248100000001</v>
      </c>
      <c r="M33" s="95">
        <v>117114.31902823121</v>
      </c>
      <c r="N33" s="95">
        <f t="shared" si="0"/>
        <v>0</v>
      </c>
      <c r="O33" s="95">
        <f t="shared" si="1"/>
        <v>1.7189095516000001</v>
      </c>
      <c r="P33" s="95">
        <f t="shared" si="2"/>
        <v>0.62162496200000006</v>
      </c>
      <c r="Q33" s="95">
        <f t="shared" si="3"/>
        <v>2.3405345136000002</v>
      </c>
      <c r="R33" s="94" t="s">
        <v>543</v>
      </c>
    </row>
    <row r="34" spans="1:18" s="53" customFormat="1" x14ac:dyDescent="0.2">
      <c r="A34" s="94" t="s">
        <v>383</v>
      </c>
      <c r="B34" s="94" t="s">
        <v>159</v>
      </c>
      <c r="C34" s="94">
        <v>1601207</v>
      </c>
      <c r="D34" s="94" t="s">
        <v>396</v>
      </c>
      <c r="E34" s="95">
        <v>30</v>
      </c>
      <c r="F34" s="95">
        <v>30</v>
      </c>
      <c r="G34" s="95">
        <v>30</v>
      </c>
      <c r="H34" s="95"/>
      <c r="I34" s="95"/>
      <c r="J34" s="95">
        <v>0</v>
      </c>
      <c r="K34" s="95">
        <v>19739.583599999998</v>
      </c>
      <c r="L34" s="95">
        <v>52206.436999999998</v>
      </c>
      <c r="M34" s="95">
        <v>89898.871319318423</v>
      </c>
      <c r="N34" s="95">
        <f t="shared" si="0"/>
        <v>0</v>
      </c>
      <c r="O34" s="95">
        <f t="shared" si="1"/>
        <v>5.9218750799999995</v>
      </c>
      <c r="P34" s="95">
        <f t="shared" si="2"/>
        <v>15.661931099999999</v>
      </c>
      <c r="Q34" s="95">
        <f t="shared" si="3"/>
        <v>21.583806179999996</v>
      </c>
      <c r="R34" s="94" t="s">
        <v>543</v>
      </c>
    </row>
    <row r="35" spans="1:18" s="53" customFormat="1" x14ac:dyDescent="0.2">
      <c r="A35" s="94" t="s">
        <v>383</v>
      </c>
      <c r="B35" s="94" t="s">
        <v>159</v>
      </c>
      <c r="C35" s="94">
        <v>1601208</v>
      </c>
      <c r="D35" s="94" t="s">
        <v>491</v>
      </c>
      <c r="E35" s="95">
        <v>24</v>
      </c>
      <c r="F35" s="95">
        <v>24</v>
      </c>
      <c r="G35" s="95">
        <v>24</v>
      </c>
      <c r="H35" s="95"/>
      <c r="I35" s="95"/>
      <c r="J35" s="95">
        <v>0</v>
      </c>
      <c r="K35" s="95">
        <v>19739.583599999998</v>
      </c>
      <c r="L35" s="95">
        <v>31850.345000000001</v>
      </c>
      <c r="M35" s="95">
        <v>59583.290711292721</v>
      </c>
      <c r="N35" s="95">
        <f t="shared" si="0"/>
        <v>0</v>
      </c>
      <c r="O35" s="95">
        <f t="shared" si="1"/>
        <v>4.7375000639999998</v>
      </c>
      <c r="P35" s="95">
        <f t="shared" si="2"/>
        <v>7.6440828000000005</v>
      </c>
      <c r="Q35" s="95">
        <f t="shared" si="3"/>
        <v>12.381582864</v>
      </c>
      <c r="R35" s="94" t="s">
        <v>543</v>
      </c>
    </row>
    <row r="36" spans="1:18" s="53" customFormat="1" x14ac:dyDescent="0.2">
      <c r="A36" s="94" t="s">
        <v>383</v>
      </c>
      <c r="B36" s="94" t="s">
        <v>159</v>
      </c>
      <c r="C36" s="94">
        <v>1601209</v>
      </c>
      <c r="D36" s="94" t="s">
        <v>504</v>
      </c>
      <c r="E36" s="95">
        <v>38</v>
      </c>
      <c r="F36" s="95">
        <v>15.22</v>
      </c>
      <c r="G36" s="95">
        <v>38</v>
      </c>
      <c r="H36" s="95"/>
      <c r="I36" s="95"/>
      <c r="J36" s="95">
        <v>0</v>
      </c>
      <c r="K36" s="95">
        <v>19739.583599999998</v>
      </c>
      <c r="L36" s="95">
        <v>25622.179</v>
      </c>
      <c r="M36" s="95">
        <v>52037.701771055654</v>
      </c>
      <c r="N36" s="95">
        <f t="shared" si="0"/>
        <v>0</v>
      </c>
      <c r="O36" s="95">
        <f t="shared" si="1"/>
        <v>3.0043646239199995</v>
      </c>
      <c r="P36" s="95">
        <f t="shared" si="2"/>
        <v>9.73642802</v>
      </c>
      <c r="Q36" s="95">
        <f t="shared" si="3"/>
        <v>12.740792643919999</v>
      </c>
      <c r="R36" s="94" t="s">
        <v>543</v>
      </c>
    </row>
    <row r="37" spans="1:18" s="53" customFormat="1" x14ac:dyDescent="0.2">
      <c r="A37" s="94" t="s">
        <v>383</v>
      </c>
      <c r="B37" s="94" t="s">
        <v>158</v>
      </c>
      <c r="C37" s="94">
        <v>1600560</v>
      </c>
      <c r="D37" s="94" t="s">
        <v>218</v>
      </c>
      <c r="E37" s="95">
        <v>1.9908999999999999</v>
      </c>
      <c r="F37" s="95">
        <v>1.9908999999999999</v>
      </c>
      <c r="G37" s="95">
        <v>1.9908999999999999</v>
      </c>
      <c r="H37" s="95"/>
      <c r="I37" s="95"/>
      <c r="J37" s="95">
        <v>0</v>
      </c>
      <c r="K37" s="95">
        <v>32376.742599999998</v>
      </c>
      <c r="L37" s="95">
        <v>37485.000399999997</v>
      </c>
      <c r="M37" s="95">
        <v>87925.698228974652</v>
      </c>
      <c r="N37" s="95">
        <f t="shared" si="0"/>
        <v>0</v>
      </c>
      <c r="O37" s="95">
        <f t="shared" si="1"/>
        <v>0.64458856842339995</v>
      </c>
      <c r="P37" s="95">
        <f t="shared" si="2"/>
        <v>0.74628887296359991</v>
      </c>
      <c r="Q37" s="95">
        <f t="shared" si="3"/>
        <v>1.390877441387</v>
      </c>
      <c r="R37" s="94" t="s">
        <v>543</v>
      </c>
    </row>
    <row r="38" spans="1:18" s="53" customFormat="1" x14ac:dyDescent="0.2">
      <c r="A38" s="94" t="s">
        <v>383</v>
      </c>
      <c r="B38" s="94" t="s">
        <v>158</v>
      </c>
      <c r="C38" s="94">
        <v>1600561</v>
      </c>
      <c r="D38" s="94" t="s">
        <v>312</v>
      </c>
      <c r="E38" s="95">
        <v>1.78118</v>
      </c>
      <c r="F38" s="95">
        <v>1.78118</v>
      </c>
      <c r="G38" s="95">
        <v>1.78118</v>
      </c>
      <c r="H38" s="95"/>
      <c r="I38" s="95"/>
      <c r="J38" s="95">
        <v>0</v>
      </c>
      <c r="K38" s="95">
        <v>32376.742599999998</v>
      </c>
      <c r="L38" s="95">
        <v>13425.9835</v>
      </c>
      <c r="M38" s="95">
        <v>63534.924594972923</v>
      </c>
      <c r="N38" s="95">
        <f t="shared" si="0"/>
        <v>0</v>
      </c>
      <c r="O38" s="95">
        <f t="shared" si="1"/>
        <v>0.57668806384268001</v>
      </c>
      <c r="P38" s="95">
        <f t="shared" si="2"/>
        <v>0.2391409329053</v>
      </c>
      <c r="Q38" s="95">
        <f t="shared" si="3"/>
        <v>0.81582899674798004</v>
      </c>
      <c r="R38" s="94" t="s">
        <v>543</v>
      </c>
    </row>
    <row r="39" spans="1:18" s="53" customFormat="1" x14ac:dyDescent="0.2">
      <c r="A39" s="94" t="s">
        <v>383</v>
      </c>
      <c r="B39" s="94" t="s">
        <v>158</v>
      </c>
      <c r="C39" s="94">
        <v>1601137</v>
      </c>
      <c r="D39" s="94" t="s">
        <v>410</v>
      </c>
      <c r="E39" s="95">
        <v>6.5839999999999996</v>
      </c>
      <c r="F39" s="95">
        <v>6.5839999999999996</v>
      </c>
      <c r="G39" s="95">
        <v>6.5839999999999996</v>
      </c>
      <c r="H39" s="95"/>
      <c r="I39" s="95"/>
      <c r="J39" s="95">
        <v>0</v>
      </c>
      <c r="K39" s="95">
        <v>31634.667800000003</v>
      </c>
      <c r="L39" s="95">
        <v>11795.961500000001</v>
      </c>
      <c r="M39" s="95">
        <v>60972.913685572341</v>
      </c>
      <c r="N39" s="95">
        <f t="shared" si="0"/>
        <v>0</v>
      </c>
      <c r="O39" s="95">
        <f t="shared" si="1"/>
        <v>2.0828265279520002</v>
      </c>
      <c r="P39" s="95">
        <f t="shared" si="2"/>
        <v>0.77664610515999999</v>
      </c>
      <c r="Q39" s="95">
        <f t="shared" si="3"/>
        <v>2.8594726331120004</v>
      </c>
      <c r="R39" s="94" t="s">
        <v>543</v>
      </c>
    </row>
    <row r="40" spans="1:18" s="53" customFormat="1" x14ac:dyDescent="0.2">
      <c r="A40" s="94" t="s">
        <v>383</v>
      </c>
      <c r="B40" s="94" t="s">
        <v>158</v>
      </c>
      <c r="C40" s="94">
        <v>1600742</v>
      </c>
      <c r="D40" s="94" t="s">
        <v>313</v>
      </c>
      <c r="E40" s="95">
        <v>0.28079000000000004</v>
      </c>
      <c r="F40" s="95">
        <v>0.28079000000000004</v>
      </c>
      <c r="G40" s="95">
        <v>0.28079000000000004</v>
      </c>
      <c r="H40" s="95"/>
      <c r="I40" s="95"/>
      <c r="J40" s="95">
        <v>0</v>
      </c>
      <c r="K40" s="95">
        <v>32376.742599999998</v>
      </c>
      <c r="L40" s="95">
        <v>54464.549100000004</v>
      </c>
      <c r="M40" s="95">
        <v>104901.96463840263</v>
      </c>
      <c r="N40" s="95">
        <f t="shared" si="0"/>
        <v>0</v>
      </c>
      <c r="O40" s="95">
        <f t="shared" si="1"/>
        <v>9.0910655546540001E-2</v>
      </c>
      <c r="P40" s="95">
        <f t="shared" si="2"/>
        <v>0.15293100741789004</v>
      </c>
      <c r="Q40" s="95">
        <f t="shared" si="3"/>
        <v>0.24384166296443005</v>
      </c>
      <c r="R40" s="94" t="s">
        <v>543</v>
      </c>
    </row>
    <row r="41" spans="1:18" s="53" customFormat="1" x14ac:dyDescent="0.2">
      <c r="A41" s="94" t="s">
        <v>383</v>
      </c>
      <c r="B41" s="94" t="s">
        <v>158</v>
      </c>
      <c r="C41" s="94">
        <v>1601087</v>
      </c>
      <c r="D41" s="94" t="s">
        <v>531</v>
      </c>
      <c r="E41" s="95">
        <v>0.8</v>
      </c>
      <c r="F41" s="95">
        <v>0.8</v>
      </c>
      <c r="G41" s="95">
        <v>0.8</v>
      </c>
      <c r="H41" s="95"/>
      <c r="I41" s="95"/>
      <c r="J41" s="95"/>
      <c r="K41" s="95">
        <v>54747.253988492623</v>
      </c>
      <c r="L41" s="95">
        <v>14404.766500000002</v>
      </c>
      <c r="M41" s="95">
        <v>78262</v>
      </c>
      <c r="N41" s="95">
        <f t="shared" si="0"/>
        <v>0</v>
      </c>
      <c r="O41" s="95">
        <f t="shared" si="1"/>
        <v>0.43797803190794105</v>
      </c>
      <c r="P41" s="95">
        <f t="shared" si="2"/>
        <v>0.11523813200000002</v>
      </c>
      <c r="Q41" s="95">
        <f t="shared" si="3"/>
        <v>0.55321616390794104</v>
      </c>
      <c r="R41" s="94" t="s">
        <v>543</v>
      </c>
    </row>
    <row r="42" spans="1:18" s="53" customFormat="1" x14ac:dyDescent="0.2">
      <c r="A42" s="94" t="s">
        <v>383</v>
      </c>
      <c r="B42" s="94" t="s">
        <v>158</v>
      </c>
      <c r="C42" s="94">
        <v>1600847</v>
      </c>
      <c r="D42" s="94" t="s">
        <v>199</v>
      </c>
      <c r="E42" s="95">
        <v>0.37810000000000005</v>
      </c>
      <c r="F42" s="95">
        <v>0.37810000000000005</v>
      </c>
      <c r="G42" s="95">
        <v>0.37810000000000005</v>
      </c>
      <c r="H42" s="95"/>
      <c r="I42" s="95"/>
      <c r="J42" s="95">
        <v>0</v>
      </c>
      <c r="K42" s="95">
        <v>90078.310339999996</v>
      </c>
      <c r="L42" s="95">
        <v>353990.11790000001</v>
      </c>
      <c r="M42" s="95">
        <v>461075.50433514506</v>
      </c>
      <c r="N42" s="95">
        <f t="shared" si="0"/>
        <v>0</v>
      </c>
      <c r="O42" s="95">
        <f t="shared" si="1"/>
        <v>0.34058609139554008</v>
      </c>
      <c r="P42" s="95">
        <f t="shared" si="2"/>
        <v>1.3384366357799002</v>
      </c>
      <c r="Q42" s="95">
        <f t="shared" si="3"/>
        <v>1.6790227271754403</v>
      </c>
      <c r="R42" s="94" t="s">
        <v>543</v>
      </c>
    </row>
    <row r="43" spans="1:18" s="53" customFormat="1" x14ac:dyDescent="0.2">
      <c r="A43" s="94" t="s">
        <v>383</v>
      </c>
      <c r="B43" s="94" t="s">
        <v>158</v>
      </c>
      <c r="C43" s="94">
        <v>1600848</v>
      </c>
      <c r="D43" s="94" t="s">
        <v>472</v>
      </c>
      <c r="E43" s="95">
        <v>0.19400000000000001</v>
      </c>
      <c r="F43" s="95">
        <v>0.19400000000000001</v>
      </c>
      <c r="G43" s="95">
        <v>0.19400000000000001</v>
      </c>
      <c r="H43" s="95"/>
      <c r="I43" s="95"/>
      <c r="J43" s="95">
        <v>0</v>
      </c>
      <c r="K43" s="95">
        <v>90224.746039999998</v>
      </c>
      <c r="L43" s="95">
        <v>101998.5831</v>
      </c>
      <c r="M43" s="95">
        <v>209158.77492001266</v>
      </c>
      <c r="N43" s="95">
        <f t="shared" si="0"/>
        <v>0</v>
      </c>
      <c r="O43" s="95">
        <f t="shared" si="1"/>
        <v>0.17503600731760002</v>
      </c>
      <c r="P43" s="95">
        <f t="shared" si="2"/>
        <v>0.19787725121400002</v>
      </c>
      <c r="Q43" s="95">
        <f t="shared" si="3"/>
        <v>0.37291325853160007</v>
      </c>
      <c r="R43" s="94" t="s">
        <v>543</v>
      </c>
    </row>
    <row r="44" spans="1:18" s="53" customFormat="1" x14ac:dyDescent="0.2">
      <c r="A44" s="94" t="s">
        <v>383</v>
      </c>
      <c r="B44" s="94" t="s">
        <v>158</v>
      </c>
      <c r="C44" s="94">
        <v>1601130</v>
      </c>
      <c r="D44" s="94" t="s">
        <v>542</v>
      </c>
      <c r="E44" s="95">
        <v>0.3498</v>
      </c>
      <c r="F44" s="95">
        <v>0.3498</v>
      </c>
      <c r="G44" s="95">
        <v>0.3498</v>
      </c>
      <c r="H44" s="95"/>
      <c r="I44" s="95"/>
      <c r="J44" s="95">
        <v>0</v>
      </c>
      <c r="K44" s="95">
        <v>90224.746039999998</v>
      </c>
      <c r="L44" s="95">
        <v>157544.27800000002</v>
      </c>
      <c r="M44" s="95">
        <v>264729.82167131908</v>
      </c>
      <c r="N44" s="95">
        <f t="shared" si="0"/>
        <v>0</v>
      </c>
      <c r="O44" s="95">
        <f t="shared" si="1"/>
        <v>0.31560616164791999</v>
      </c>
      <c r="P44" s="95">
        <f t="shared" si="2"/>
        <v>0.55108988444400009</v>
      </c>
      <c r="Q44" s="95">
        <f t="shared" si="3"/>
        <v>0.86669604609192008</v>
      </c>
      <c r="R44" s="94" t="s">
        <v>543</v>
      </c>
    </row>
    <row r="45" spans="1:18" s="53" customFormat="1" x14ac:dyDescent="0.2">
      <c r="A45" s="94" t="s">
        <v>382</v>
      </c>
      <c r="B45" s="94" t="s">
        <v>159</v>
      </c>
      <c r="C45" s="94">
        <v>1601302</v>
      </c>
      <c r="D45" s="94" t="s">
        <v>509</v>
      </c>
      <c r="E45" s="95">
        <v>103</v>
      </c>
      <c r="F45" s="95">
        <v>103</v>
      </c>
      <c r="G45" s="95">
        <v>103</v>
      </c>
      <c r="H45" s="95" t="s">
        <v>533</v>
      </c>
      <c r="I45" s="95">
        <v>5250</v>
      </c>
      <c r="J45" s="95">
        <v>58224.0794035078</v>
      </c>
      <c r="K45" s="95">
        <v>13156.298269999999</v>
      </c>
      <c r="L45" s="95">
        <v>32243.659999999996</v>
      </c>
      <c r="M45" s="95">
        <v>125883.46114435655</v>
      </c>
      <c r="N45" s="95">
        <f t="shared" ref="N45:N103" si="4">$F45*J45/100000</f>
        <v>59.970801785613041</v>
      </c>
      <c r="O45" s="95">
        <f t="shared" ref="O45:O103" si="5">F45*K45/100000</f>
        <v>13.5509872181</v>
      </c>
      <c r="P45" s="95">
        <f t="shared" ref="P45:P103" si="6">L45*G45/100000</f>
        <v>33.210969799999994</v>
      </c>
      <c r="Q45" s="95">
        <f t="shared" ref="Q45:Q103" si="7">O45+P45</f>
        <v>46.761957018099992</v>
      </c>
      <c r="R45" s="94" t="s">
        <v>543</v>
      </c>
    </row>
    <row r="46" spans="1:18" s="53" customFormat="1" x14ac:dyDescent="0.2">
      <c r="A46" s="94" t="s">
        <v>382</v>
      </c>
      <c r="B46" s="94" t="s">
        <v>159</v>
      </c>
      <c r="C46" s="94">
        <v>1601303</v>
      </c>
      <c r="D46" s="94" t="s">
        <v>449</v>
      </c>
      <c r="E46" s="95">
        <v>24</v>
      </c>
      <c r="F46" s="95">
        <v>24</v>
      </c>
      <c r="G46" s="95">
        <v>24</v>
      </c>
      <c r="H46" s="95" t="s">
        <v>533</v>
      </c>
      <c r="I46" s="95">
        <v>5250</v>
      </c>
      <c r="J46" s="95">
        <v>52974.0794035078</v>
      </c>
      <c r="K46" s="95">
        <v>18406.298269999999</v>
      </c>
      <c r="L46" s="95">
        <v>17872.850900000001</v>
      </c>
      <c r="M46" s="95">
        <v>145811.57567956997</v>
      </c>
      <c r="N46" s="95">
        <f t="shared" si="4"/>
        <v>12.71377905684187</v>
      </c>
      <c r="O46" s="95">
        <f t="shared" si="5"/>
        <v>4.4175115847999997</v>
      </c>
      <c r="P46" s="95">
        <f t="shared" si="6"/>
        <v>4.289484216</v>
      </c>
      <c r="Q46" s="95">
        <f t="shared" si="7"/>
        <v>8.7069958007999997</v>
      </c>
      <c r="R46" s="94" t="s">
        <v>543</v>
      </c>
    </row>
    <row r="47" spans="1:18" s="53" customFormat="1" x14ac:dyDescent="0.2">
      <c r="A47" s="94" t="s">
        <v>382</v>
      </c>
      <c r="B47" s="94" t="s">
        <v>159</v>
      </c>
      <c r="C47" s="94">
        <v>1601304</v>
      </c>
      <c r="D47" s="94" t="s">
        <v>510</v>
      </c>
      <c r="E47" s="95">
        <v>27</v>
      </c>
      <c r="F47" s="95">
        <v>27</v>
      </c>
      <c r="G47" s="95">
        <v>27</v>
      </c>
      <c r="H47" s="95" t="s">
        <v>533</v>
      </c>
      <c r="I47" s="95">
        <v>5250</v>
      </c>
      <c r="J47" s="95">
        <v>53626.216194615808</v>
      </c>
      <c r="K47" s="95">
        <v>17271.055800000002</v>
      </c>
      <c r="L47" s="95">
        <v>16337.905399999998</v>
      </c>
      <c r="M47" s="95">
        <v>124756.40173436387</v>
      </c>
      <c r="N47" s="95">
        <f t="shared" si="4"/>
        <v>14.479078372546269</v>
      </c>
      <c r="O47" s="95">
        <f t="shared" si="5"/>
        <v>4.6631850660000005</v>
      </c>
      <c r="P47" s="95">
        <f t="shared" si="6"/>
        <v>4.4112344579999991</v>
      </c>
      <c r="Q47" s="95">
        <f t="shared" si="7"/>
        <v>9.0744195239999996</v>
      </c>
      <c r="R47" s="94" t="s">
        <v>543</v>
      </c>
    </row>
    <row r="48" spans="1:18" s="53" customFormat="1" x14ac:dyDescent="0.2">
      <c r="A48" s="94" t="s">
        <v>382</v>
      </c>
      <c r="B48" s="94" t="s">
        <v>159</v>
      </c>
      <c r="C48" s="94">
        <v>1601387</v>
      </c>
      <c r="D48" s="94" t="s">
        <v>511</v>
      </c>
      <c r="E48" s="95">
        <v>90</v>
      </c>
      <c r="F48" s="95">
        <v>90</v>
      </c>
      <c r="G48" s="95">
        <v>90</v>
      </c>
      <c r="H48" s="95" t="s">
        <v>533</v>
      </c>
      <c r="I48" s="95">
        <v>5250</v>
      </c>
      <c r="J48" s="95">
        <v>53626.216194615808</v>
      </c>
      <c r="K48" s="95">
        <v>17271.055800000002</v>
      </c>
      <c r="L48" s="95">
        <v>16337.905399999998</v>
      </c>
      <c r="M48" s="95">
        <v>124756.40173436387</v>
      </c>
      <c r="N48" s="95">
        <f t="shared" si="4"/>
        <v>48.263594575154229</v>
      </c>
      <c r="O48" s="95">
        <f t="shared" si="5"/>
        <v>15.543950220000001</v>
      </c>
      <c r="P48" s="95">
        <f t="shared" si="6"/>
        <v>14.704114859999997</v>
      </c>
      <c r="Q48" s="95">
        <f t="shared" si="7"/>
        <v>30.248065079999996</v>
      </c>
      <c r="R48" s="94" t="s">
        <v>543</v>
      </c>
    </row>
    <row r="49" spans="1:18" s="53" customFormat="1" x14ac:dyDescent="0.2">
      <c r="A49" s="94" t="s">
        <v>382</v>
      </c>
      <c r="B49" s="94" t="s">
        <v>159</v>
      </c>
      <c r="C49" s="94">
        <v>1601306</v>
      </c>
      <c r="D49" s="94" t="s">
        <v>512</v>
      </c>
      <c r="E49" s="95">
        <v>24</v>
      </c>
      <c r="F49" s="95">
        <v>24</v>
      </c>
      <c r="G49" s="95">
        <v>24</v>
      </c>
      <c r="H49" s="95" t="s">
        <v>533</v>
      </c>
      <c r="I49" s="95">
        <v>5250</v>
      </c>
      <c r="J49" s="95">
        <v>52974.0794035078</v>
      </c>
      <c r="K49" s="95">
        <v>18406.298269999999</v>
      </c>
      <c r="L49" s="95">
        <v>11382.333299999998</v>
      </c>
      <c r="M49" s="95">
        <v>115967</v>
      </c>
      <c r="N49" s="95">
        <f t="shared" si="4"/>
        <v>12.71377905684187</v>
      </c>
      <c r="O49" s="95">
        <f t="shared" si="5"/>
        <v>4.4175115847999997</v>
      </c>
      <c r="P49" s="95">
        <f t="shared" si="6"/>
        <v>2.7317599919999997</v>
      </c>
      <c r="Q49" s="95">
        <f t="shared" si="7"/>
        <v>7.1492715767999995</v>
      </c>
      <c r="R49" s="94" t="s">
        <v>543</v>
      </c>
    </row>
    <row r="50" spans="1:18" s="53" customFormat="1" x14ac:dyDescent="0.2">
      <c r="A50" s="94" t="s">
        <v>382</v>
      </c>
      <c r="B50" s="94" t="s">
        <v>159</v>
      </c>
      <c r="C50" s="94">
        <v>1601377</v>
      </c>
      <c r="D50" s="94" t="s">
        <v>513</v>
      </c>
      <c r="E50" s="95">
        <v>24</v>
      </c>
      <c r="F50" s="95">
        <v>24</v>
      </c>
      <c r="G50" s="95">
        <v>24</v>
      </c>
      <c r="H50" s="95" t="s">
        <v>533</v>
      </c>
      <c r="I50" s="95">
        <v>5250</v>
      </c>
      <c r="J50" s="95">
        <v>52974.0794035078</v>
      </c>
      <c r="K50" s="95">
        <v>18406.298269999999</v>
      </c>
      <c r="L50" s="95">
        <v>11382.333299999998</v>
      </c>
      <c r="M50" s="95">
        <v>115967</v>
      </c>
      <c r="N50" s="95">
        <f t="shared" si="4"/>
        <v>12.71377905684187</v>
      </c>
      <c r="O50" s="95">
        <f t="shared" si="5"/>
        <v>4.4175115847999997</v>
      </c>
      <c r="P50" s="95">
        <f t="shared" si="6"/>
        <v>2.7317599919999997</v>
      </c>
      <c r="Q50" s="95">
        <f t="shared" si="7"/>
        <v>7.1492715767999995</v>
      </c>
      <c r="R50" s="94" t="s">
        <v>543</v>
      </c>
    </row>
    <row r="51" spans="1:18" s="53" customFormat="1" x14ac:dyDescent="0.2">
      <c r="A51" s="94" t="s">
        <v>382</v>
      </c>
      <c r="B51" s="94" t="s">
        <v>159</v>
      </c>
      <c r="C51" s="94">
        <v>1601307</v>
      </c>
      <c r="D51" s="94" t="s">
        <v>514</v>
      </c>
      <c r="E51" s="95">
        <v>14</v>
      </c>
      <c r="F51" s="95">
        <v>14</v>
      </c>
      <c r="G51" s="95">
        <v>14</v>
      </c>
      <c r="H51" s="95" t="s">
        <v>533</v>
      </c>
      <c r="I51" s="95">
        <v>5250</v>
      </c>
      <c r="J51" s="95">
        <v>52974.0794035078</v>
      </c>
      <c r="K51" s="95">
        <v>18406.298269999999</v>
      </c>
      <c r="L51" s="95">
        <v>11382.333299999998</v>
      </c>
      <c r="M51" s="95">
        <v>115967</v>
      </c>
      <c r="N51" s="95">
        <f t="shared" si="4"/>
        <v>7.4163711164910913</v>
      </c>
      <c r="O51" s="95">
        <f t="shared" si="5"/>
        <v>2.5768817577999998</v>
      </c>
      <c r="P51" s="95">
        <f t="shared" si="6"/>
        <v>1.5935266619999997</v>
      </c>
      <c r="Q51" s="95">
        <f t="shared" si="7"/>
        <v>4.1704084197999993</v>
      </c>
      <c r="R51" s="94" t="s">
        <v>543</v>
      </c>
    </row>
    <row r="52" spans="1:18" s="53" customFormat="1" x14ac:dyDescent="0.2">
      <c r="A52" s="94" t="s">
        <v>382</v>
      </c>
      <c r="B52" s="94" t="s">
        <v>159</v>
      </c>
      <c r="C52" s="94">
        <v>1601312</v>
      </c>
      <c r="D52" s="94" t="s">
        <v>450</v>
      </c>
      <c r="E52" s="95">
        <v>36</v>
      </c>
      <c r="F52" s="95">
        <v>36</v>
      </c>
      <c r="G52" s="95">
        <v>36</v>
      </c>
      <c r="H52" s="95" t="s">
        <v>533</v>
      </c>
      <c r="I52" s="95">
        <v>5250</v>
      </c>
      <c r="J52" s="95">
        <v>52671.604082956779</v>
      </c>
      <c r="K52" s="95">
        <v>33869.885374999998</v>
      </c>
      <c r="L52" s="95">
        <v>16384.9391</v>
      </c>
      <c r="M52" s="95">
        <v>141284.10193173139</v>
      </c>
      <c r="N52" s="95">
        <f t="shared" si="4"/>
        <v>18.96177746986444</v>
      </c>
      <c r="O52" s="95">
        <f t="shared" si="5"/>
        <v>12.193158734999999</v>
      </c>
      <c r="P52" s="95">
        <f t="shared" si="6"/>
        <v>5.8985780759999997</v>
      </c>
      <c r="Q52" s="95">
        <f t="shared" si="7"/>
        <v>18.091736810999997</v>
      </c>
      <c r="R52" s="94" t="s">
        <v>543</v>
      </c>
    </row>
    <row r="53" spans="1:18" s="53" customFormat="1" x14ac:dyDescent="0.2">
      <c r="A53" s="94" t="s">
        <v>382</v>
      </c>
      <c r="B53" s="94" t="s">
        <v>234</v>
      </c>
      <c r="C53" s="94">
        <v>1601346</v>
      </c>
      <c r="D53" s="94" t="s">
        <v>515</v>
      </c>
      <c r="E53" s="95">
        <v>60</v>
      </c>
      <c r="F53" s="95">
        <v>60</v>
      </c>
      <c r="G53" s="95">
        <v>60</v>
      </c>
      <c r="H53" s="95" t="s">
        <v>533</v>
      </c>
      <c r="I53" s="95">
        <v>5250</v>
      </c>
      <c r="J53" s="95">
        <v>52385.021231841689</v>
      </c>
      <c r="K53" s="95">
        <v>26855.039000000001</v>
      </c>
      <c r="L53" s="95">
        <v>23845.185099999999</v>
      </c>
      <c r="M53" s="95">
        <v>113283.5768439324</v>
      </c>
      <c r="N53" s="95">
        <f t="shared" si="4"/>
        <v>31.431012739105014</v>
      </c>
      <c r="O53" s="95">
        <f t="shared" si="5"/>
        <v>16.113023399999999</v>
      </c>
      <c r="P53" s="95">
        <f t="shared" si="6"/>
        <v>14.307111059999999</v>
      </c>
      <c r="Q53" s="95">
        <f t="shared" si="7"/>
        <v>30.42013446</v>
      </c>
      <c r="R53" s="94" t="s">
        <v>543</v>
      </c>
    </row>
    <row r="54" spans="1:18" s="53" customFormat="1" x14ac:dyDescent="0.2">
      <c r="A54" s="94" t="s">
        <v>382</v>
      </c>
      <c r="B54" s="94" t="s">
        <v>536</v>
      </c>
      <c r="C54" s="94">
        <v>1600241</v>
      </c>
      <c r="D54" s="94" t="s">
        <v>516</v>
      </c>
      <c r="E54" s="95">
        <v>1</v>
      </c>
      <c r="F54" s="95">
        <v>1</v>
      </c>
      <c r="G54" s="95">
        <v>1</v>
      </c>
      <c r="H54" s="95" t="s">
        <v>533</v>
      </c>
      <c r="I54" s="95">
        <v>5250</v>
      </c>
      <c r="J54" s="95">
        <v>45813.74767096719</v>
      </c>
      <c r="K54" s="95">
        <v>34750.130000000005</v>
      </c>
      <c r="L54" s="95">
        <v>20826.11</v>
      </c>
      <c r="M54" s="95">
        <v>106330.39208642316</v>
      </c>
      <c r="N54" s="95">
        <f t="shared" si="4"/>
        <v>0.45813747670967192</v>
      </c>
      <c r="O54" s="95">
        <f t="shared" si="5"/>
        <v>0.34750130000000007</v>
      </c>
      <c r="P54" s="95">
        <f t="shared" si="6"/>
        <v>0.2082611</v>
      </c>
      <c r="Q54" s="95">
        <f t="shared" si="7"/>
        <v>0.5557624000000001</v>
      </c>
      <c r="R54" s="94" t="s">
        <v>543</v>
      </c>
    </row>
    <row r="55" spans="1:18" s="53" customFormat="1" x14ac:dyDescent="0.2">
      <c r="A55" s="94" t="s">
        <v>382</v>
      </c>
      <c r="B55" s="94" t="s">
        <v>156</v>
      </c>
      <c r="C55" s="94">
        <v>1600752</v>
      </c>
      <c r="D55" s="94" t="s">
        <v>108</v>
      </c>
      <c r="E55" s="95"/>
      <c r="F55" s="95"/>
      <c r="G55" s="95">
        <v>2</v>
      </c>
      <c r="H55" s="95" t="s">
        <v>533</v>
      </c>
      <c r="I55" s="95">
        <v>5250</v>
      </c>
      <c r="J55" s="95">
        <v>45575.008071466567</v>
      </c>
      <c r="K55" s="95">
        <v>27130.814000000002</v>
      </c>
      <c r="L55" s="95">
        <v>36356.500899999999</v>
      </c>
      <c r="M55" s="95">
        <v>121069.96913792202</v>
      </c>
      <c r="N55" s="95">
        <f t="shared" si="4"/>
        <v>0</v>
      </c>
      <c r="O55" s="95">
        <f t="shared" si="5"/>
        <v>0</v>
      </c>
      <c r="P55" s="95">
        <f t="shared" si="6"/>
        <v>0.72713001799999999</v>
      </c>
      <c r="Q55" s="95">
        <f t="shared" si="7"/>
        <v>0.72713001799999999</v>
      </c>
      <c r="R55" s="94" t="s">
        <v>543</v>
      </c>
    </row>
    <row r="56" spans="1:18" s="53" customFormat="1" x14ac:dyDescent="0.2">
      <c r="A56" s="94" t="s">
        <v>382</v>
      </c>
      <c r="B56" s="94" t="s">
        <v>156</v>
      </c>
      <c r="C56" s="94">
        <v>1600757</v>
      </c>
      <c r="D56" s="94" t="s">
        <v>110</v>
      </c>
      <c r="E56" s="95"/>
      <c r="F56" s="95"/>
      <c r="G56" s="95">
        <v>7</v>
      </c>
      <c r="H56" s="95" t="s">
        <v>533</v>
      </c>
      <c r="I56" s="95">
        <v>5250</v>
      </c>
      <c r="J56" s="95">
        <v>45575.008071466567</v>
      </c>
      <c r="K56" s="95">
        <v>27130.814000000002</v>
      </c>
      <c r="L56" s="95">
        <v>23844.879699999998</v>
      </c>
      <c r="M56" s="95">
        <v>108918.89362559767</v>
      </c>
      <c r="N56" s="95">
        <f t="shared" si="4"/>
        <v>0</v>
      </c>
      <c r="O56" s="95">
        <f t="shared" si="5"/>
        <v>0</v>
      </c>
      <c r="P56" s="95">
        <f t="shared" si="6"/>
        <v>1.6691415789999999</v>
      </c>
      <c r="Q56" s="95">
        <f t="shared" si="7"/>
        <v>1.6691415789999999</v>
      </c>
      <c r="R56" s="94" t="s">
        <v>543</v>
      </c>
    </row>
    <row r="57" spans="1:18" s="53" customFormat="1" x14ac:dyDescent="0.2">
      <c r="A57" s="94" t="s">
        <v>382</v>
      </c>
      <c r="B57" s="94" t="s">
        <v>158</v>
      </c>
      <c r="C57" s="94">
        <v>1601261</v>
      </c>
      <c r="D57" s="94" t="s">
        <v>517</v>
      </c>
      <c r="E57" s="95">
        <v>1</v>
      </c>
      <c r="F57" s="95">
        <v>1</v>
      </c>
      <c r="G57" s="95">
        <v>1</v>
      </c>
      <c r="H57" s="95" t="s">
        <v>534</v>
      </c>
      <c r="I57" s="95">
        <v>5250</v>
      </c>
      <c r="J57" s="95">
        <v>34418.059127904606</v>
      </c>
      <c r="K57" s="95">
        <v>34720.345000000001</v>
      </c>
      <c r="L57" s="95">
        <v>18495.236299999997</v>
      </c>
      <c r="M57" s="95">
        <v>98913.666629392799</v>
      </c>
      <c r="N57" s="95">
        <f t="shared" si="4"/>
        <v>0.34418059127904604</v>
      </c>
      <c r="O57" s="95">
        <f t="shared" si="5"/>
        <v>0.34720345000000002</v>
      </c>
      <c r="P57" s="95">
        <f t="shared" si="6"/>
        <v>0.18495236299999998</v>
      </c>
      <c r="Q57" s="95">
        <f t="shared" si="7"/>
        <v>0.53215581300000003</v>
      </c>
      <c r="R57" s="94" t="s">
        <v>543</v>
      </c>
    </row>
    <row r="58" spans="1:18" s="53" customFormat="1" x14ac:dyDescent="0.2">
      <c r="A58" s="94" t="s">
        <v>382</v>
      </c>
      <c r="B58" s="94" t="s">
        <v>158</v>
      </c>
      <c r="C58" s="94">
        <v>1601262</v>
      </c>
      <c r="D58" s="94" t="s">
        <v>518</v>
      </c>
      <c r="E58" s="95">
        <v>2</v>
      </c>
      <c r="F58" s="95">
        <v>2</v>
      </c>
      <c r="G58" s="95">
        <v>2</v>
      </c>
      <c r="H58" s="95" t="s">
        <v>534</v>
      </c>
      <c r="I58" s="95">
        <v>5250</v>
      </c>
      <c r="J58" s="95">
        <v>34418.059127904606</v>
      </c>
      <c r="K58" s="95">
        <v>34720.345000000001</v>
      </c>
      <c r="L58" s="95">
        <v>18495.236299999997</v>
      </c>
      <c r="M58" s="95">
        <v>98913.666629392799</v>
      </c>
      <c r="N58" s="95">
        <f t="shared" si="4"/>
        <v>0.68836118255809209</v>
      </c>
      <c r="O58" s="95">
        <f t="shared" si="5"/>
        <v>0.69440690000000005</v>
      </c>
      <c r="P58" s="95">
        <f t="shared" si="6"/>
        <v>0.36990472599999996</v>
      </c>
      <c r="Q58" s="95">
        <f t="shared" si="7"/>
        <v>1.0643116260000001</v>
      </c>
      <c r="R58" s="94" t="s">
        <v>543</v>
      </c>
    </row>
    <row r="59" spans="1:18" s="53" customFormat="1" x14ac:dyDescent="0.2">
      <c r="A59" s="94" t="s">
        <v>382</v>
      </c>
      <c r="B59" s="94" t="s">
        <v>158</v>
      </c>
      <c r="C59" s="94">
        <v>1601005</v>
      </c>
      <c r="D59" s="94" t="s">
        <v>164</v>
      </c>
      <c r="E59" s="95">
        <v>50</v>
      </c>
      <c r="F59" s="95">
        <v>50</v>
      </c>
      <c r="G59" s="95">
        <v>50</v>
      </c>
      <c r="H59" s="95" t="s">
        <v>533</v>
      </c>
      <c r="I59" s="95">
        <v>5250</v>
      </c>
      <c r="J59" s="95">
        <v>22437.089572339501</v>
      </c>
      <c r="K59" s="95">
        <v>13689.625</v>
      </c>
      <c r="L59" s="95">
        <v>8732.3014000000003</v>
      </c>
      <c r="M59" s="95">
        <v>49341.80060857506</v>
      </c>
      <c r="N59" s="95">
        <f t="shared" si="4"/>
        <v>11.218544786169749</v>
      </c>
      <c r="O59" s="95">
        <f t="shared" si="5"/>
        <v>6.8448124999999997</v>
      </c>
      <c r="P59" s="95">
        <f t="shared" si="6"/>
        <v>4.3661507000000004</v>
      </c>
      <c r="Q59" s="95">
        <f t="shared" si="7"/>
        <v>11.2109632</v>
      </c>
      <c r="R59" s="94" t="s">
        <v>543</v>
      </c>
    </row>
    <row r="60" spans="1:18" s="53" customFormat="1" x14ac:dyDescent="0.2">
      <c r="A60" s="94" t="s">
        <v>382</v>
      </c>
      <c r="B60" s="94" t="s">
        <v>158</v>
      </c>
      <c r="C60" s="94">
        <v>1601293</v>
      </c>
      <c r="D60" s="94" t="s">
        <v>477</v>
      </c>
      <c r="E60" s="95">
        <v>120</v>
      </c>
      <c r="F60" s="95">
        <v>120</v>
      </c>
      <c r="G60" s="95">
        <v>120</v>
      </c>
      <c r="H60" s="95" t="s">
        <v>533</v>
      </c>
      <c r="I60" s="95">
        <v>5250</v>
      </c>
      <c r="J60" s="95">
        <v>31785.942383117996</v>
      </c>
      <c r="K60" s="95">
        <v>12411.274099999999</v>
      </c>
      <c r="L60" s="95">
        <v>6667.7085999999999</v>
      </c>
      <c r="M60" s="95">
        <v>55996.259093941015</v>
      </c>
      <c r="N60" s="95">
        <f t="shared" si="4"/>
        <v>38.143130859741596</v>
      </c>
      <c r="O60" s="95">
        <f t="shared" si="5"/>
        <v>14.893528919999998</v>
      </c>
      <c r="P60" s="95">
        <f t="shared" si="6"/>
        <v>8.0012503200000005</v>
      </c>
      <c r="Q60" s="95">
        <f t="shared" si="7"/>
        <v>22.894779239999998</v>
      </c>
      <c r="R60" s="94" t="s">
        <v>543</v>
      </c>
    </row>
    <row r="61" spans="1:18" s="53" customFormat="1" x14ac:dyDescent="0.2">
      <c r="A61" s="94" t="s">
        <v>382</v>
      </c>
      <c r="B61" s="94" t="s">
        <v>158</v>
      </c>
      <c r="C61" s="94">
        <v>1600859</v>
      </c>
      <c r="D61" s="94" t="s">
        <v>213</v>
      </c>
      <c r="E61" s="95">
        <v>90</v>
      </c>
      <c r="F61" s="95">
        <v>90</v>
      </c>
      <c r="G61" s="95">
        <v>90</v>
      </c>
      <c r="H61" s="95" t="s">
        <v>533</v>
      </c>
      <c r="I61" s="95">
        <v>5250</v>
      </c>
      <c r="J61" s="95">
        <v>31785.942383117996</v>
      </c>
      <c r="K61" s="95">
        <v>12411.274099999999</v>
      </c>
      <c r="L61" s="95">
        <v>6667.7085999999999</v>
      </c>
      <c r="M61" s="95">
        <v>55996.259093941015</v>
      </c>
      <c r="N61" s="95">
        <f t="shared" si="4"/>
        <v>28.607348144806195</v>
      </c>
      <c r="O61" s="95">
        <f t="shared" si="5"/>
        <v>11.170146689999999</v>
      </c>
      <c r="P61" s="95">
        <f t="shared" si="6"/>
        <v>6.0009377399999995</v>
      </c>
      <c r="Q61" s="95">
        <f t="shared" si="7"/>
        <v>17.171084430000001</v>
      </c>
      <c r="R61" s="94" t="s">
        <v>543</v>
      </c>
    </row>
    <row r="62" spans="1:18" s="53" customFormat="1" ht="51" x14ac:dyDescent="0.2">
      <c r="A62" s="94" t="s">
        <v>382</v>
      </c>
      <c r="B62" s="94" t="s">
        <v>158</v>
      </c>
      <c r="C62" s="94" t="s">
        <v>519</v>
      </c>
      <c r="D62" s="94" t="s">
        <v>519</v>
      </c>
      <c r="E62" s="95">
        <v>40</v>
      </c>
      <c r="F62" s="95">
        <v>40</v>
      </c>
      <c r="G62" s="95">
        <v>55</v>
      </c>
      <c r="H62" s="95" t="s">
        <v>533</v>
      </c>
      <c r="I62" s="95">
        <v>5250</v>
      </c>
      <c r="J62" s="95">
        <v>31785.942383117996</v>
      </c>
      <c r="K62" s="95">
        <v>12411.274099999999</v>
      </c>
      <c r="L62" s="95">
        <v>6667.7085999999999</v>
      </c>
      <c r="M62" s="95">
        <v>55996.259093941015</v>
      </c>
      <c r="N62" s="95">
        <f t="shared" si="4"/>
        <v>12.714376953247198</v>
      </c>
      <c r="O62" s="95">
        <f t="shared" si="5"/>
        <v>4.9645096399999993</v>
      </c>
      <c r="P62" s="95">
        <f t="shared" si="6"/>
        <v>3.6672397299999999</v>
      </c>
      <c r="Q62" s="95">
        <f t="shared" si="7"/>
        <v>8.6317493699999996</v>
      </c>
      <c r="R62" s="94" t="s">
        <v>543</v>
      </c>
    </row>
    <row r="63" spans="1:18" s="53" customFormat="1" x14ac:dyDescent="0.2">
      <c r="A63" s="94" t="s">
        <v>382</v>
      </c>
      <c r="B63" s="94" t="s">
        <v>158</v>
      </c>
      <c r="C63" s="94">
        <v>1600029</v>
      </c>
      <c r="D63" s="94" t="s">
        <v>149</v>
      </c>
      <c r="E63" s="95">
        <v>27</v>
      </c>
      <c r="F63" s="95">
        <v>27</v>
      </c>
      <c r="G63" s="95">
        <v>27</v>
      </c>
      <c r="H63" s="95" t="s">
        <v>533</v>
      </c>
      <c r="I63" s="95">
        <v>5250</v>
      </c>
      <c r="J63" s="95">
        <v>31785.942383117996</v>
      </c>
      <c r="K63" s="95">
        <v>12411.274099999999</v>
      </c>
      <c r="L63" s="95">
        <v>6667.7085999999999</v>
      </c>
      <c r="M63" s="95">
        <v>55996.259093941015</v>
      </c>
      <c r="N63" s="95">
        <f t="shared" si="4"/>
        <v>8.5822044434418583</v>
      </c>
      <c r="O63" s="95">
        <f t="shared" si="5"/>
        <v>3.3510440069999996</v>
      </c>
      <c r="P63" s="95">
        <f t="shared" si="6"/>
        <v>1.800281322</v>
      </c>
      <c r="Q63" s="95">
        <f t="shared" si="7"/>
        <v>5.1513253289999996</v>
      </c>
      <c r="R63" s="94" t="s">
        <v>543</v>
      </c>
    </row>
    <row r="64" spans="1:18" s="53" customFormat="1" x14ac:dyDescent="0.2">
      <c r="A64" s="94" t="s">
        <v>382</v>
      </c>
      <c r="B64" s="94" t="s">
        <v>158</v>
      </c>
      <c r="C64" s="94">
        <v>1600027</v>
      </c>
      <c r="D64" s="94" t="s">
        <v>165</v>
      </c>
      <c r="E64" s="94">
        <v>3</v>
      </c>
      <c r="F64" s="94">
        <v>3</v>
      </c>
      <c r="G64" s="94">
        <v>3</v>
      </c>
      <c r="H64" s="94" t="s">
        <v>533</v>
      </c>
      <c r="I64" s="95">
        <v>5250</v>
      </c>
      <c r="J64" s="95">
        <v>31785.942383117996</v>
      </c>
      <c r="K64" s="95">
        <v>12411.274099999999</v>
      </c>
      <c r="L64" s="95">
        <v>6667.7085999999999</v>
      </c>
      <c r="M64" s="95">
        <v>55996.259093941015</v>
      </c>
      <c r="N64" s="95">
        <f t="shared" si="4"/>
        <v>0.9535782714935398</v>
      </c>
      <c r="O64" s="95">
        <f t="shared" si="5"/>
        <v>0.37233822300000002</v>
      </c>
      <c r="P64" s="95">
        <f t="shared" si="6"/>
        <v>0.20003125800000002</v>
      </c>
      <c r="Q64" s="95">
        <f t="shared" si="7"/>
        <v>0.57236948100000007</v>
      </c>
      <c r="R64" s="94" t="s">
        <v>543</v>
      </c>
    </row>
    <row r="65" spans="1:18" s="53" customFormat="1" x14ac:dyDescent="0.2">
      <c r="A65" s="94" t="s">
        <v>382</v>
      </c>
      <c r="B65" s="94" t="s">
        <v>158</v>
      </c>
      <c r="C65" s="94">
        <v>1600034</v>
      </c>
      <c r="D65" s="94" t="s">
        <v>520</v>
      </c>
      <c r="E65" s="94">
        <v>25</v>
      </c>
      <c r="F65" s="94">
        <v>25</v>
      </c>
      <c r="G65" s="94">
        <v>55</v>
      </c>
      <c r="H65" s="94" t="s">
        <v>533</v>
      </c>
      <c r="I65" s="95">
        <v>5250</v>
      </c>
      <c r="J65" s="95">
        <v>31523.582193455099</v>
      </c>
      <c r="K65" s="95">
        <v>12915.539779999999</v>
      </c>
      <c r="L65" s="95">
        <v>6558.6481600000006</v>
      </c>
      <c r="M65" s="95">
        <v>56092.754110292837</v>
      </c>
      <c r="N65" s="95">
        <f t="shared" si="4"/>
        <v>7.8808955483637746</v>
      </c>
      <c r="O65" s="95">
        <f t="shared" si="5"/>
        <v>3.2288849449999999</v>
      </c>
      <c r="P65" s="95">
        <f t="shared" si="6"/>
        <v>3.6072564880000004</v>
      </c>
      <c r="Q65" s="95">
        <f t="shared" si="7"/>
        <v>6.8361414329999999</v>
      </c>
      <c r="R65" s="94" t="s">
        <v>543</v>
      </c>
    </row>
    <row r="66" spans="1:18" s="53" customFormat="1" x14ac:dyDescent="0.2">
      <c r="A66" s="94" t="s">
        <v>382</v>
      </c>
      <c r="B66" s="94" t="s">
        <v>158</v>
      </c>
      <c r="C66" s="94">
        <v>1600864</v>
      </c>
      <c r="D66" s="94" t="s">
        <v>274</v>
      </c>
      <c r="E66" s="94">
        <v>100</v>
      </c>
      <c r="F66" s="94">
        <v>100</v>
      </c>
      <c r="G66" s="94">
        <v>100</v>
      </c>
      <c r="H66" s="94" t="s">
        <v>533</v>
      </c>
      <c r="I66" s="95">
        <v>5250</v>
      </c>
      <c r="J66" s="95">
        <v>39297.865413515625</v>
      </c>
      <c r="K66" s="95">
        <v>12054.80384</v>
      </c>
      <c r="L66" s="95">
        <v>5378.9866999999995</v>
      </c>
      <c r="M66" s="95">
        <v>61588.379246231489</v>
      </c>
      <c r="N66" s="95">
        <f t="shared" si="4"/>
        <v>39.297865413515623</v>
      </c>
      <c r="O66" s="95">
        <f t="shared" si="5"/>
        <v>12.05480384</v>
      </c>
      <c r="P66" s="95">
        <f t="shared" si="6"/>
        <v>5.3789866999999996</v>
      </c>
      <c r="Q66" s="95">
        <f t="shared" si="7"/>
        <v>17.43379054</v>
      </c>
      <c r="R66" s="94" t="s">
        <v>543</v>
      </c>
    </row>
    <row r="67" spans="1:18" s="53" customFormat="1" x14ac:dyDescent="0.2">
      <c r="A67" s="94" t="s">
        <v>382</v>
      </c>
      <c r="B67" s="94" t="s">
        <v>158</v>
      </c>
      <c r="C67" s="94">
        <v>1600926</v>
      </c>
      <c r="D67" s="94" t="s">
        <v>263</v>
      </c>
      <c r="E67" s="94">
        <v>15</v>
      </c>
      <c r="F67" s="94">
        <v>15</v>
      </c>
      <c r="G67" s="94">
        <v>15</v>
      </c>
      <c r="H67" s="94" t="s">
        <v>533</v>
      </c>
      <c r="I67" s="95">
        <v>5250</v>
      </c>
      <c r="J67" s="95">
        <v>39297.865413515625</v>
      </c>
      <c r="K67" s="95">
        <v>12054.80384</v>
      </c>
      <c r="L67" s="95">
        <v>5378.9866999999995</v>
      </c>
      <c r="M67" s="95">
        <v>61588.379246231489</v>
      </c>
      <c r="N67" s="95">
        <f t="shared" si="4"/>
        <v>5.894679812027344</v>
      </c>
      <c r="O67" s="95">
        <f t="shared" si="5"/>
        <v>1.8082205760000001</v>
      </c>
      <c r="P67" s="95">
        <f t="shared" si="6"/>
        <v>0.80684800499999998</v>
      </c>
      <c r="Q67" s="95">
        <f t="shared" si="7"/>
        <v>2.6150685810000001</v>
      </c>
      <c r="R67" s="94" t="s">
        <v>543</v>
      </c>
    </row>
    <row r="68" spans="1:18" s="53" customFormat="1" x14ac:dyDescent="0.2">
      <c r="A68" s="94" t="s">
        <v>382</v>
      </c>
      <c r="B68" s="94" t="s">
        <v>158</v>
      </c>
      <c r="C68" s="94">
        <v>1601007</v>
      </c>
      <c r="D68" s="94" t="s">
        <v>169</v>
      </c>
      <c r="E68" s="94">
        <v>30</v>
      </c>
      <c r="F68" s="94">
        <v>30</v>
      </c>
      <c r="G68" s="94">
        <v>30</v>
      </c>
      <c r="H68" s="94" t="s">
        <v>533</v>
      </c>
      <c r="I68" s="95">
        <v>5250</v>
      </c>
      <c r="J68" s="95">
        <v>22419.988991859394</v>
      </c>
      <c r="K68" s="95">
        <v>14315.707</v>
      </c>
      <c r="L68" s="95">
        <v>8998.5203999999994</v>
      </c>
      <c r="M68" s="95">
        <v>50214.286393819311</v>
      </c>
      <c r="N68" s="95">
        <f t="shared" si="4"/>
        <v>6.7259966975578189</v>
      </c>
      <c r="O68" s="95">
        <f t="shared" si="5"/>
        <v>4.2947120999999999</v>
      </c>
      <c r="P68" s="95">
        <f t="shared" si="6"/>
        <v>2.6995561199999996</v>
      </c>
      <c r="Q68" s="95">
        <f t="shared" si="7"/>
        <v>6.9942682199999995</v>
      </c>
      <c r="R68" s="94" t="s">
        <v>543</v>
      </c>
    </row>
    <row r="69" spans="1:18" s="53" customFormat="1" x14ac:dyDescent="0.2">
      <c r="A69" s="94" t="s">
        <v>382</v>
      </c>
      <c r="B69" s="94" t="s">
        <v>158</v>
      </c>
      <c r="C69" s="94">
        <v>1601299</v>
      </c>
      <c r="D69" s="94" t="s">
        <v>497</v>
      </c>
      <c r="E69" s="94">
        <v>35</v>
      </c>
      <c r="F69" s="94">
        <v>35</v>
      </c>
      <c r="G69" s="94">
        <v>35</v>
      </c>
      <c r="H69" s="94" t="s">
        <v>533</v>
      </c>
      <c r="I69" s="95">
        <v>5250</v>
      </c>
      <c r="J69" s="95">
        <v>39297.865413515625</v>
      </c>
      <c r="K69" s="95">
        <v>12054.80384</v>
      </c>
      <c r="L69" s="95">
        <v>6448.1352000000006</v>
      </c>
      <c r="M69" s="95">
        <v>62657.527746231492</v>
      </c>
      <c r="N69" s="95">
        <f t="shared" si="4"/>
        <v>13.754252894730469</v>
      </c>
      <c r="O69" s="95">
        <f t="shared" si="5"/>
        <v>4.2191813440000008</v>
      </c>
      <c r="P69" s="95">
        <f t="shared" si="6"/>
        <v>2.2568473200000003</v>
      </c>
      <c r="Q69" s="95">
        <f t="shared" si="7"/>
        <v>6.4760286640000011</v>
      </c>
      <c r="R69" s="94" t="s">
        <v>543</v>
      </c>
    </row>
    <row r="70" spans="1:18" s="53" customFormat="1" x14ac:dyDescent="0.2">
      <c r="A70" s="94" t="s">
        <v>382</v>
      </c>
      <c r="B70" s="94" t="s">
        <v>158</v>
      </c>
      <c r="C70" s="94">
        <v>1600940</v>
      </c>
      <c r="D70" s="94" t="s">
        <v>521</v>
      </c>
      <c r="E70" s="94">
        <v>8</v>
      </c>
      <c r="F70" s="94">
        <v>8</v>
      </c>
      <c r="G70" s="94">
        <v>8</v>
      </c>
      <c r="H70" s="94" t="s">
        <v>533</v>
      </c>
      <c r="I70" s="95">
        <v>5250</v>
      </c>
      <c r="J70" s="95">
        <v>31781.414711934449</v>
      </c>
      <c r="K70" s="95">
        <v>13602.805779999999</v>
      </c>
      <c r="L70" s="95">
        <v>6459.5489200000002</v>
      </c>
      <c r="M70" s="95">
        <v>56974.476113402314</v>
      </c>
      <c r="N70" s="95">
        <f t="shared" si="4"/>
        <v>2.5425131769547558</v>
      </c>
      <c r="O70" s="95">
        <f t="shared" si="5"/>
        <v>1.0882244623999999</v>
      </c>
      <c r="P70" s="95">
        <f t="shared" si="6"/>
        <v>0.51676391360000007</v>
      </c>
      <c r="Q70" s="95">
        <f t="shared" si="7"/>
        <v>1.6049883760000001</v>
      </c>
      <c r="R70" s="94" t="s">
        <v>543</v>
      </c>
    </row>
    <row r="71" spans="1:18" s="53" customFormat="1" x14ac:dyDescent="0.2">
      <c r="A71" s="94" t="s">
        <v>382</v>
      </c>
      <c r="B71" s="94" t="s">
        <v>158</v>
      </c>
      <c r="C71" s="94">
        <v>1601006</v>
      </c>
      <c r="D71" s="94" t="s">
        <v>173</v>
      </c>
      <c r="E71" s="94">
        <v>40</v>
      </c>
      <c r="F71" s="94">
        <v>40</v>
      </c>
      <c r="G71" s="94">
        <v>40</v>
      </c>
      <c r="H71" s="94" t="s">
        <v>533</v>
      </c>
      <c r="I71" s="95">
        <v>5250</v>
      </c>
      <c r="J71" s="95">
        <v>20807.809667416521</v>
      </c>
      <c r="K71" s="95">
        <v>17750.979500000001</v>
      </c>
      <c r="L71" s="95">
        <v>8979.4310000000005</v>
      </c>
      <c r="M71" s="95">
        <v>51762.364514822577</v>
      </c>
      <c r="N71" s="95">
        <f t="shared" si="4"/>
        <v>8.3231238669666094</v>
      </c>
      <c r="O71" s="95">
        <f t="shared" si="5"/>
        <v>7.1003918000000006</v>
      </c>
      <c r="P71" s="95">
        <f t="shared" si="6"/>
        <v>3.5917724</v>
      </c>
      <c r="Q71" s="95">
        <f t="shared" si="7"/>
        <v>10.692164200000001</v>
      </c>
      <c r="R71" s="94" t="s">
        <v>543</v>
      </c>
    </row>
    <row r="72" spans="1:18" s="53" customFormat="1" x14ac:dyDescent="0.2">
      <c r="A72" s="94" t="s">
        <v>382</v>
      </c>
      <c r="B72" s="94" t="s">
        <v>158</v>
      </c>
      <c r="C72" s="94">
        <v>1601294</v>
      </c>
      <c r="D72" s="94" t="s">
        <v>479</v>
      </c>
      <c r="E72" s="94">
        <v>120</v>
      </c>
      <c r="F72" s="94">
        <v>120</v>
      </c>
      <c r="G72" s="94">
        <v>120</v>
      </c>
      <c r="H72" s="94" t="s">
        <v>533</v>
      </c>
      <c r="I72" s="95">
        <v>5250</v>
      </c>
      <c r="J72" s="95">
        <v>36881.996064350446</v>
      </c>
      <c r="K72" s="95">
        <v>16282.34167</v>
      </c>
      <c r="L72" s="95">
        <v>6214.5732000000007</v>
      </c>
      <c r="M72" s="95">
        <v>63977</v>
      </c>
      <c r="N72" s="95">
        <f t="shared" si="4"/>
        <v>44.258395277220529</v>
      </c>
      <c r="O72" s="95">
        <f t="shared" si="5"/>
        <v>19.538810004000002</v>
      </c>
      <c r="P72" s="95">
        <f t="shared" si="6"/>
        <v>7.4574878400000006</v>
      </c>
      <c r="Q72" s="95">
        <f t="shared" si="7"/>
        <v>26.996297844000004</v>
      </c>
      <c r="R72" s="94" t="s">
        <v>543</v>
      </c>
    </row>
    <row r="73" spans="1:18" s="53" customFormat="1" x14ac:dyDescent="0.2">
      <c r="A73" s="94" t="s">
        <v>382</v>
      </c>
      <c r="B73" s="94" t="s">
        <v>158</v>
      </c>
      <c r="C73" s="94">
        <v>1600856</v>
      </c>
      <c r="D73" s="94" t="s">
        <v>175</v>
      </c>
      <c r="E73" s="94">
        <v>30</v>
      </c>
      <c r="F73" s="94">
        <v>30</v>
      </c>
      <c r="G73" s="94">
        <v>30</v>
      </c>
      <c r="H73" s="94" t="s">
        <v>533</v>
      </c>
      <c r="I73" s="95">
        <v>5250</v>
      </c>
      <c r="J73" s="95">
        <v>36881.996064350446</v>
      </c>
      <c r="K73" s="95">
        <v>16282.34167</v>
      </c>
      <c r="L73" s="95">
        <v>6630.2286000000004</v>
      </c>
      <c r="M73" s="95">
        <v>64308</v>
      </c>
      <c r="N73" s="95">
        <f t="shared" si="4"/>
        <v>11.064598819305132</v>
      </c>
      <c r="O73" s="95">
        <f t="shared" si="5"/>
        <v>4.8847025010000005</v>
      </c>
      <c r="P73" s="95">
        <f t="shared" si="6"/>
        <v>1.9890685800000001</v>
      </c>
      <c r="Q73" s="95">
        <f t="shared" si="7"/>
        <v>6.873771081000001</v>
      </c>
      <c r="R73" s="94" t="s">
        <v>543</v>
      </c>
    </row>
    <row r="74" spans="1:18" s="53" customFormat="1" ht="76.5" x14ac:dyDescent="0.2">
      <c r="A74" s="94" t="s">
        <v>382</v>
      </c>
      <c r="B74" s="94" t="s">
        <v>158</v>
      </c>
      <c r="C74" s="94" t="s">
        <v>522</v>
      </c>
      <c r="D74" s="94" t="s">
        <v>522</v>
      </c>
      <c r="E74" s="94">
        <v>30</v>
      </c>
      <c r="F74" s="94">
        <v>30</v>
      </c>
      <c r="G74" s="94">
        <v>30</v>
      </c>
      <c r="H74" s="94" t="s">
        <v>533</v>
      </c>
      <c r="I74" s="95">
        <v>5250</v>
      </c>
      <c r="J74" s="95">
        <v>29777.4511301639</v>
      </c>
      <c r="K74" s="95">
        <v>16271.024580000001</v>
      </c>
      <c r="L74" s="95">
        <v>6869.4404000000004</v>
      </c>
      <c r="M74" s="95">
        <v>57858.566778696491</v>
      </c>
      <c r="N74" s="95">
        <f t="shared" si="4"/>
        <v>8.933235339049169</v>
      </c>
      <c r="O74" s="95">
        <f t="shared" si="5"/>
        <v>4.8813073740000004</v>
      </c>
      <c r="P74" s="95">
        <f t="shared" si="6"/>
        <v>2.0608321200000002</v>
      </c>
      <c r="Q74" s="95">
        <f t="shared" si="7"/>
        <v>6.942139494000001</v>
      </c>
      <c r="R74" s="94" t="s">
        <v>543</v>
      </c>
    </row>
    <row r="75" spans="1:18" s="53" customFormat="1" x14ac:dyDescent="0.2">
      <c r="A75" s="94" t="s">
        <v>382</v>
      </c>
      <c r="B75" s="94" t="s">
        <v>158</v>
      </c>
      <c r="C75" s="94">
        <v>1600040</v>
      </c>
      <c r="D75" s="94" t="s">
        <v>276</v>
      </c>
      <c r="E75" s="94">
        <v>12</v>
      </c>
      <c r="F75" s="94">
        <v>12</v>
      </c>
      <c r="G75" s="94">
        <v>12</v>
      </c>
      <c r="H75" s="94" t="s">
        <v>533</v>
      </c>
      <c r="I75" s="95">
        <v>5250</v>
      </c>
      <c r="J75" s="95">
        <v>29777.4511301639</v>
      </c>
      <c r="K75" s="95">
        <v>16271.024580000001</v>
      </c>
      <c r="L75" s="95">
        <v>6344.9737999999998</v>
      </c>
      <c r="M75" s="95">
        <v>57246.506830465281</v>
      </c>
      <c r="N75" s="95">
        <f t="shared" si="4"/>
        <v>3.5732941356196681</v>
      </c>
      <c r="O75" s="95">
        <f t="shared" si="5"/>
        <v>1.9525229496000003</v>
      </c>
      <c r="P75" s="95">
        <f t="shared" si="6"/>
        <v>0.76139685599999996</v>
      </c>
      <c r="Q75" s="95">
        <f t="shared" si="7"/>
        <v>2.7139198056000002</v>
      </c>
      <c r="R75" s="94" t="s">
        <v>543</v>
      </c>
    </row>
    <row r="76" spans="1:18" s="53" customFormat="1" x14ac:dyDescent="0.2">
      <c r="A76" s="94" t="s">
        <v>382</v>
      </c>
      <c r="B76" s="94" t="s">
        <v>158</v>
      </c>
      <c r="C76" s="94">
        <v>1600039</v>
      </c>
      <c r="D76" s="94" t="s">
        <v>224</v>
      </c>
      <c r="E76" s="94">
        <v>35</v>
      </c>
      <c r="F76" s="94">
        <v>35</v>
      </c>
      <c r="G76" s="94">
        <v>35</v>
      </c>
      <c r="H76" s="94" t="s">
        <v>533</v>
      </c>
      <c r="I76" s="95">
        <v>5250</v>
      </c>
      <c r="J76" s="95">
        <v>29777.4511301639</v>
      </c>
      <c r="K76" s="95">
        <v>16271.024580000001</v>
      </c>
      <c r="L76" s="95">
        <v>6869.4404000000004</v>
      </c>
      <c r="M76" s="95">
        <v>57858.566778696491</v>
      </c>
      <c r="N76" s="95">
        <f t="shared" si="4"/>
        <v>10.422107895557364</v>
      </c>
      <c r="O76" s="95">
        <f t="shared" si="5"/>
        <v>5.694858603000001</v>
      </c>
      <c r="P76" s="95">
        <f t="shared" si="6"/>
        <v>2.4043041400000003</v>
      </c>
      <c r="Q76" s="95">
        <f t="shared" si="7"/>
        <v>8.0991627430000008</v>
      </c>
      <c r="R76" s="94" t="s">
        <v>543</v>
      </c>
    </row>
    <row r="77" spans="1:18" s="53" customFormat="1" x14ac:dyDescent="0.2">
      <c r="A77" s="94" t="s">
        <v>382</v>
      </c>
      <c r="B77" s="94" t="s">
        <v>158</v>
      </c>
      <c r="C77" s="94">
        <v>1600046</v>
      </c>
      <c r="D77" s="94" t="s">
        <v>523</v>
      </c>
      <c r="E77" s="94">
        <v>35</v>
      </c>
      <c r="F77" s="94">
        <v>35</v>
      </c>
      <c r="G77" s="94">
        <v>35</v>
      </c>
      <c r="H77" s="94" t="s">
        <v>533</v>
      </c>
      <c r="I77" s="95">
        <v>5250</v>
      </c>
      <c r="J77" s="95">
        <v>36881.996064350446</v>
      </c>
      <c r="K77" s="95">
        <v>16282.34167</v>
      </c>
      <c r="L77" s="95">
        <v>5576.9079000000002</v>
      </c>
      <c r="M77" s="95">
        <v>63339</v>
      </c>
      <c r="N77" s="95">
        <f t="shared" si="4"/>
        <v>12.908698622522657</v>
      </c>
      <c r="O77" s="95">
        <f t="shared" si="5"/>
        <v>5.6988195845000007</v>
      </c>
      <c r="P77" s="95">
        <f t="shared" si="6"/>
        <v>1.9519177650000001</v>
      </c>
      <c r="Q77" s="95">
        <f t="shared" si="7"/>
        <v>7.6507373495000008</v>
      </c>
      <c r="R77" s="94" t="s">
        <v>543</v>
      </c>
    </row>
    <row r="78" spans="1:18" s="53" customFormat="1" x14ac:dyDescent="0.2">
      <c r="A78" s="94" t="s">
        <v>382</v>
      </c>
      <c r="B78" s="94" t="s">
        <v>158</v>
      </c>
      <c r="C78" s="94">
        <v>1600866</v>
      </c>
      <c r="D78" s="94" t="s">
        <v>116</v>
      </c>
      <c r="E78" s="94">
        <v>70</v>
      </c>
      <c r="F78" s="94">
        <v>70</v>
      </c>
      <c r="G78" s="94">
        <v>70</v>
      </c>
      <c r="H78" s="94" t="s">
        <v>533</v>
      </c>
      <c r="I78" s="95">
        <v>5250</v>
      </c>
      <c r="J78" s="95">
        <v>36881.996064350446</v>
      </c>
      <c r="K78" s="95">
        <v>16282.34167</v>
      </c>
      <c r="L78" s="95">
        <v>5576.9079000000002</v>
      </c>
      <c r="M78" s="95">
        <v>63339</v>
      </c>
      <c r="N78" s="95">
        <f t="shared" si="4"/>
        <v>25.817397245045314</v>
      </c>
      <c r="O78" s="95">
        <f t="shared" si="5"/>
        <v>11.397639169000001</v>
      </c>
      <c r="P78" s="95">
        <f t="shared" si="6"/>
        <v>3.9038355300000003</v>
      </c>
      <c r="Q78" s="95">
        <f t="shared" si="7"/>
        <v>15.301474699000002</v>
      </c>
      <c r="R78" s="94" t="s">
        <v>543</v>
      </c>
    </row>
    <row r="79" spans="1:18" s="53" customFormat="1" x14ac:dyDescent="0.2">
      <c r="A79" s="94" t="s">
        <v>382</v>
      </c>
      <c r="B79" s="94" t="s">
        <v>158</v>
      </c>
      <c r="C79" s="94">
        <v>1600927</v>
      </c>
      <c r="D79" s="94" t="s">
        <v>176</v>
      </c>
      <c r="E79" s="94">
        <v>23</v>
      </c>
      <c r="F79" s="94">
        <v>23</v>
      </c>
      <c r="G79" s="94">
        <v>23</v>
      </c>
      <c r="H79" s="94" t="s">
        <v>533</v>
      </c>
      <c r="I79" s="95">
        <v>5250</v>
      </c>
      <c r="J79" s="95">
        <v>29777.4511301639</v>
      </c>
      <c r="K79" s="95">
        <v>16271.024580000001</v>
      </c>
      <c r="L79" s="95">
        <v>5478.5725000000002</v>
      </c>
      <c r="M79" s="95">
        <v>56467.698878696494</v>
      </c>
      <c r="N79" s="95">
        <f t="shared" si="4"/>
        <v>6.8488137599376975</v>
      </c>
      <c r="O79" s="95">
        <f t="shared" si="5"/>
        <v>3.7423356534000005</v>
      </c>
      <c r="P79" s="95">
        <f t="shared" si="6"/>
        <v>1.2600716750000001</v>
      </c>
      <c r="Q79" s="95">
        <f t="shared" si="7"/>
        <v>5.0024073284000004</v>
      </c>
      <c r="R79" s="94" t="s">
        <v>543</v>
      </c>
    </row>
    <row r="80" spans="1:18" s="53" customFormat="1" x14ac:dyDescent="0.2">
      <c r="A80" s="94" t="s">
        <v>382</v>
      </c>
      <c r="B80" s="94" t="s">
        <v>158</v>
      </c>
      <c r="C80" s="94">
        <v>1601295</v>
      </c>
      <c r="D80" s="94" t="s">
        <v>498</v>
      </c>
      <c r="E80" s="94">
        <v>50</v>
      </c>
      <c r="F80" s="94">
        <v>50</v>
      </c>
      <c r="G80" s="94">
        <v>50</v>
      </c>
      <c r="H80" s="94" t="s">
        <v>533</v>
      </c>
      <c r="I80" s="95">
        <v>5250</v>
      </c>
      <c r="J80" s="95">
        <v>32307.195626852772</v>
      </c>
      <c r="K80" s="95">
        <v>12122.710200000001</v>
      </c>
      <c r="L80" s="95">
        <v>6454.2724500000004</v>
      </c>
      <c r="M80" s="95">
        <v>56087.731983617625</v>
      </c>
      <c r="N80" s="95">
        <f t="shared" si="4"/>
        <v>16.153597813426387</v>
      </c>
      <c r="O80" s="95">
        <f t="shared" si="5"/>
        <v>6.0613551000000001</v>
      </c>
      <c r="P80" s="95">
        <f t="shared" si="6"/>
        <v>3.2271362250000002</v>
      </c>
      <c r="Q80" s="95">
        <f t="shared" si="7"/>
        <v>9.2884913250000007</v>
      </c>
      <c r="R80" s="94" t="s">
        <v>543</v>
      </c>
    </row>
    <row r="81" spans="1:18" s="53" customFormat="1" x14ac:dyDescent="0.2">
      <c r="A81" s="94" t="s">
        <v>382</v>
      </c>
      <c r="B81" s="94" t="s">
        <v>158</v>
      </c>
      <c r="C81" s="94">
        <v>1600061</v>
      </c>
      <c r="D81" s="94" t="s">
        <v>524</v>
      </c>
      <c r="E81" s="94">
        <v>35</v>
      </c>
      <c r="F81" s="94">
        <v>35</v>
      </c>
      <c r="G81" s="94">
        <v>35</v>
      </c>
      <c r="H81" s="94" t="s">
        <v>533</v>
      </c>
      <c r="I81" s="95">
        <v>5250</v>
      </c>
      <c r="J81" s="95">
        <v>39297.865413515625</v>
      </c>
      <c r="K81" s="95">
        <v>12147.700860000001</v>
      </c>
      <c r="L81" s="95">
        <v>5664.6175135211533</v>
      </c>
      <c r="M81" s="95">
        <v>56570.39103361762</v>
      </c>
      <c r="N81" s="95">
        <f t="shared" si="4"/>
        <v>13.754252894730469</v>
      </c>
      <c r="O81" s="95">
        <f t="shared" si="5"/>
        <v>4.2516953010000007</v>
      </c>
      <c r="P81" s="95">
        <f t="shared" si="6"/>
        <v>1.9826161297324039</v>
      </c>
      <c r="Q81" s="95">
        <f t="shared" si="7"/>
        <v>6.2343114307324043</v>
      </c>
      <c r="R81" s="94" t="s">
        <v>543</v>
      </c>
    </row>
    <row r="82" spans="1:18" s="53" customFormat="1" x14ac:dyDescent="0.2">
      <c r="A82" s="94" t="s">
        <v>382</v>
      </c>
      <c r="B82" s="94" t="s">
        <v>158</v>
      </c>
      <c r="C82" s="94">
        <v>1601108</v>
      </c>
      <c r="D82" s="94" t="s">
        <v>406</v>
      </c>
      <c r="E82" s="94">
        <v>50</v>
      </c>
      <c r="F82" s="94">
        <v>50</v>
      </c>
      <c r="G82" s="94">
        <v>50</v>
      </c>
      <c r="H82" s="94" t="s">
        <v>533</v>
      </c>
      <c r="I82" s="95">
        <v>5250</v>
      </c>
      <c r="J82" s="95">
        <v>34732.416089698076</v>
      </c>
      <c r="K82" s="95">
        <v>13267.922499999999</v>
      </c>
      <c r="L82" s="95">
        <v>6376.6502</v>
      </c>
      <c r="M82" s="95">
        <v>57532.267232852457</v>
      </c>
      <c r="N82" s="95">
        <f t="shared" si="4"/>
        <v>17.366208044849039</v>
      </c>
      <c r="O82" s="95">
        <f t="shared" si="5"/>
        <v>6.6339612499999987</v>
      </c>
      <c r="P82" s="95">
        <f t="shared" si="6"/>
        <v>3.1883251000000001</v>
      </c>
      <c r="Q82" s="95">
        <f t="shared" si="7"/>
        <v>9.8222863499999988</v>
      </c>
      <c r="R82" s="94" t="s">
        <v>543</v>
      </c>
    </row>
    <row r="83" spans="1:18" s="53" customFormat="1" x14ac:dyDescent="0.2">
      <c r="A83" s="94" t="s">
        <v>382</v>
      </c>
      <c r="B83" s="94" t="s">
        <v>158</v>
      </c>
      <c r="C83" s="94">
        <v>1601296</v>
      </c>
      <c r="D83" s="94" t="s">
        <v>525</v>
      </c>
      <c r="E83" s="94">
        <v>85</v>
      </c>
      <c r="F83" s="94">
        <v>85</v>
      </c>
      <c r="G83" s="94">
        <v>85</v>
      </c>
      <c r="H83" s="94" t="s">
        <v>533</v>
      </c>
      <c r="I83" s="95">
        <v>5250</v>
      </c>
      <c r="J83" s="95">
        <v>40265.979426467042</v>
      </c>
      <c r="K83" s="95">
        <v>17838.146270000001</v>
      </c>
      <c r="L83" s="95">
        <v>6602.482399999999</v>
      </c>
      <c r="M83" s="95">
        <v>69667.03266103768</v>
      </c>
      <c r="N83" s="95">
        <f t="shared" si="4"/>
        <v>34.226082512496987</v>
      </c>
      <c r="O83" s="95">
        <f t="shared" si="5"/>
        <v>15.1624243295</v>
      </c>
      <c r="P83" s="95">
        <f t="shared" si="6"/>
        <v>5.6121100399999992</v>
      </c>
      <c r="Q83" s="95">
        <f t="shared" si="7"/>
        <v>20.7745343695</v>
      </c>
      <c r="R83" s="94" t="s">
        <v>543</v>
      </c>
    </row>
    <row r="84" spans="1:18" s="53" customFormat="1" x14ac:dyDescent="0.2">
      <c r="A84" s="94" t="s">
        <v>382</v>
      </c>
      <c r="B84" s="94" t="s">
        <v>158</v>
      </c>
      <c r="C84" s="94">
        <v>1601297</v>
      </c>
      <c r="D84" s="94" t="s">
        <v>500</v>
      </c>
      <c r="E84" s="94">
        <v>21</v>
      </c>
      <c r="F84" s="94">
        <v>21</v>
      </c>
      <c r="G84" s="94">
        <v>66</v>
      </c>
      <c r="H84" s="94" t="s">
        <v>533</v>
      </c>
      <c r="I84" s="95">
        <v>5250</v>
      </c>
      <c r="J84" s="95">
        <v>39293.793172329992</v>
      </c>
      <c r="K84" s="95">
        <v>13862.49231</v>
      </c>
      <c r="L84" s="95">
        <v>13341.492</v>
      </c>
      <c r="M84" s="95">
        <v>71354.064569614886</v>
      </c>
      <c r="N84" s="95">
        <f t="shared" si="4"/>
        <v>8.2516965661892989</v>
      </c>
      <c r="O84" s="95">
        <f t="shared" si="5"/>
        <v>2.9111233850999998</v>
      </c>
      <c r="P84" s="95">
        <f t="shared" si="6"/>
        <v>8.8053847200000011</v>
      </c>
      <c r="Q84" s="95">
        <f t="shared" si="7"/>
        <v>11.716508105100001</v>
      </c>
      <c r="R84" s="94" t="s">
        <v>543</v>
      </c>
    </row>
    <row r="85" spans="1:18" s="53" customFormat="1" x14ac:dyDescent="0.2">
      <c r="A85" s="94" t="s">
        <v>382</v>
      </c>
      <c r="B85" s="94" t="s">
        <v>158</v>
      </c>
      <c r="C85" s="94">
        <v>1601363</v>
      </c>
      <c r="D85" s="94" t="s">
        <v>526</v>
      </c>
      <c r="E85" s="94">
        <v>10</v>
      </c>
      <c r="F85" s="94">
        <v>10</v>
      </c>
      <c r="G85" s="94">
        <v>10</v>
      </c>
      <c r="H85" s="94" t="s">
        <v>533</v>
      </c>
      <c r="I85" s="95">
        <v>5250</v>
      </c>
      <c r="J85" s="95">
        <v>73288</v>
      </c>
      <c r="K85" s="95">
        <v>19932</v>
      </c>
      <c r="L85" s="95">
        <v>19633</v>
      </c>
      <c r="M85" s="95">
        <v>115853</v>
      </c>
      <c r="N85" s="95">
        <f t="shared" si="4"/>
        <v>7.3288000000000002</v>
      </c>
      <c r="O85" s="95">
        <f t="shared" si="5"/>
        <v>1.9932000000000001</v>
      </c>
      <c r="P85" s="95">
        <f t="shared" si="6"/>
        <v>1.9633</v>
      </c>
      <c r="Q85" s="95">
        <f t="shared" si="7"/>
        <v>3.9565000000000001</v>
      </c>
      <c r="R85" s="94" t="s">
        <v>543</v>
      </c>
    </row>
    <row r="86" spans="1:18" s="53" customFormat="1" x14ac:dyDescent="0.2">
      <c r="A86" s="94" t="s">
        <v>382</v>
      </c>
      <c r="B86" s="94" t="s">
        <v>158</v>
      </c>
      <c r="C86" s="94">
        <v>1600826</v>
      </c>
      <c r="D86" s="94" t="s">
        <v>130</v>
      </c>
      <c r="E86" s="94">
        <v>12</v>
      </c>
      <c r="F86" s="94">
        <v>12</v>
      </c>
      <c r="G86" s="94">
        <v>12</v>
      </c>
      <c r="H86" s="94" t="s">
        <v>533</v>
      </c>
      <c r="I86" s="95">
        <v>5250</v>
      </c>
      <c r="J86" s="95">
        <v>34426.343055057558</v>
      </c>
      <c r="K86" s="95">
        <v>16748.419000000002</v>
      </c>
      <c r="L86" s="95">
        <v>21074.663800000002</v>
      </c>
      <c r="M86" s="95">
        <v>77997.750565653434</v>
      </c>
      <c r="N86" s="95">
        <f t="shared" si="4"/>
        <v>4.1311611666069066</v>
      </c>
      <c r="O86" s="95">
        <f t="shared" si="5"/>
        <v>2.0098102800000004</v>
      </c>
      <c r="P86" s="95">
        <f t="shared" si="6"/>
        <v>2.5289596560000001</v>
      </c>
      <c r="Q86" s="95">
        <f t="shared" si="7"/>
        <v>4.5387699360000004</v>
      </c>
      <c r="R86" s="94" t="s">
        <v>543</v>
      </c>
    </row>
    <row r="87" spans="1:18" s="53" customFormat="1" x14ac:dyDescent="0.2">
      <c r="A87" s="94" t="s">
        <v>382</v>
      </c>
      <c r="B87" s="94" t="s">
        <v>158</v>
      </c>
      <c r="C87" s="94">
        <v>1600478</v>
      </c>
      <c r="D87" s="94" t="s">
        <v>132</v>
      </c>
      <c r="E87" s="94">
        <v>5</v>
      </c>
      <c r="F87" s="94">
        <v>5</v>
      </c>
      <c r="G87" s="94">
        <v>5</v>
      </c>
      <c r="H87" s="94" t="s">
        <v>533</v>
      </c>
      <c r="I87" s="95">
        <v>5250</v>
      </c>
      <c r="J87" s="95">
        <v>41412.947150439475</v>
      </c>
      <c r="K87" s="95">
        <v>16766.112624000001</v>
      </c>
      <c r="L87" s="95">
        <v>21860.431199999999</v>
      </c>
      <c r="M87" s="95">
        <v>85717.884114185799</v>
      </c>
      <c r="N87" s="95">
        <f t="shared" si="4"/>
        <v>2.0706473575219739</v>
      </c>
      <c r="O87" s="95">
        <f t="shared" si="5"/>
        <v>0.83830563120000001</v>
      </c>
      <c r="P87" s="95">
        <f t="shared" si="6"/>
        <v>1.0930215599999999</v>
      </c>
      <c r="Q87" s="95">
        <f t="shared" si="7"/>
        <v>1.9313271911999998</v>
      </c>
      <c r="R87" s="94" t="s">
        <v>543</v>
      </c>
    </row>
    <row r="88" spans="1:18" s="53" customFormat="1" x14ac:dyDescent="0.2">
      <c r="A88" s="94" t="s">
        <v>382</v>
      </c>
      <c r="B88" s="94" t="s">
        <v>158</v>
      </c>
      <c r="C88" s="94">
        <v>1600085</v>
      </c>
      <c r="D88" s="94" t="s">
        <v>228</v>
      </c>
      <c r="E88" s="94">
        <v>8</v>
      </c>
      <c r="F88" s="94">
        <v>8</v>
      </c>
      <c r="G88" s="94">
        <v>8</v>
      </c>
      <c r="H88" s="94" t="s">
        <v>533</v>
      </c>
      <c r="I88" s="95">
        <v>5250</v>
      </c>
      <c r="J88" s="95">
        <v>30819.739686306275</v>
      </c>
      <c r="K88" s="95">
        <v>16791.4512</v>
      </c>
      <c r="L88" s="95">
        <v>20465.898700000002</v>
      </c>
      <c r="M88" s="95">
        <v>73983.147417002576</v>
      </c>
      <c r="N88" s="95">
        <f t="shared" si="4"/>
        <v>2.465579174904502</v>
      </c>
      <c r="O88" s="95">
        <f t="shared" si="5"/>
        <v>1.3433160959999999</v>
      </c>
      <c r="P88" s="95">
        <f t="shared" si="6"/>
        <v>1.6372718960000001</v>
      </c>
      <c r="Q88" s="95">
        <f t="shared" si="7"/>
        <v>2.9805879920000002</v>
      </c>
      <c r="R88" s="94" t="s">
        <v>543</v>
      </c>
    </row>
    <row r="89" spans="1:18" s="53" customFormat="1" x14ac:dyDescent="0.2">
      <c r="A89" s="94" t="s">
        <v>382</v>
      </c>
      <c r="B89" s="94" t="s">
        <v>158</v>
      </c>
      <c r="C89" s="94">
        <v>1600891</v>
      </c>
      <c r="D89" s="94" t="s">
        <v>486</v>
      </c>
      <c r="E89" s="94">
        <v>8</v>
      </c>
      <c r="F89" s="94">
        <v>8</v>
      </c>
      <c r="G89" s="94">
        <v>8</v>
      </c>
      <c r="H89" s="94" t="s">
        <v>533</v>
      </c>
      <c r="I89" s="95"/>
      <c r="J89" s="95">
        <v>0</v>
      </c>
      <c r="K89" s="95">
        <v>102865.09420000002</v>
      </c>
      <c r="L89" s="95">
        <v>26175.903899999994</v>
      </c>
      <c r="M89" s="95">
        <v>153976.31045082287</v>
      </c>
      <c r="N89" s="95">
        <f t="shared" si="4"/>
        <v>0</v>
      </c>
      <c r="O89" s="95">
        <f t="shared" si="5"/>
        <v>8.2292075360000023</v>
      </c>
      <c r="P89" s="95">
        <f t="shared" si="6"/>
        <v>2.0940723119999993</v>
      </c>
      <c r="Q89" s="95">
        <f t="shared" si="7"/>
        <v>10.323279848000002</v>
      </c>
      <c r="R89" s="94" t="s">
        <v>543</v>
      </c>
    </row>
    <row r="90" spans="1:18" s="53" customFormat="1" x14ac:dyDescent="0.2">
      <c r="A90" s="94" t="s">
        <v>382</v>
      </c>
      <c r="B90" s="94" t="s">
        <v>158</v>
      </c>
      <c r="C90" s="94">
        <v>1600894</v>
      </c>
      <c r="D90" s="94" t="s">
        <v>394</v>
      </c>
      <c r="E90" s="94">
        <v>2</v>
      </c>
      <c r="F90" s="94">
        <v>2</v>
      </c>
      <c r="G90" s="94">
        <v>2</v>
      </c>
      <c r="H90" s="94" t="s">
        <v>533</v>
      </c>
      <c r="I90" s="95"/>
      <c r="J90" s="95">
        <v>0</v>
      </c>
      <c r="K90" s="95">
        <v>87202.891999999993</v>
      </c>
      <c r="L90" s="95">
        <v>25840.550599999999</v>
      </c>
      <c r="M90" s="95">
        <v>137978.75495082285</v>
      </c>
      <c r="N90" s="95">
        <f t="shared" si="4"/>
        <v>0</v>
      </c>
      <c r="O90" s="95">
        <f t="shared" si="5"/>
        <v>1.7440578399999997</v>
      </c>
      <c r="P90" s="95">
        <f t="shared" si="6"/>
        <v>0.51681101200000001</v>
      </c>
      <c r="Q90" s="95">
        <f t="shared" si="7"/>
        <v>2.2608688519999998</v>
      </c>
      <c r="R90" s="94" t="s">
        <v>543</v>
      </c>
    </row>
    <row r="91" spans="1:18" s="53" customFormat="1" ht="102" x14ac:dyDescent="0.2">
      <c r="A91" s="94" t="s">
        <v>382</v>
      </c>
      <c r="B91" s="94" t="s">
        <v>158</v>
      </c>
      <c r="C91" s="94" t="s">
        <v>527</v>
      </c>
      <c r="D91" s="94" t="s">
        <v>527</v>
      </c>
      <c r="E91" s="94">
        <v>12</v>
      </c>
      <c r="F91" s="94">
        <v>12</v>
      </c>
      <c r="G91" s="94">
        <v>12</v>
      </c>
      <c r="H91" s="94" t="s">
        <v>533</v>
      </c>
      <c r="I91" s="95">
        <v>5250</v>
      </c>
      <c r="J91" s="95">
        <v>38622.265881874599</v>
      </c>
      <c r="K91" s="95">
        <v>17083.826999999997</v>
      </c>
      <c r="L91" s="95">
        <v>7771.7455999999993</v>
      </c>
      <c r="M91" s="95">
        <v>68262</v>
      </c>
      <c r="N91" s="95">
        <f t="shared" si="4"/>
        <v>4.6346719058249519</v>
      </c>
      <c r="O91" s="95">
        <f t="shared" si="5"/>
        <v>2.0500592399999995</v>
      </c>
      <c r="P91" s="95">
        <f t="shared" si="6"/>
        <v>0.93260947199999999</v>
      </c>
      <c r="Q91" s="95">
        <f t="shared" si="7"/>
        <v>2.9826687119999997</v>
      </c>
      <c r="R91" s="94" t="s">
        <v>543</v>
      </c>
    </row>
    <row r="92" spans="1:18" s="53" customFormat="1" x14ac:dyDescent="0.2">
      <c r="A92" s="94" t="s">
        <v>382</v>
      </c>
      <c r="B92" s="94" t="s">
        <v>159</v>
      </c>
      <c r="C92" s="94">
        <v>1601207</v>
      </c>
      <c r="D92" s="94" t="s">
        <v>396</v>
      </c>
      <c r="E92" s="94"/>
      <c r="F92" s="94"/>
      <c r="G92" s="94"/>
      <c r="H92" s="94" t="s">
        <v>533</v>
      </c>
      <c r="I92" s="95"/>
      <c r="J92" s="95">
        <v>0</v>
      </c>
      <c r="K92" s="95">
        <v>19739.583599999998</v>
      </c>
      <c r="L92" s="95">
        <v>52206.436999999998</v>
      </c>
      <c r="M92" s="95">
        <v>89898.871319318423</v>
      </c>
      <c r="N92" s="95">
        <f t="shared" si="4"/>
        <v>0</v>
      </c>
      <c r="O92" s="95">
        <f t="shared" si="5"/>
        <v>0</v>
      </c>
      <c r="P92" s="95">
        <f t="shared" si="6"/>
        <v>0</v>
      </c>
      <c r="Q92" s="95">
        <f t="shared" si="7"/>
        <v>0</v>
      </c>
      <c r="R92" s="94" t="s">
        <v>543</v>
      </c>
    </row>
    <row r="93" spans="1:18" s="53" customFormat="1" x14ac:dyDescent="0.2">
      <c r="A93" s="94" t="s">
        <v>382</v>
      </c>
      <c r="B93" s="94" t="s">
        <v>159</v>
      </c>
      <c r="C93" s="94">
        <v>1601208</v>
      </c>
      <c r="D93" s="94" t="s">
        <v>491</v>
      </c>
      <c r="E93" s="94">
        <v>20.56</v>
      </c>
      <c r="F93" s="94">
        <v>20.56</v>
      </c>
      <c r="G93" s="94">
        <v>20.56</v>
      </c>
      <c r="H93" s="94" t="s">
        <v>533</v>
      </c>
      <c r="I93" s="95"/>
      <c r="J93" s="95">
        <v>0</v>
      </c>
      <c r="K93" s="95">
        <v>19739.583599999998</v>
      </c>
      <c r="L93" s="95">
        <v>31850.345000000001</v>
      </c>
      <c r="M93" s="95">
        <v>59583.290711292721</v>
      </c>
      <c r="N93" s="95">
        <f t="shared" si="4"/>
        <v>0</v>
      </c>
      <c r="O93" s="95">
        <f t="shared" si="5"/>
        <v>4.0584583881599992</v>
      </c>
      <c r="P93" s="95">
        <f t="shared" si="6"/>
        <v>6.5484309319999996</v>
      </c>
      <c r="Q93" s="95">
        <f t="shared" si="7"/>
        <v>10.606889320159999</v>
      </c>
      <c r="R93" s="94" t="s">
        <v>543</v>
      </c>
    </row>
    <row r="94" spans="1:18" s="53" customFormat="1" x14ac:dyDescent="0.2">
      <c r="A94" s="94" t="s">
        <v>382</v>
      </c>
      <c r="B94" s="94" t="s">
        <v>159</v>
      </c>
      <c r="C94" s="94">
        <v>1601209</v>
      </c>
      <c r="D94" s="94" t="s">
        <v>504</v>
      </c>
      <c r="E94" s="94"/>
      <c r="F94" s="94"/>
      <c r="G94" s="94">
        <v>48</v>
      </c>
      <c r="H94" s="94" t="s">
        <v>533</v>
      </c>
      <c r="I94" s="95"/>
      <c r="J94" s="95">
        <v>0</v>
      </c>
      <c r="K94" s="95">
        <v>19739.583599999998</v>
      </c>
      <c r="L94" s="95">
        <v>25622.179</v>
      </c>
      <c r="M94" s="95">
        <v>52037.701771055654</v>
      </c>
      <c r="N94" s="95">
        <f t="shared" si="4"/>
        <v>0</v>
      </c>
      <c r="O94" s="95">
        <f t="shared" si="5"/>
        <v>0</v>
      </c>
      <c r="P94" s="95">
        <f t="shared" si="6"/>
        <v>12.29864592</v>
      </c>
      <c r="Q94" s="95">
        <f t="shared" si="7"/>
        <v>12.29864592</v>
      </c>
      <c r="R94" s="94" t="s">
        <v>543</v>
      </c>
    </row>
    <row r="95" spans="1:18" s="53" customFormat="1" x14ac:dyDescent="0.2">
      <c r="A95" s="94" t="s">
        <v>382</v>
      </c>
      <c r="B95" s="94" t="s">
        <v>159</v>
      </c>
      <c r="C95" s="94">
        <v>1600994</v>
      </c>
      <c r="D95" s="94" t="s">
        <v>528</v>
      </c>
      <c r="E95" s="94">
        <v>26</v>
      </c>
      <c r="F95" s="94">
        <v>26</v>
      </c>
      <c r="G95" s="94">
        <v>26</v>
      </c>
      <c r="H95" s="94" t="s">
        <v>533</v>
      </c>
      <c r="I95" s="95"/>
      <c r="J95" s="95">
        <v>0</v>
      </c>
      <c r="K95" s="95">
        <v>19739.583599999998</v>
      </c>
      <c r="L95" s="95">
        <v>27333.391599999995</v>
      </c>
      <c r="M95" s="95">
        <v>52229.768191002309</v>
      </c>
      <c r="N95" s="95">
        <f t="shared" si="4"/>
        <v>0</v>
      </c>
      <c r="O95" s="95">
        <f t="shared" si="5"/>
        <v>5.132291736</v>
      </c>
      <c r="P95" s="95">
        <f t="shared" si="6"/>
        <v>7.1066818159999992</v>
      </c>
      <c r="Q95" s="95">
        <f t="shared" si="7"/>
        <v>12.238973551999999</v>
      </c>
      <c r="R95" s="94" t="s">
        <v>543</v>
      </c>
    </row>
    <row r="96" spans="1:18" s="53" customFormat="1" ht="25.5" x14ac:dyDescent="0.2">
      <c r="A96" s="94" t="s">
        <v>382</v>
      </c>
      <c r="B96" s="94" t="s">
        <v>233</v>
      </c>
      <c r="C96" s="94" t="s">
        <v>529</v>
      </c>
      <c r="D96" s="94" t="s">
        <v>529</v>
      </c>
      <c r="E96" s="94">
        <v>200</v>
      </c>
      <c r="F96" s="94">
        <v>200</v>
      </c>
      <c r="G96" s="94"/>
      <c r="H96" s="94" t="s">
        <v>535</v>
      </c>
      <c r="I96" s="95">
        <v>5250</v>
      </c>
      <c r="J96" s="95">
        <v>46900</v>
      </c>
      <c r="K96" s="95">
        <v>5250</v>
      </c>
      <c r="L96" s="95">
        <v>0</v>
      </c>
      <c r="M96" s="95">
        <v>60908.45190863288</v>
      </c>
      <c r="N96" s="95">
        <f t="shared" si="4"/>
        <v>93.8</v>
      </c>
      <c r="O96" s="95">
        <f t="shared" si="5"/>
        <v>10.5</v>
      </c>
      <c r="P96" s="95">
        <f t="shared" si="6"/>
        <v>0</v>
      </c>
      <c r="Q96" s="95">
        <f t="shared" si="7"/>
        <v>10.5</v>
      </c>
      <c r="R96" s="94" t="s">
        <v>543</v>
      </c>
    </row>
    <row r="97" spans="1:18" s="53" customFormat="1" x14ac:dyDescent="0.2">
      <c r="A97" s="94" t="s">
        <v>382</v>
      </c>
      <c r="B97" s="94" t="s">
        <v>158</v>
      </c>
      <c r="C97" s="94">
        <v>1600560</v>
      </c>
      <c r="D97" s="94" t="s">
        <v>218</v>
      </c>
      <c r="E97" s="94">
        <v>0.99544999999999995</v>
      </c>
      <c r="F97" s="94">
        <v>0.99544999999999995</v>
      </c>
      <c r="G97" s="94">
        <v>0.99544999999999995</v>
      </c>
      <c r="H97" s="94" t="s">
        <v>533</v>
      </c>
      <c r="I97" s="95"/>
      <c r="J97" s="95">
        <v>0</v>
      </c>
      <c r="K97" s="95">
        <v>32376.742599999998</v>
      </c>
      <c r="L97" s="95">
        <v>37485.000399999997</v>
      </c>
      <c r="M97" s="95">
        <v>87925.698228974652</v>
      </c>
      <c r="N97" s="95">
        <f t="shared" si="4"/>
        <v>0</v>
      </c>
      <c r="O97" s="95">
        <f t="shared" si="5"/>
        <v>0.32229428421169998</v>
      </c>
      <c r="P97" s="95">
        <f t="shared" si="6"/>
        <v>0.37314443648179996</v>
      </c>
      <c r="Q97" s="95">
        <f t="shared" si="7"/>
        <v>0.69543872069349999</v>
      </c>
      <c r="R97" s="94" t="s">
        <v>543</v>
      </c>
    </row>
    <row r="98" spans="1:18" s="53" customFormat="1" x14ac:dyDescent="0.2">
      <c r="A98" s="94" t="s">
        <v>382</v>
      </c>
      <c r="B98" s="94" t="s">
        <v>158</v>
      </c>
      <c r="C98" s="94">
        <v>1601137</v>
      </c>
      <c r="D98" s="94" t="s">
        <v>410</v>
      </c>
      <c r="E98" s="94">
        <v>4.6616</v>
      </c>
      <c r="F98" s="94">
        <v>4.6616</v>
      </c>
      <c r="G98" s="94">
        <v>4.6616</v>
      </c>
      <c r="H98" s="94" t="s">
        <v>533</v>
      </c>
      <c r="I98" s="95"/>
      <c r="J98" s="95">
        <v>0</v>
      </c>
      <c r="K98" s="95">
        <v>31634.667800000003</v>
      </c>
      <c r="L98" s="95">
        <v>11795.961500000001</v>
      </c>
      <c r="M98" s="95">
        <v>60972.913685572341</v>
      </c>
      <c r="N98" s="95">
        <f t="shared" si="4"/>
        <v>0</v>
      </c>
      <c r="O98" s="95">
        <f t="shared" si="5"/>
        <v>1.4746816741648001</v>
      </c>
      <c r="P98" s="95">
        <f t="shared" si="6"/>
        <v>0.5498805412840001</v>
      </c>
      <c r="Q98" s="95">
        <f t="shared" si="7"/>
        <v>2.0245622154488001</v>
      </c>
      <c r="R98" s="94" t="s">
        <v>543</v>
      </c>
    </row>
    <row r="99" spans="1:18" s="53" customFormat="1" x14ac:dyDescent="0.2">
      <c r="A99" s="94" t="s">
        <v>382</v>
      </c>
      <c r="B99" s="94" t="s">
        <v>158</v>
      </c>
      <c r="C99" s="94">
        <v>1600742</v>
      </c>
      <c r="D99" s="94" t="s">
        <v>313</v>
      </c>
      <c r="E99" s="94">
        <v>0.92579</v>
      </c>
      <c r="F99" s="94">
        <v>0.92579</v>
      </c>
      <c r="G99" s="94">
        <v>0.92579</v>
      </c>
      <c r="H99" s="94" t="s">
        <v>533</v>
      </c>
      <c r="I99" s="95"/>
      <c r="J99" s="95">
        <v>0</v>
      </c>
      <c r="K99" s="95">
        <v>32376.742599999998</v>
      </c>
      <c r="L99" s="95">
        <v>54464.549100000004</v>
      </c>
      <c r="M99" s="95">
        <v>104901.96463840263</v>
      </c>
      <c r="N99" s="95">
        <f t="shared" si="4"/>
        <v>0</v>
      </c>
      <c r="O99" s="95">
        <f t="shared" si="5"/>
        <v>0.29974064531653999</v>
      </c>
      <c r="P99" s="95">
        <f t="shared" si="6"/>
        <v>0.50422734911289002</v>
      </c>
      <c r="Q99" s="95">
        <f t="shared" si="7"/>
        <v>0.80396799442943001</v>
      </c>
      <c r="R99" s="94" t="s">
        <v>543</v>
      </c>
    </row>
    <row r="100" spans="1:18" s="53" customFormat="1" x14ac:dyDescent="0.2">
      <c r="A100" s="94" t="s">
        <v>382</v>
      </c>
      <c r="B100" s="94" t="s">
        <v>158</v>
      </c>
      <c r="C100" s="94">
        <v>1601081</v>
      </c>
      <c r="D100" s="94" t="s">
        <v>530</v>
      </c>
      <c r="E100" s="94">
        <v>0.5</v>
      </c>
      <c r="F100" s="94"/>
      <c r="G100" s="94">
        <v>0.5</v>
      </c>
      <c r="H100" s="94" t="s">
        <v>533</v>
      </c>
      <c r="I100" s="95"/>
      <c r="J100" s="95">
        <v>0</v>
      </c>
      <c r="K100" s="95">
        <v>72935.599760000012</v>
      </c>
      <c r="L100" s="95">
        <v>157544.27800000002</v>
      </c>
      <c r="M100" s="95">
        <v>244040</v>
      </c>
      <c r="N100" s="95">
        <f t="shared" si="4"/>
        <v>0</v>
      </c>
      <c r="O100" s="95">
        <f t="shared" si="5"/>
        <v>0</v>
      </c>
      <c r="P100" s="95">
        <f t="shared" si="6"/>
        <v>0.78772139000000008</v>
      </c>
      <c r="Q100" s="95">
        <f t="shared" si="7"/>
        <v>0.78772139000000008</v>
      </c>
      <c r="R100" s="94" t="s">
        <v>543</v>
      </c>
    </row>
    <row r="101" spans="1:18" s="53" customFormat="1" x14ac:dyDescent="0.2">
      <c r="A101" s="94" t="s">
        <v>382</v>
      </c>
      <c r="B101" s="94" t="s">
        <v>158</v>
      </c>
      <c r="C101" s="94">
        <v>1601087</v>
      </c>
      <c r="D101" s="94" t="s">
        <v>531</v>
      </c>
      <c r="E101" s="94">
        <v>0.8</v>
      </c>
      <c r="F101" s="94"/>
      <c r="G101" s="94">
        <v>0.8</v>
      </c>
      <c r="H101" s="94" t="s">
        <v>533</v>
      </c>
      <c r="I101" s="95"/>
      <c r="J101" s="95">
        <v>0</v>
      </c>
      <c r="K101" s="95">
        <v>54747.253988492623</v>
      </c>
      <c r="L101" s="95">
        <v>14404.766500000002</v>
      </c>
      <c r="M101" s="95">
        <v>78262</v>
      </c>
      <c r="N101" s="95">
        <f t="shared" si="4"/>
        <v>0</v>
      </c>
      <c r="O101" s="95">
        <f t="shared" si="5"/>
        <v>0</v>
      </c>
      <c r="P101" s="95">
        <f t="shared" si="6"/>
        <v>0.11523813200000002</v>
      </c>
      <c r="Q101" s="95">
        <f t="shared" si="7"/>
        <v>0.11523813200000002</v>
      </c>
      <c r="R101" s="94" t="s">
        <v>543</v>
      </c>
    </row>
    <row r="102" spans="1:18" s="53" customFormat="1" x14ac:dyDescent="0.2">
      <c r="A102" s="94" t="s">
        <v>382</v>
      </c>
      <c r="B102" s="94" t="s">
        <v>158</v>
      </c>
      <c r="C102" s="94">
        <v>1600847</v>
      </c>
      <c r="D102" s="94" t="s">
        <v>199</v>
      </c>
      <c r="E102" s="94">
        <v>0.27679999999999999</v>
      </c>
      <c r="F102" s="94">
        <v>0.27679999999999999</v>
      </c>
      <c r="G102" s="94">
        <v>0.27679999999999999</v>
      </c>
      <c r="H102" s="94" t="s">
        <v>533</v>
      </c>
      <c r="I102" s="95"/>
      <c r="J102" s="95">
        <v>0</v>
      </c>
      <c r="K102" s="95">
        <v>90078.310339999996</v>
      </c>
      <c r="L102" s="95">
        <v>353990.11790000001</v>
      </c>
      <c r="M102" s="95">
        <v>461075.50433514506</v>
      </c>
      <c r="N102" s="95">
        <f t="shared" si="4"/>
        <v>0</v>
      </c>
      <c r="O102" s="95">
        <f t="shared" si="5"/>
        <v>0.24933676302111998</v>
      </c>
      <c r="P102" s="95">
        <f t="shared" si="6"/>
        <v>0.97984464634720003</v>
      </c>
      <c r="Q102" s="95">
        <f t="shared" si="7"/>
        <v>1.22918140936832</v>
      </c>
      <c r="R102" s="94" t="s">
        <v>543</v>
      </c>
    </row>
    <row r="103" spans="1:18" s="53" customFormat="1" x14ac:dyDescent="0.2">
      <c r="A103" s="94" t="s">
        <v>382</v>
      </c>
      <c r="B103" s="94" t="s">
        <v>158</v>
      </c>
      <c r="C103" s="94">
        <v>1601144</v>
      </c>
      <c r="D103" s="94" t="s">
        <v>532</v>
      </c>
      <c r="E103" s="94">
        <v>0.81599999999999995</v>
      </c>
      <c r="F103" s="94">
        <v>0.81599999999999995</v>
      </c>
      <c r="G103" s="94">
        <v>0.81599999999999995</v>
      </c>
      <c r="H103" s="94" t="s">
        <v>533</v>
      </c>
      <c r="I103" s="95"/>
      <c r="J103" s="95">
        <v>0</v>
      </c>
      <c r="K103" s="95">
        <v>90224.746039999998</v>
      </c>
      <c r="L103" s="95">
        <v>157544.27800000002</v>
      </c>
      <c r="M103" s="95">
        <v>264729.82167131908</v>
      </c>
      <c r="N103" s="95">
        <f t="shared" si="4"/>
        <v>0</v>
      </c>
      <c r="O103" s="95">
        <f t="shared" si="5"/>
        <v>0.73623392768639995</v>
      </c>
      <c r="P103" s="95">
        <f t="shared" si="6"/>
        <v>1.2855613084800002</v>
      </c>
      <c r="Q103" s="95">
        <f t="shared" si="7"/>
        <v>2.0217952361664002</v>
      </c>
      <c r="R103" s="94" t="s">
        <v>543</v>
      </c>
    </row>
    <row r="104" spans="1:18" s="53" customFormat="1" ht="76.5" x14ac:dyDescent="0.2">
      <c r="A104" s="94" t="s">
        <v>381</v>
      </c>
      <c r="B104" s="94" t="s">
        <v>159</v>
      </c>
      <c r="C104" s="94" t="s">
        <v>495</v>
      </c>
      <c r="D104" s="94" t="s">
        <v>495</v>
      </c>
      <c r="E104" s="94">
        <v>31</v>
      </c>
      <c r="F104" s="94">
        <v>31</v>
      </c>
      <c r="G104" s="94"/>
      <c r="H104" s="94"/>
      <c r="I104" s="95">
        <v>5250</v>
      </c>
      <c r="J104" s="95">
        <v>52974.0794035078</v>
      </c>
      <c r="K104" s="95">
        <v>18406.298269999999</v>
      </c>
      <c r="L104" s="95">
        <v>16461.5635</v>
      </c>
      <c r="M104" s="95">
        <v>126230.44660807593</v>
      </c>
      <c r="N104" s="95">
        <f t="shared" ref="N104:N144" si="8">$F104*J104/100000</f>
        <v>16.421964615087418</v>
      </c>
      <c r="O104" s="95">
        <f t="shared" ref="O104:O144" si="9">F104*K104/100000</f>
        <v>5.7059524636999992</v>
      </c>
      <c r="P104" s="95">
        <f t="shared" ref="P104:P144" si="10">L104*G104/100000</f>
        <v>0</v>
      </c>
      <c r="Q104" s="95">
        <f t="shared" ref="Q104:Q144" si="11">O104+P104</f>
        <v>5.7059524636999992</v>
      </c>
      <c r="R104" s="94" t="s">
        <v>543</v>
      </c>
    </row>
    <row r="105" spans="1:18" s="53" customFormat="1" x14ac:dyDescent="0.2">
      <c r="A105" s="94" t="s">
        <v>381</v>
      </c>
      <c r="B105" s="94" t="s">
        <v>159</v>
      </c>
      <c r="C105" s="94">
        <v>1601259</v>
      </c>
      <c r="D105" s="94" t="s">
        <v>475</v>
      </c>
      <c r="E105" s="94">
        <v>9</v>
      </c>
      <c r="F105" s="94">
        <v>9</v>
      </c>
      <c r="G105" s="94">
        <v>9</v>
      </c>
      <c r="H105" s="94"/>
      <c r="I105" s="95">
        <v>5250</v>
      </c>
      <c r="J105" s="95">
        <v>438039</v>
      </c>
      <c r="K105" s="95">
        <v>43573</v>
      </c>
      <c r="L105" s="95">
        <v>28588</v>
      </c>
      <c r="M105" s="95">
        <v>540000</v>
      </c>
      <c r="N105" s="95">
        <f t="shared" si="8"/>
        <v>39.42351</v>
      </c>
      <c r="O105" s="95">
        <f t="shared" si="9"/>
        <v>3.92157</v>
      </c>
      <c r="P105" s="95">
        <f t="shared" si="10"/>
        <v>2.5729199999999999</v>
      </c>
      <c r="Q105" s="95">
        <f t="shared" si="11"/>
        <v>6.4944899999999999</v>
      </c>
      <c r="R105" s="94" t="s">
        <v>543</v>
      </c>
    </row>
    <row r="106" spans="1:18" s="53" customFormat="1" x14ac:dyDescent="0.2">
      <c r="A106" s="94" t="s">
        <v>381</v>
      </c>
      <c r="B106" s="94" t="s">
        <v>156</v>
      </c>
      <c r="C106" s="94">
        <v>1600751</v>
      </c>
      <c r="D106" s="94" t="s">
        <v>476</v>
      </c>
      <c r="E106" s="94">
        <v>32.39</v>
      </c>
      <c r="F106" s="94">
        <v>32.39</v>
      </c>
      <c r="G106" s="94">
        <v>33.75</v>
      </c>
      <c r="H106" s="94"/>
      <c r="I106" s="95">
        <v>5250</v>
      </c>
      <c r="J106" s="95">
        <v>45575.008071466567</v>
      </c>
      <c r="K106" s="95">
        <v>27130.814000000002</v>
      </c>
      <c r="L106" s="95">
        <v>36356.500899999999</v>
      </c>
      <c r="M106" s="95">
        <v>121069.96913792202</v>
      </c>
      <c r="N106" s="95">
        <f t="shared" si="8"/>
        <v>14.76174511434802</v>
      </c>
      <c r="O106" s="95">
        <f t="shared" si="9"/>
        <v>8.7876706546000012</v>
      </c>
      <c r="P106" s="95">
        <f t="shared" si="10"/>
        <v>12.270319053749999</v>
      </c>
      <c r="Q106" s="95">
        <f t="shared" si="11"/>
        <v>21.05798970835</v>
      </c>
      <c r="R106" s="94" t="s">
        <v>543</v>
      </c>
    </row>
    <row r="107" spans="1:18" s="53" customFormat="1" x14ac:dyDescent="0.2">
      <c r="A107" s="94" t="s">
        <v>381</v>
      </c>
      <c r="B107" s="94" t="s">
        <v>156</v>
      </c>
      <c r="C107" s="94">
        <v>1600752</v>
      </c>
      <c r="D107" s="94" t="s">
        <v>108</v>
      </c>
      <c r="E107" s="94"/>
      <c r="F107" s="94"/>
      <c r="G107" s="94">
        <v>0.9</v>
      </c>
      <c r="H107" s="94"/>
      <c r="I107" s="95">
        <v>5250</v>
      </c>
      <c r="J107" s="95">
        <v>45575.008071466567</v>
      </c>
      <c r="K107" s="95">
        <v>27130.814000000002</v>
      </c>
      <c r="L107" s="95">
        <v>36356.500899999999</v>
      </c>
      <c r="M107" s="95">
        <v>121069.96913792202</v>
      </c>
      <c r="N107" s="95">
        <f t="shared" si="8"/>
        <v>0</v>
      </c>
      <c r="O107" s="95">
        <f t="shared" si="9"/>
        <v>0</v>
      </c>
      <c r="P107" s="95">
        <f t="shared" si="10"/>
        <v>0.32720850810000002</v>
      </c>
      <c r="Q107" s="95">
        <f t="shared" si="11"/>
        <v>0.32720850810000002</v>
      </c>
      <c r="R107" s="94" t="s">
        <v>543</v>
      </c>
    </row>
    <row r="108" spans="1:18" s="53" customFormat="1" x14ac:dyDescent="0.2">
      <c r="A108" s="94" t="s">
        <v>381</v>
      </c>
      <c r="B108" s="94" t="s">
        <v>156</v>
      </c>
      <c r="C108" s="94">
        <v>1600756</v>
      </c>
      <c r="D108" s="94" t="s">
        <v>388</v>
      </c>
      <c r="E108" s="94"/>
      <c r="F108" s="94"/>
      <c r="G108" s="94">
        <v>2.625</v>
      </c>
      <c r="H108" s="94"/>
      <c r="I108" s="95">
        <v>5250</v>
      </c>
      <c r="J108" s="95">
        <v>45575.008071466567</v>
      </c>
      <c r="K108" s="95">
        <v>27130.814000000002</v>
      </c>
      <c r="L108" s="95">
        <v>23844.879699999998</v>
      </c>
      <c r="M108" s="95">
        <v>108918.89362559767</v>
      </c>
      <c r="N108" s="95">
        <f t="shared" si="8"/>
        <v>0</v>
      </c>
      <c r="O108" s="95">
        <f t="shared" si="9"/>
        <v>0</v>
      </c>
      <c r="P108" s="95">
        <f t="shared" si="10"/>
        <v>0.625928092125</v>
      </c>
      <c r="Q108" s="95">
        <f t="shared" si="11"/>
        <v>0.625928092125</v>
      </c>
      <c r="R108" s="94" t="s">
        <v>543</v>
      </c>
    </row>
    <row r="109" spans="1:18" s="53" customFormat="1" x14ac:dyDescent="0.2">
      <c r="A109" s="94" t="s">
        <v>381</v>
      </c>
      <c r="B109" s="94" t="s">
        <v>156</v>
      </c>
      <c r="C109" s="94">
        <v>1601227</v>
      </c>
      <c r="D109" s="94" t="s">
        <v>496</v>
      </c>
      <c r="E109" s="94">
        <v>0.5</v>
      </c>
      <c r="F109" s="94">
        <v>0.5</v>
      </c>
      <c r="G109" s="94">
        <v>0.5</v>
      </c>
      <c r="H109" s="94"/>
      <c r="I109" s="95">
        <v>5250</v>
      </c>
      <c r="J109" s="95">
        <v>45109.731118662014</v>
      </c>
      <c r="K109" s="95">
        <v>28646.3033</v>
      </c>
      <c r="L109" s="95">
        <v>27145.780299999999</v>
      </c>
      <c r="M109" s="95">
        <v>101716.98694497749</v>
      </c>
      <c r="N109" s="95">
        <f t="shared" si="8"/>
        <v>0.22554865559331005</v>
      </c>
      <c r="O109" s="95">
        <f t="shared" si="9"/>
        <v>0.14323151649999999</v>
      </c>
      <c r="P109" s="95">
        <f t="shared" si="10"/>
        <v>0.1357289015</v>
      </c>
      <c r="Q109" s="95">
        <f t="shared" si="11"/>
        <v>0.27896041799999999</v>
      </c>
      <c r="R109" s="94" t="s">
        <v>543</v>
      </c>
    </row>
    <row r="110" spans="1:18" s="53" customFormat="1" x14ac:dyDescent="0.2">
      <c r="A110" s="94" t="s">
        <v>381</v>
      </c>
      <c r="B110" s="94" t="s">
        <v>156</v>
      </c>
      <c r="C110" s="94">
        <v>1600967</v>
      </c>
      <c r="D110" s="94" t="s">
        <v>453</v>
      </c>
      <c r="E110" s="94">
        <v>0.9375</v>
      </c>
      <c r="F110" s="94">
        <v>0.9375</v>
      </c>
      <c r="G110" s="94">
        <v>0.9375</v>
      </c>
      <c r="H110" s="94"/>
      <c r="I110" s="95">
        <v>5250</v>
      </c>
      <c r="J110" s="95">
        <v>45516.649502699751</v>
      </c>
      <c r="K110" s="95">
        <v>27530.618999999999</v>
      </c>
      <c r="L110" s="95">
        <v>50293.1</v>
      </c>
      <c r="M110" s="95">
        <v>147585.39880555274</v>
      </c>
      <c r="N110" s="95">
        <f t="shared" si="8"/>
        <v>0.42671858908781019</v>
      </c>
      <c r="O110" s="95">
        <f t="shared" si="9"/>
        <v>0.25809955312499999</v>
      </c>
      <c r="P110" s="95">
        <f t="shared" si="10"/>
        <v>0.4714978125</v>
      </c>
      <c r="Q110" s="95">
        <f t="shared" si="11"/>
        <v>0.72959736562499999</v>
      </c>
      <c r="R110" s="94" t="s">
        <v>543</v>
      </c>
    </row>
    <row r="111" spans="1:18" s="53" customFormat="1" x14ac:dyDescent="0.2">
      <c r="A111" s="94" t="s">
        <v>381</v>
      </c>
      <c r="B111" s="94" t="s">
        <v>234</v>
      </c>
      <c r="C111" s="94">
        <v>1600230</v>
      </c>
      <c r="D111" s="94" t="s">
        <v>111</v>
      </c>
      <c r="E111" s="94">
        <v>15</v>
      </c>
      <c r="F111" s="94">
        <v>15</v>
      </c>
      <c r="G111" s="94">
        <v>15</v>
      </c>
      <c r="H111" s="94"/>
      <c r="I111" s="95">
        <v>5250</v>
      </c>
      <c r="J111" s="95">
        <v>52385.021231841689</v>
      </c>
      <c r="K111" s="95">
        <v>26855.039000000001</v>
      </c>
      <c r="L111" s="95">
        <v>23845.185099999999</v>
      </c>
      <c r="M111" s="95">
        <v>112976.41363568649</v>
      </c>
      <c r="N111" s="95">
        <f t="shared" si="8"/>
        <v>7.8577531847762536</v>
      </c>
      <c r="O111" s="95">
        <f t="shared" si="9"/>
        <v>4.0282558499999999</v>
      </c>
      <c r="P111" s="95">
        <f t="shared" si="10"/>
        <v>3.5767777649999997</v>
      </c>
      <c r="Q111" s="95">
        <f t="shared" si="11"/>
        <v>7.605033615</v>
      </c>
      <c r="R111" s="94" t="s">
        <v>543</v>
      </c>
    </row>
    <row r="112" spans="1:18" s="53" customFormat="1" x14ac:dyDescent="0.2">
      <c r="A112" s="94" t="s">
        <v>381</v>
      </c>
      <c r="B112" s="94" t="s">
        <v>158</v>
      </c>
      <c r="C112" s="94">
        <v>1601005</v>
      </c>
      <c r="D112" s="94" t="s">
        <v>164</v>
      </c>
      <c r="E112" s="94">
        <v>70</v>
      </c>
      <c r="F112" s="94">
        <v>70</v>
      </c>
      <c r="G112" s="94">
        <v>70</v>
      </c>
      <c r="H112" s="94"/>
      <c r="I112" s="95">
        <v>5250</v>
      </c>
      <c r="J112" s="95">
        <v>22437.089572339501</v>
      </c>
      <c r="K112" s="95">
        <v>13689.625</v>
      </c>
      <c r="L112" s="95">
        <v>8732.3014000000003</v>
      </c>
      <c r="M112" s="95">
        <v>49341.80060857506</v>
      </c>
      <c r="N112" s="95">
        <f t="shared" si="8"/>
        <v>15.705962700637651</v>
      </c>
      <c r="O112" s="95">
        <f t="shared" si="9"/>
        <v>9.5827375000000004</v>
      </c>
      <c r="P112" s="95">
        <f t="shared" si="10"/>
        <v>6.1126109800000004</v>
      </c>
      <c r="Q112" s="95">
        <f t="shared" si="11"/>
        <v>15.69534848</v>
      </c>
      <c r="R112" s="94" t="s">
        <v>543</v>
      </c>
    </row>
    <row r="113" spans="1:18" s="53" customFormat="1" x14ac:dyDescent="0.2">
      <c r="A113" s="94" t="s">
        <v>381</v>
      </c>
      <c r="B113" s="94" t="s">
        <v>158</v>
      </c>
      <c r="C113" s="94">
        <v>1601293</v>
      </c>
      <c r="D113" s="94" t="s">
        <v>477</v>
      </c>
      <c r="E113" s="94">
        <v>65</v>
      </c>
      <c r="F113" s="94">
        <v>65</v>
      </c>
      <c r="G113" s="94">
        <v>65</v>
      </c>
      <c r="H113" s="94"/>
      <c r="I113" s="95">
        <v>5250</v>
      </c>
      <c r="J113" s="95">
        <v>32307.195626852772</v>
      </c>
      <c r="K113" s="95">
        <v>12122.710200000001</v>
      </c>
      <c r="L113" s="95">
        <v>6270.3196000000007</v>
      </c>
      <c r="M113" s="95">
        <v>55991.372481848834</v>
      </c>
      <c r="N113" s="95">
        <f t="shared" si="8"/>
        <v>20.9996771574543</v>
      </c>
      <c r="O113" s="95">
        <f t="shared" si="9"/>
        <v>7.8797616300000008</v>
      </c>
      <c r="P113" s="95">
        <f t="shared" si="10"/>
        <v>4.0757077400000004</v>
      </c>
      <c r="Q113" s="95">
        <f t="shared" si="11"/>
        <v>11.955469370000001</v>
      </c>
      <c r="R113" s="94" t="s">
        <v>543</v>
      </c>
    </row>
    <row r="114" spans="1:18" s="53" customFormat="1" x14ac:dyDescent="0.2">
      <c r="A114" s="94" t="s">
        <v>381</v>
      </c>
      <c r="B114" s="94" t="s">
        <v>158</v>
      </c>
      <c r="C114" s="94">
        <v>1600029</v>
      </c>
      <c r="D114" s="94" t="s">
        <v>149</v>
      </c>
      <c r="E114" s="94">
        <v>12</v>
      </c>
      <c r="F114" s="94">
        <v>12</v>
      </c>
      <c r="G114" s="94">
        <v>22</v>
      </c>
      <c r="H114" s="94"/>
      <c r="I114" s="95">
        <v>5250</v>
      </c>
      <c r="J114" s="95">
        <v>31785.942383117996</v>
      </c>
      <c r="K114" s="95">
        <v>12411.274099999999</v>
      </c>
      <c r="L114" s="95">
        <v>6271.8517999999995</v>
      </c>
      <c r="M114" s="95">
        <v>55600.402293941013</v>
      </c>
      <c r="N114" s="95">
        <f t="shared" si="8"/>
        <v>3.8143130859741592</v>
      </c>
      <c r="O114" s="95">
        <f t="shared" si="9"/>
        <v>1.4893528920000001</v>
      </c>
      <c r="P114" s="95">
        <f t="shared" si="10"/>
        <v>1.3798073959999999</v>
      </c>
      <c r="Q114" s="95">
        <f t="shared" si="11"/>
        <v>2.8691602879999998</v>
      </c>
      <c r="R114" s="94" t="s">
        <v>543</v>
      </c>
    </row>
    <row r="115" spans="1:18" s="53" customFormat="1" x14ac:dyDescent="0.2">
      <c r="A115" s="94" t="s">
        <v>381</v>
      </c>
      <c r="B115" s="94" t="s">
        <v>158</v>
      </c>
      <c r="C115" s="94">
        <v>1600027</v>
      </c>
      <c r="D115" s="94" t="s">
        <v>165</v>
      </c>
      <c r="E115" s="94">
        <v>20</v>
      </c>
      <c r="F115" s="94"/>
      <c r="G115" s="94">
        <v>20</v>
      </c>
      <c r="H115" s="94"/>
      <c r="I115" s="95">
        <v>5250</v>
      </c>
      <c r="J115" s="95">
        <v>31785.942383117996</v>
      </c>
      <c r="K115" s="95">
        <v>12411.274099999999</v>
      </c>
      <c r="L115" s="95">
        <v>6868.1924000000008</v>
      </c>
      <c r="M115" s="95">
        <v>56284.336242172227</v>
      </c>
      <c r="N115" s="95">
        <f t="shared" si="8"/>
        <v>0</v>
      </c>
      <c r="O115" s="95">
        <f t="shared" si="9"/>
        <v>0</v>
      </c>
      <c r="P115" s="95">
        <f t="shared" si="10"/>
        <v>1.3736384800000003</v>
      </c>
      <c r="Q115" s="95">
        <f t="shared" si="11"/>
        <v>1.3736384800000003</v>
      </c>
      <c r="R115" s="94" t="s">
        <v>543</v>
      </c>
    </row>
    <row r="116" spans="1:18" s="53" customFormat="1" x14ac:dyDescent="0.2">
      <c r="A116" s="94" t="s">
        <v>381</v>
      </c>
      <c r="B116" s="94" t="s">
        <v>158</v>
      </c>
      <c r="C116" s="94">
        <v>1601284</v>
      </c>
      <c r="D116" s="94" t="s">
        <v>478</v>
      </c>
      <c r="E116" s="94">
        <v>110</v>
      </c>
      <c r="F116" s="94"/>
      <c r="G116" s="94">
        <v>110</v>
      </c>
      <c r="H116" s="94"/>
      <c r="I116" s="95">
        <v>5250</v>
      </c>
      <c r="J116" s="95">
        <v>31785.942383117996</v>
      </c>
      <c r="K116" s="95">
        <v>12435.8541</v>
      </c>
      <c r="L116" s="95">
        <v>8997.4567999999999</v>
      </c>
      <c r="M116" s="95">
        <v>58350.587293941011</v>
      </c>
      <c r="N116" s="95">
        <f t="shared" si="8"/>
        <v>0</v>
      </c>
      <c r="O116" s="95">
        <f t="shared" si="9"/>
        <v>0</v>
      </c>
      <c r="P116" s="95">
        <f t="shared" si="10"/>
        <v>9.8972024800000007</v>
      </c>
      <c r="Q116" s="95">
        <f t="shared" si="11"/>
        <v>9.8972024800000007</v>
      </c>
      <c r="R116" s="94" t="s">
        <v>543</v>
      </c>
    </row>
    <row r="117" spans="1:18" s="53" customFormat="1" x14ac:dyDescent="0.2">
      <c r="A117" s="94" t="s">
        <v>381</v>
      </c>
      <c r="B117" s="94" t="s">
        <v>158</v>
      </c>
      <c r="C117" s="94">
        <v>1601007</v>
      </c>
      <c r="D117" s="94" t="s">
        <v>169</v>
      </c>
      <c r="E117" s="94">
        <v>32</v>
      </c>
      <c r="F117" s="94">
        <v>32</v>
      </c>
      <c r="G117" s="94">
        <v>32</v>
      </c>
      <c r="H117" s="94"/>
      <c r="I117" s="95">
        <v>5250</v>
      </c>
      <c r="J117" s="95">
        <v>22419.988991859394</v>
      </c>
      <c r="K117" s="95">
        <v>14315.707</v>
      </c>
      <c r="L117" s="95">
        <v>8998.5203999999994</v>
      </c>
      <c r="M117" s="95">
        <v>50214.286393819311</v>
      </c>
      <c r="N117" s="95">
        <f t="shared" si="8"/>
        <v>7.174396477395006</v>
      </c>
      <c r="O117" s="95">
        <f t="shared" si="9"/>
        <v>4.5810262399999999</v>
      </c>
      <c r="P117" s="95">
        <f t="shared" si="10"/>
        <v>2.879526528</v>
      </c>
      <c r="Q117" s="95">
        <f t="shared" si="11"/>
        <v>7.4605527679999994</v>
      </c>
      <c r="R117" s="94" t="s">
        <v>543</v>
      </c>
    </row>
    <row r="118" spans="1:18" s="53" customFormat="1" x14ac:dyDescent="0.2">
      <c r="A118" s="94" t="s">
        <v>381</v>
      </c>
      <c r="B118" s="94" t="s">
        <v>158</v>
      </c>
      <c r="C118" s="94">
        <v>1601299</v>
      </c>
      <c r="D118" s="94" t="s">
        <v>497</v>
      </c>
      <c r="E118" s="94">
        <v>40</v>
      </c>
      <c r="F118" s="94">
        <v>40</v>
      </c>
      <c r="G118" s="94">
        <v>40</v>
      </c>
      <c r="H118" s="94"/>
      <c r="I118" s="95">
        <v>5250</v>
      </c>
      <c r="J118" s="95">
        <v>39297.865413515625</v>
      </c>
      <c r="K118" s="95">
        <v>12054.80384</v>
      </c>
      <c r="L118" s="95">
        <v>6448.1352000000006</v>
      </c>
      <c r="M118" s="95">
        <v>62657.527746231492</v>
      </c>
      <c r="N118" s="95">
        <f t="shared" si="8"/>
        <v>15.719146165406251</v>
      </c>
      <c r="O118" s="95">
        <f t="shared" si="9"/>
        <v>4.8219215360000005</v>
      </c>
      <c r="P118" s="95">
        <f t="shared" si="10"/>
        <v>2.5792540800000001</v>
      </c>
      <c r="Q118" s="95">
        <f t="shared" si="11"/>
        <v>7.4011756160000006</v>
      </c>
      <c r="R118" s="94" t="s">
        <v>543</v>
      </c>
    </row>
    <row r="119" spans="1:18" s="53" customFormat="1" x14ac:dyDescent="0.2">
      <c r="A119" s="94" t="s">
        <v>381</v>
      </c>
      <c r="B119" s="94" t="s">
        <v>158</v>
      </c>
      <c r="C119" s="94">
        <v>1601006</v>
      </c>
      <c r="D119" s="94" t="s">
        <v>173</v>
      </c>
      <c r="E119" s="94">
        <v>30</v>
      </c>
      <c r="F119" s="94">
        <v>30</v>
      </c>
      <c r="G119" s="94">
        <v>30</v>
      </c>
      <c r="H119" s="94"/>
      <c r="I119" s="95">
        <v>5250</v>
      </c>
      <c r="J119" s="95">
        <v>20807.809667416521</v>
      </c>
      <c r="K119" s="95">
        <v>17750.979500000001</v>
      </c>
      <c r="L119" s="95">
        <v>8979.4310000000005</v>
      </c>
      <c r="M119" s="95">
        <v>51762.364514822577</v>
      </c>
      <c r="N119" s="95">
        <f t="shared" si="8"/>
        <v>6.2423429002249566</v>
      </c>
      <c r="O119" s="95">
        <f t="shared" si="9"/>
        <v>5.3252938500000004</v>
      </c>
      <c r="P119" s="95">
        <f t="shared" si="10"/>
        <v>2.6938293</v>
      </c>
      <c r="Q119" s="95">
        <f t="shared" si="11"/>
        <v>8.0191231500000004</v>
      </c>
      <c r="R119" s="94" t="s">
        <v>543</v>
      </c>
    </row>
    <row r="120" spans="1:18" s="53" customFormat="1" x14ac:dyDescent="0.2">
      <c r="A120" s="94" t="s">
        <v>381</v>
      </c>
      <c r="B120" s="94" t="s">
        <v>158</v>
      </c>
      <c r="C120" s="94">
        <v>1600856</v>
      </c>
      <c r="D120" s="94" t="s">
        <v>175</v>
      </c>
      <c r="E120" s="94">
        <v>35</v>
      </c>
      <c r="F120" s="94">
        <v>35</v>
      </c>
      <c r="G120" s="94">
        <v>35</v>
      </c>
      <c r="H120" s="94"/>
      <c r="I120" s="95">
        <v>5250</v>
      </c>
      <c r="J120" s="95">
        <v>36881.996064350446</v>
      </c>
      <c r="K120" s="95">
        <v>16282.34167</v>
      </c>
      <c r="L120" s="95">
        <v>6630.2286000000004</v>
      </c>
      <c r="M120" s="95">
        <v>64308</v>
      </c>
      <c r="N120" s="95">
        <f t="shared" si="8"/>
        <v>12.908698622522657</v>
      </c>
      <c r="O120" s="95">
        <f t="shared" si="9"/>
        <v>5.6988195845000007</v>
      </c>
      <c r="P120" s="95">
        <f t="shared" si="10"/>
        <v>2.32058001</v>
      </c>
      <c r="Q120" s="95">
        <f t="shared" si="11"/>
        <v>8.0193995945000012</v>
      </c>
      <c r="R120" s="94" t="s">
        <v>543</v>
      </c>
    </row>
    <row r="121" spans="1:18" s="53" customFormat="1" x14ac:dyDescent="0.2">
      <c r="A121" s="94" t="s">
        <v>381</v>
      </c>
      <c r="B121" s="94" t="s">
        <v>158</v>
      </c>
      <c r="C121" s="94">
        <v>1600040</v>
      </c>
      <c r="D121" s="94" t="s">
        <v>276</v>
      </c>
      <c r="E121" s="94">
        <v>15</v>
      </c>
      <c r="F121" s="94"/>
      <c r="G121" s="94">
        <v>15</v>
      </c>
      <c r="H121" s="94"/>
      <c r="I121" s="95">
        <v>5250</v>
      </c>
      <c r="J121" s="95">
        <v>29777.4511301639</v>
      </c>
      <c r="K121" s="95">
        <v>16271.024580000001</v>
      </c>
      <c r="L121" s="95">
        <v>6344.9737999999998</v>
      </c>
      <c r="M121" s="95">
        <v>57246.506830465281</v>
      </c>
      <c r="N121" s="95">
        <f t="shared" si="8"/>
        <v>0</v>
      </c>
      <c r="O121" s="95">
        <f t="shared" si="9"/>
        <v>0</v>
      </c>
      <c r="P121" s="95">
        <f t="shared" si="10"/>
        <v>0.95174606999999989</v>
      </c>
      <c r="Q121" s="95">
        <f t="shared" si="11"/>
        <v>0.95174606999999989</v>
      </c>
      <c r="R121" s="94" t="s">
        <v>543</v>
      </c>
    </row>
    <row r="122" spans="1:18" s="53" customFormat="1" x14ac:dyDescent="0.2">
      <c r="A122" s="94" t="s">
        <v>381</v>
      </c>
      <c r="B122" s="94" t="s">
        <v>158</v>
      </c>
      <c r="C122" s="94">
        <v>1601285</v>
      </c>
      <c r="D122" s="94" t="s">
        <v>480</v>
      </c>
      <c r="E122" s="94">
        <v>45</v>
      </c>
      <c r="F122" s="94">
        <v>40</v>
      </c>
      <c r="G122" s="94">
        <v>45</v>
      </c>
      <c r="H122" s="94"/>
      <c r="I122" s="95">
        <v>5250</v>
      </c>
      <c r="J122" s="95">
        <v>29777.4511301639</v>
      </c>
      <c r="K122" s="95">
        <v>16271.024580000001</v>
      </c>
      <c r="L122" s="95">
        <v>5778.6370999999999</v>
      </c>
      <c r="M122" s="95">
        <v>56767.763478696492</v>
      </c>
      <c r="N122" s="95">
        <f t="shared" si="8"/>
        <v>11.91098045206556</v>
      </c>
      <c r="O122" s="95">
        <f t="shared" si="9"/>
        <v>6.5084098319999999</v>
      </c>
      <c r="P122" s="95">
        <f t="shared" si="10"/>
        <v>2.6003866950000001</v>
      </c>
      <c r="Q122" s="95">
        <f t="shared" si="11"/>
        <v>9.1087965269999991</v>
      </c>
      <c r="R122" s="94" t="s">
        <v>543</v>
      </c>
    </row>
    <row r="123" spans="1:18" s="53" customFormat="1" x14ac:dyDescent="0.2">
      <c r="A123" s="94" t="s">
        <v>381</v>
      </c>
      <c r="B123" s="94" t="s">
        <v>158</v>
      </c>
      <c r="C123" s="94">
        <v>1601295</v>
      </c>
      <c r="D123" s="94" t="s">
        <v>498</v>
      </c>
      <c r="E123" s="94">
        <v>50</v>
      </c>
      <c r="F123" s="94">
        <v>50</v>
      </c>
      <c r="G123" s="94">
        <v>50</v>
      </c>
      <c r="H123" s="94"/>
      <c r="I123" s="95">
        <v>5250</v>
      </c>
      <c r="J123" s="95">
        <v>32307.195626852772</v>
      </c>
      <c r="K123" s="95">
        <v>12122.710200000001</v>
      </c>
      <c r="L123" s="95">
        <v>6270.3196000000007</v>
      </c>
      <c r="M123" s="95">
        <v>55991.372481848834</v>
      </c>
      <c r="N123" s="95">
        <f t="shared" si="8"/>
        <v>16.153597813426387</v>
      </c>
      <c r="O123" s="95">
        <f t="shared" si="9"/>
        <v>6.0613551000000001</v>
      </c>
      <c r="P123" s="95">
        <f t="shared" si="10"/>
        <v>3.1351598000000003</v>
      </c>
      <c r="Q123" s="95">
        <f t="shared" si="11"/>
        <v>9.1965149000000004</v>
      </c>
      <c r="R123" s="94" t="s">
        <v>543</v>
      </c>
    </row>
    <row r="124" spans="1:18" s="53" customFormat="1" x14ac:dyDescent="0.2">
      <c r="A124" s="94" t="s">
        <v>381</v>
      </c>
      <c r="B124" s="94" t="s">
        <v>158</v>
      </c>
      <c r="C124" s="94">
        <v>1601286</v>
      </c>
      <c r="D124" s="94" t="s">
        <v>499</v>
      </c>
      <c r="E124" s="94">
        <v>55</v>
      </c>
      <c r="F124" s="94">
        <v>55</v>
      </c>
      <c r="G124" s="94">
        <v>55</v>
      </c>
      <c r="H124" s="94"/>
      <c r="I124" s="95">
        <v>5250</v>
      </c>
      <c r="J124" s="95">
        <v>29777.4511301639</v>
      </c>
      <c r="K124" s="95">
        <v>16271.024580000001</v>
      </c>
      <c r="L124" s="95">
        <v>5778.6370999999999</v>
      </c>
      <c r="M124" s="95">
        <v>56767.763478696492</v>
      </c>
      <c r="N124" s="95">
        <f t="shared" si="8"/>
        <v>16.377598121590143</v>
      </c>
      <c r="O124" s="95">
        <f t="shared" si="9"/>
        <v>8.949063519000001</v>
      </c>
      <c r="P124" s="95">
        <f t="shared" si="10"/>
        <v>3.178250405</v>
      </c>
      <c r="Q124" s="95">
        <f t="shared" si="11"/>
        <v>12.127313924000001</v>
      </c>
      <c r="R124" s="94" t="s">
        <v>543</v>
      </c>
    </row>
    <row r="125" spans="1:18" s="53" customFormat="1" x14ac:dyDescent="0.2">
      <c r="A125" s="94" t="s">
        <v>381</v>
      </c>
      <c r="B125" s="94" t="s">
        <v>158</v>
      </c>
      <c r="C125" s="94">
        <v>1601108</v>
      </c>
      <c r="D125" s="94" t="s">
        <v>406</v>
      </c>
      <c r="E125" s="94">
        <v>40</v>
      </c>
      <c r="F125" s="94"/>
      <c r="G125" s="94">
        <v>40</v>
      </c>
      <c r="H125" s="94"/>
      <c r="I125" s="95">
        <v>5250</v>
      </c>
      <c r="J125" s="95">
        <v>73288</v>
      </c>
      <c r="K125" s="95">
        <v>19932</v>
      </c>
      <c r="L125" s="95">
        <v>19633</v>
      </c>
      <c r="M125" s="95">
        <v>115853</v>
      </c>
      <c r="N125" s="95">
        <f t="shared" si="8"/>
        <v>0</v>
      </c>
      <c r="O125" s="95">
        <f t="shared" si="9"/>
        <v>0</v>
      </c>
      <c r="P125" s="95">
        <f t="shared" si="10"/>
        <v>7.8532000000000002</v>
      </c>
      <c r="Q125" s="95">
        <f t="shared" si="11"/>
        <v>7.8532000000000002</v>
      </c>
      <c r="R125" s="94" t="s">
        <v>543</v>
      </c>
    </row>
    <row r="126" spans="1:18" s="53" customFormat="1" x14ac:dyDescent="0.2">
      <c r="A126" s="94" t="s">
        <v>381</v>
      </c>
      <c r="B126" s="94" t="s">
        <v>158</v>
      </c>
      <c r="C126" s="94">
        <v>1601297</v>
      </c>
      <c r="D126" s="94" t="s">
        <v>500</v>
      </c>
      <c r="E126" s="94">
        <v>65</v>
      </c>
      <c r="F126" s="94">
        <v>65</v>
      </c>
      <c r="G126" s="94">
        <v>65</v>
      </c>
      <c r="H126" s="94"/>
      <c r="I126" s="95">
        <v>5250</v>
      </c>
      <c r="J126" s="95">
        <v>32307.195626852772</v>
      </c>
      <c r="K126" s="95">
        <v>12122.710200000001</v>
      </c>
      <c r="L126" s="95">
        <v>6270.3196000000007</v>
      </c>
      <c r="M126" s="95">
        <v>55991.372481848834</v>
      </c>
      <c r="N126" s="95">
        <f t="shared" si="8"/>
        <v>20.9996771574543</v>
      </c>
      <c r="O126" s="95">
        <f t="shared" si="9"/>
        <v>7.8797616300000008</v>
      </c>
      <c r="P126" s="95">
        <f t="shared" si="10"/>
        <v>4.0757077400000004</v>
      </c>
      <c r="Q126" s="95">
        <f t="shared" si="11"/>
        <v>11.955469370000001</v>
      </c>
      <c r="R126" s="94" t="s">
        <v>543</v>
      </c>
    </row>
    <row r="127" spans="1:18" s="53" customFormat="1" ht="25.5" x14ac:dyDescent="0.2">
      <c r="A127" s="94" t="s">
        <v>381</v>
      </c>
      <c r="B127" s="94" t="s">
        <v>158</v>
      </c>
      <c r="C127" s="94">
        <v>1601290</v>
      </c>
      <c r="D127" s="94" t="s">
        <v>467</v>
      </c>
      <c r="E127" s="94">
        <v>65</v>
      </c>
      <c r="F127" s="94">
        <v>25</v>
      </c>
      <c r="G127" s="94">
        <v>65</v>
      </c>
      <c r="H127" s="94"/>
      <c r="I127" s="95">
        <v>5250</v>
      </c>
      <c r="J127" s="95">
        <v>29777.4511301639</v>
      </c>
      <c r="K127" s="95">
        <v>16271.024580000001</v>
      </c>
      <c r="L127" s="95">
        <v>5778.6370999999999</v>
      </c>
      <c r="M127" s="95">
        <v>56767.763478696492</v>
      </c>
      <c r="N127" s="95">
        <f t="shared" si="8"/>
        <v>7.4443627825409742</v>
      </c>
      <c r="O127" s="95">
        <f t="shared" si="9"/>
        <v>4.0677561450000006</v>
      </c>
      <c r="P127" s="95">
        <f t="shared" si="10"/>
        <v>3.7561141149999999</v>
      </c>
      <c r="Q127" s="95">
        <f t="shared" si="11"/>
        <v>7.8238702600000005</v>
      </c>
      <c r="R127" s="94" t="s">
        <v>543</v>
      </c>
    </row>
    <row r="128" spans="1:18" s="53" customFormat="1" x14ac:dyDescent="0.2">
      <c r="A128" s="94" t="s">
        <v>381</v>
      </c>
      <c r="B128" s="94" t="s">
        <v>158</v>
      </c>
      <c r="C128" s="94">
        <v>1601076</v>
      </c>
      <c r="D128" s="94" t="s">
        <v>400</v>
      </c>
      <c r="E128" s="94">
        <v>10</v>
      </c>
      <c r="F128" s="94"/>
      <c r="G128" s="94">
        <v>10</v>
      </c>
      <c r="H128" s="94"/>
      <c r="I128" s="95">
        <v>5250</v>
      </c>
      <c r="J128" s="95">
        <v>39293.793172329992</v>
      </c>
      <c r="K128" s="95">
        <v>13734.63481</v>
      </c>
      <c r="L128" s="95">
        <v>5324.6417999999994</v>
      </c>
      <c r="M128" s="95">
        <v>63209.35686961488</v>
      </c>
      <c r="N128" s="95">
        <f t="shared" si="8"/>
        <v>0</v>
      </c>
      <c r="O128" s="95">
        <f t="shared" si="9"/>
        <v>0</v>
      </c>
      <c r="P128" s="95">
        <f t="shared" si="10"/>
        <v>0.53246417999999995</v>
      </c>
      <c r="Q128" s="95">
        <f t="shared" si="11"/>
        <v>0.53246417999999995</v>
      </c>
      <c r="R128" s="94" t="s">
        <v>543</v>
      </c>
    </row>
    <row r="129" spans="1:18" s="53" customFormat="1" x14ac:dyDescent="0.2">
      <c r="A129" s="94" t="s">
        <v>381</v>
      </c>
      <c r="B129" s="94" t="s">
        <v>158</v>
      </c>
      <c r="C129" s="94">
        <v>1601298</v>
      </c>
      <c r="D129" s="94" t="s">
        <v>501</v>
      </c>
      <c r="E129" s="94">
        <v>10</v>
      </c>
      <c r="F129" s="94"/>
      <c r="G129" s="94">
        <v>10</v>
      </c>
      <c r="H129" s="94"/>
      <c r="I129" s="95">
        <v>5250</v>
      </c>
      <c r="J129" s="95">
        <v>32307.195626852772</v>
      </c>
      <c r="K129" s="95">
        <v>12122.710200000001</v>
      </c>
      <c r="L129" s="95">
        <v>6270.3196000000007</v>
      </c>
      <c r="M129" s="95">
        <v>55991.372481848834</v>
      </c>
      <c r="N129" s="95">
        <f t="shared" si="8"/>
        <v>0</v>
      </c>
      <c r="O129" s="95">
        <f t="shared" si="9"/>
        <v>0</v>
      </c>
      <c r="P129" s="95">
        <f t="shared" si="10"/>
        <v>0.62703196000000005</v>
      </c>
      <c r="Q129" s="95">
        <f t="shared" si="11"/>
        <v>0.62703196000000005</v>
      </c>
      <c r="R129" s="94" t="s">
        <v>543</v>
      </c>
    </row>
    <row r="130" spans="1:18" s="53" customFormat="1" x14ac:dyDescent="0.2">
      <c r="A130" s="94" t="s">
        <v>381</v>
      </c>
      <c r="B130" s="94" t="s">
        <v>158</v>
      </c>
      <c r="C130" s="94">
        <v>1601288</v>
      </c>
      <c r="D130" s="94" t="s">
        <v>502</v>
      </c>
      <c r="E130" s="94">
        <v>25</v>
      </c>
      <c r="F130" s="94"/>
      <c r="G130" s="94">
        <v>25</v>
      </c>
      <c r="H130" s="94"/>
      <c r="I130" s="95">
        <v>5250</v>
      </c>
      <c r="J130" s="95">
        <v>29777.4511301639</v>
      </c>
      <c r="K130" s="95">
        <v>16271.024580000001</v>
      </c>
      <c r="L130" s="95">
        <v>5778.6370999999999</v>
      </c>
      <c r="M130" s="95">
        <v>56767.763478696492</v>
      </c>
      <c r="N130" s="95">
        <f t="shared" si="8"/>
        <v>0</v>
      </c>
      <c r="O130" s="95">
        <f t="shared" si="9"/>
        <v>0</v>
      </c>
      <c r="P130" s="95">
        <f t="shared" si="10"/>
        <v>1.4446592749999998</v>
      </c>
      <c r="Q130" s="95">
        <f t="shared" si="11"/>
        <v>1.4446592749999998</v>
      </c>
      <c r="R130" s="94" t="s">
        <v>543</v>
      </c>
    </row>
    <row r="131" spans="1:18" s="53" customFormat="1" x14ac:dyDescent="0.2">
      <c r="A131" s="94" t="s">
        <v>381</v>
      </c>
      <c r="B131" s="94" t="s">
        <v>158</v>
      </c>
      <c r="C131" s="94">
        <v>1600477</v>
      </c>
      <c r="D131" s="94" t="s">
        <v>503</v>
      </c>
      <c r="E131" s="94">
        <v>10</v>
      </c>
      <c r="F131" s="94"/>
      <c r="G131" s="94">
        <v>10</v>
      </c>
      <c r="H131" s="94"/>
      <c r="I131" s="95">
        <v>5250</v>
      </c>
      <c r="J131" s="95">
        <v>26362.118623871324</v>
      </c>
      <c r="K131" s="95">
        <v>19308.309000000001</v>
      </c>
      <c r="L131" s="95">
        <v>6597.1159012904609</v>
      </c>
      <c r="M131" s="95">
        <v>56647.40613999249</v>
      </c>
      <c r="N131" s="95">
        <f t="shared" si="8"/>
        <v>0</v>
      </c>
      <c r="O131" s="95">
        <f t="shared" si="9"/>
        <v>0</v>
      </c>
      <c r="P131" s="95">
        <f t="shared" si="10"/>
        <v>0.65971159012904612</v>
      </c>
      <c r="Q131" s="95">
        <f t="shared" si="11"/>
        <v>0.65971159012904612</v>
      </c>
      <c r="R131" s="94" t="s">
        <v>543</v>
      </c>
    </row>
    <row r="132" spans="1:18" s="53" customFormat="1" x14ac:dyDescent="0.2">
      <c r="A132" s="94" t="s">
        <v>381</v>
      </c>
      <c r="B132" s="94" t="s">
        <v>158</v>
      </c>
      <c r="C132" s="94">
        <v>1601105</v>
      </c>
      <c r="D132" s="94" t="s">
        <v>280</v>
      </c>
      <c r="E132" s="94">
        <v>6</v>
      </c>
      <c r="F132" s="94">
        <v>6</v>
      </c>
      <c r="G132" s="94">
        <v>6</v>
      </c>
      <c r="H132" s="94"/>
      <c r="I132" s="95">
        <v>5250</v>
      </c>
      <c r="J132" s="95">
        <v>41443.715181040527</v>
      </c>
      <c r="K132" s="95">
        <v>13317.523119999998</v>
      </c>
      <c r="L132" s="95">
        <v>5943.1820000000007</v>
      </c>
      <c r="M132" s="95">
        <v>66301.602957004972</v>
      </c>
      <c r="N132" s="95">
        <f t="shared" si="8"/>
        <v>2.4866229108624318</v>
      </c>
      <c r="O132" s="95">
        <f t="shared" si="9"/>
        <v>0.79905138719999991</v>
      </c>
      <c r="P132" s="95">
        <f t="shared" si="10"/>
        <v>0.35659092000000003</v>
      </c>
      <c r="Q132" s="95">
        <f t="shared" si="11"/>
        <v>1.1556423071999999</v>
      </c>
      <c r="R132" s="94" t="s">
        <v>543</v>
      </c>
    </row>
    <row r="133" spans="1:18" s="53" customFormat="1" x14ac:dyDescent="0.2">
      <c r="A133" s="94" t="s">
        <v>381</v>
      </c>
      <c r="B133" s="94" t="s">
        <v>158</v>
      </c>
      <c r="C133" s="94">
        <v>1601103</v>
      </c>
      <c r="D133" s="94" t="s">
        <v>281</v>
      </c>
      <c r="E133" s="94">
        <v>12</v>
      </c>
      <c r="F133" s="94">
        <v>12</v>
      </c>
      <c r="G133" s="94">
        <v>12</v>
      </c>
      <c r="H133" s="94"/>
      <c r="I133" s="95">
        <v>5250</v>
      </c>
      <c r="J133" s="95">
        <v>41443.715181040527</v>
      </c>
      <c r="K133" s="95">
        <v>13317.523119999998</v>
      </c>
      <c r="L133" s="95">
        <v>5943.1820000000007</v>
      </c>
      <c r="M133" s="95">
        <v>66301.602957004972</v>
      </c>
      <c r="N133" s="95">
        <f t="shared" si="8"/>
        <v>4.9732458217248636</v>
      </c>
      <c r="O133" s="95">
        <f t="shared" si="9"/>
        <v>1.5981027743999998</v>
      </c>
      <c r="P133" s="95">
        <f t="shared" si="10"/>
        <v>0.71318184000000007</v>
      </c>
      <c r="Q133" s="95">
        <f t="shared" si="11"/>
        <v>2.3112846143999999</v>
      </c>
      <c r="R133" s="94" t="s">
        <v>543</v>
      </c>
    </row>
    <row r="134" spans="1:18" s="53" customFormat="1" x14ac:dyDescent="0.2">
      <c r="A134" s="94" t="s">
        <v>381</v>
      </c>
      <c r="B134" s="94" t="s">
        <v>158</v>
      </c>
      <c r="C134" s="94">
        <v>1601102</v>
      </c>
      <c r="D134" s="94" t="s">
        <v>282</v>
      </c>
      <c r="E134" s="94">
        <v>5</v>
      </c>
      <c r="F134" s="94">
        <v>5</v>
      </c>
      <c r="G134" s="94">
        <v>5</v>
      </c>
      <c r="H134" s="94"/>
      <c r="I134" s="95">
        <v>5250</v>
      </c>
      <c r="J134" s="95">
        <v>41443.715181040527</v>
      </c>
      <c r="K134" s="95">
        <v>13317.523119999998</v>
      </c>
      <c r="L134" s="95">
        <v>5943.1820000000007</v>
      </c>
      <c r="M134" s="95">
        <v>66301.602957004972</v>
      </c>
      <c r="N134" s="95">
        <f t="shared" si="8"/>
        <v>2.0721857590520263</v>
      </c>
      <c r="O134" s="95">
        <f t="shared" si="9"/>
        <v>0.66587615599999994</v>
      </c>
      <c r="P134" s="95">
        <f t="shared" si="10"/>
        <v>0.29715910000000001</v>
      </c>
      <c r="Q134" s="95">
        <f t="shared" si="11"/>
        <v>0.96303525599999995</v>
      </c>
      <c r="R134" s="94" t="s">
        <v>543</v>
      </c>
    </row>
    <row r="135" spans="1:18" s="53" customFormat="1" x14ac:dyDescent="0.2">
      <c r="A135" s="94" t="s">
        <v>381</v>
      </c>
      <c r="B135" s="94" t="s">
        <v>158</v>
      </c>
      <c r="C135" s="94">
        <v>1601059</v>
      </c>
      <c r="D135" s="94" t="s">
        <v>392</v>
      </c>
      <c r="E135" s="94">
        <v>4</v>
      </c>
      <c r="F135" s="94">
        <v>4</v>
      </c>
      <c r="G135" s="94">
        <v>4</v>
      </c>
      <c r="H135" s="94"/>
      <c r="I135" s="95">
        <v>5250</v>
      </c>
      <c r="J135" s="95">
        <v>41426.241978476966</v>
      </c>
      <c r="K135" s="95">
        <v>16461.5982</v>
      </c>
      <c r="L135" s="95">
        <v>5956.1020000000008</v>
      </c>
      <c r="M135" s="95">
        <v>69439.030319024212</v>
      </c>
      <c r="N135" s="95">
        <f t="shared" si="8"/>
        <v>1.6570496791390787</v>
      </c>
      <c r="O135" s="95">
        <f t="shared" si="9"/>
        <v>0.65846392799999998</v>
      </c>
      <c r="P135" s="95">
        <f t="shared" si="10"/>
        <v>0.23824408000000002</v>
      </c>
      <c r="Q135" s="95">
        <f t="shared" si="11"/>
        <v>0.89670800800000006</v>
      </c>
      <c r="R135" s="94" t="s">
        <v>543</v>
      </c>
    </row>
    <row r="136" spans="1:18" s="53" customFormat="1" x14ac:dyDescent="0.2">
      <c r="A136" s="94" t="s">
        <v>381</v>
      </c>
      <c r="B136" s="94" t="s">
        <v>158</v>
      </c>
      <c r="C136" s="94">
        <v>1601057</v>
      </c>
      <c r="D136" s="94" t="s">
        <v>279</v>
      </c>
      <c r="E136" s="94">
        <v>6</v>
      </c>
      <c r="F136" s="94">
        <v>6</v>
      </c>
      <c r="G136" s="94">
        <v>6</v>
      </c>
      <c r="H136" s="94"/>
      <c r="I136" s="95">
        <v>5250</v>
      </c>
      <c r="J136" s="95">
        <v>41426.241978476966</v>
      </c>
      <c r="K136" s="95">
        <v>16461.5982</v>
      </c>
      <c r="L136" s="95">
        <v>5956.1020000000008</v>
      </c>
      <c r="M136" s="95">
        <v>69439.030319024212</v>
      </c>
      <c r="N136" s="95">
        <f t="shared" si="8"/>
        <v>2.485574518708618</v>
      </c>
      <c r="O136" s="95">
        <f t="shared" si="9"/>
        <v>0.98769589200000008</v>
      </c>
      <c r="P136" s="95">
        <f t="shared" si="10"/>
        <v>0.35736612000000006</v>
      </c>
      <c r="Q136" s="95">
        <f t="shared" si="11"/>
        <v>1.3450620120000001</v>
      </c>
      <c r="R136" s="94" t="s">
        <v>543</v>
      </c>
    </row>
    <row r="137" spans="1:18" s="53" customFormat="1" x14ac:dyDescent="0.2">
      <c r="A137" s="94" t="s">
        <v>381</v>
      </c>
      <c r="B137" s="94" t="s">
        <v>158</v>
      </c>
      <c r="C137" s="94">
        <v>1600895</v>
      </c>
      <c r="D137" s="94" t="s">
        <v>404</v>
      </c>
      <c r="E137" s="94">
        <v>3</v>
      </c>
      <c r="F137" s="94">
        <v>3</v>
      </c>
      <c r="G137" s="94">
        <v>3</v>
      </c>
      <c r="H137" s="94"/>
      <c r="I137" s="95">
        <v>5250</v>
      </c>
      <c r="J137" s="95"/>
      <c r="K137" s="95">
        <v>85945.477580000006</v>
      </c>
      <c r="L137" s="95">
        <v>31081.248100000001</v>
      </c>
      <c r="M137" s="95">
        <v>117114.31902823121</v>
      </c>
      <c r="N137" s="95">
        <f t="shared" si="8"/>
        <v>0</v>
      </c>
      <c r="O137" s="95">
        <f t="shared" si="9"/>
        <v>2.5783643274000001</v>
      </c>
      <c r="P137" s="95">
        <f t="shared" si="10"/>
        <v>0.93243744300000009</v>
      </c>
      <c r="Q137" s="95">
        <f t="shared" si="11"/>
        <v>3.5108017704000001</v>
      </c>
      <c r="R137" s="94" t="s">
        <v>543</v>
      </c>
    </row>
    <row r="138" spans="1:18" s="53" customFormat="1" x14ac:dyDescent="0.2">
      <c r="A138" s="94" t="s">
        <v>381</v>
      </c>
      <c r="B138" s="94" t="s">
        <v>159</v>
      </c>
      <c r="C138" s="94">
        <v>1601207</v>
      </c>
      <c r="D138" s="94" t="s">
        <v>396</v>
      </c>
      <c r="E138" s="94">
        <v>12</v>
      </c>
      <c r="F138" s="94"/>
      <c r="G138" s="94">
        <v>12</v>
      </c>
      <c r="H138" s="94"/>
      <c r="I138" s="95">
        <v>5250</v>
      </c>
      <c r="J138" s="95"/>
      <c r="K138" s="95">
        <v>19739.583599999998</v>
      </c>
      <c r="L138" s="95">
        <v>52206.436999999998</v>
      </c>
      <c r="M138" s="95">
        <v>89898.871319318423</v>
      </c>
      <c r="N138" s="95">
        <f t="shared" si="8"/>
        <v>0</v>
      </c>
      <c r="O138" s="95">
        <f t="shared" si="9"/>
        <v>0</v>
      </c>
      <c r="P138" s="95">
        <f t="shared" si="10"/>
        <v>6.2647724399999998</v>
      </c>
      <c r="Q138" s="95">
        <f t="shared" si="11"/>
        <v>6.2647724399999998</v>
      </c>
      <c r="R138" s="94" t="s">
        <v>543</v>
      </c>
    </row>
    <row r="139" spans="1:18" s="53" customFormat="1" x14ac:dyDescent="0.2">
      <c r="A139" s="94" t="s">
        <v>381</v>
      </c>
      <c r="B139" s="94" t="s">
        <v>159</v>
      </c>
      <c r="C139" s="94">
        <v>1601209</v>
      </c>
      <c r="D139" s="94" t="s">
        <v>504</v>
      </c>
      <c r="E139" s="94">
        <v>24</v>
      </c>
      <c r="F139" s="94"/>
      <c r="G139" s="94">
        <v>24</v>
      </c>
      <c r="H139" s="94"/>
      <c r="I139" s="95">
        <v>5250</v>
      </c>
      <c r="J139" s="95"/>
      <c r="K139" s="95">
        <v>19739.583599999998</v>
      </c>
      <c r="L139" s="95">
        <v>25622.179</v>
      </c>
      <c r="M139" s="95">
        <v>52037.701771055654</v>
      </c>
      <c r="N139" s="95">
        <f t="shared" si="8"/>
        <v>0</v>
      </c>
      <c r="O139" s="95">
        <f t="shared" si="9"/>
        <v>0</v>
      </c>
      <c r="P139" s="95">
        <f t="shared" si="10"/>
        <v>6.1493229600000001</v>
      </c>
      <c r="Q139" s="95">
        <f t="shared" si="11"/>
        <v>6.1493229600000001</v>
      </c>
      <c r="R139" s="94" t="s">
        <v>543</v>
      </c>
    </row>
    <row r="140" spans="1:18" s="53" customFormat="1" x14ac:dyDescent="0.2">
      <c r="A140" s="94" t="s">
        <v>381</v>
      </c>
      <c r="B140" s="94" t="s">
        <v>156</v>
      </c>
      <c r="C140" s="94">
        <v>1601157</v>
      </c>
      <c r="D140" s="94" t="s">
        <v>505</v>
      </c>
      <c r="E140" s="94">
        <v>0.1</v>
      </c>
      <c r="F140" s="94">
        <v>0.1</v>
      </c>
      <c r="G140" s="94">
        <v>0.1</v>
      </c>
      <c r="H140" s="94"/>
      <c r="I140" s="95">
        <v>5250</v>
      </c>
      <c r="J140" s="95"/>
      <c r="K140" s="95">
        <v>41993.039999999994</v>
      </c>
      <c r="L140" s="95">
        <v>51965.998800000001</v>
      </c>
      <c r="M140" s="95">
        <v>120132.19751244734</v>
      </c>
      <c r="N140" s="95">
        <f t="shared" si="8"/>
        <v>0</v>
      </c>
      <c r="O140" s="95">
        <f t="shared" si="9"/>
        <v>4.1993039999999988E-2</v>
      </c>
      <c r="P140" s="95">
        <f t="shared" si="10"/>
        <v>5.196599880000001E-2</v>
      </c>
      <c r="Q140" s="95">
        <f t="shared" si="11"/>
        <v>9.3959038800000005E-2</v>
      </c>
      <c r="R140" s="94" t="s">
        <v>543</v>
      </c>
    </row>
    <row r="141" spans="1:18" s="53" customFormat="1" x14ac:dyDescent="0.2">
      <c r="A141" s="94" t="s">
        <v>381</v>
      </c>
      <c r="B141" s="94" t="s">
        <v>156</v>
      </c>
      <c r="C141" s="94">
        <v>1601159</v>
      </c>
      <c r="D141" s="94" t="s">
        <v>409</v>
      </c>
      <c r="E141" s="94">
        <v>3.8</v>
      </c>
      <c r="F141" s="94">
        <v>3.8</v>
      </c>
      <c r="G141" s="94">
        <v>3.8</v>
      </c>
      <c r="H141" s="94"/>
      <c r="I141" s="95">
        <v>5250</v>
      </c>
      <c r="J141" s="95"/>
      <c r="K141" s="95">
        <v>41993.039999999994</v>
      </c>
      <c r="L141" s="95">
        <v>51965.998800000001</v>
      </c>
      <c r="M141" s="95">
        <v>120132.19751244734</v>
      </c>
      <c r="N141" s="95">
        <f t="shared" si="8"/>
        <v>0</v>
      </c>
      <c r="O141" s="95">
        <f t="shared" si="9"/>
        <v>1.5957355199999996</v>
      </c>
      <c r="P141" s="95">
        <f t="shared" si="10"/>
        <v>1.9747079543999999</v>
      </c>
      <c r="Q141" s="95">
        <f t="shared" si="11"/>
        <v>3.5704434743999993</v>
      </c>
      <c r="R141" s="94" t="s">
        <v>543</v>
      </c>
    </row>
    <row r="142" spans="1:18" s="53" customFormat="1" x14ac:dyDescent="0.2">
      <c r="A142" s="94" t="s">
        <v>381</v>
      </c>
      <c r="B142" s="94" t="s">
        <v>156</v>
      </c>
      <c r="C142" s="94">
        <v>1601158</v>
      </c>
      <c r="D142" s="94" t="s">
        <v>506</v>
      </c>
      <c r="E142" s="94">
        <v>0.5</v>
      </c>
      <c r="F142" s="94">
        <v>0.5</v>
      </c>
      <c r="G142" s="94">
        <v>0.5</v>
      </c>
      <c r="H142" s="94"/>
      <c r="I142" s="95">
        <v>5250</v>
      </c>
      <c r="J142" s="95"/>
      <c r="K142" s="95">
        <v>30342.46</v>
      </c>
      <c r="L142" s="95">
        <v>51565.998800000001</v>
      </c>
      <c r="M142" s="95">
        <v>107999.34032149597</v>
      </c>
      <c r="N142" s="95">
        <f t="shared" si="8"/>
        <v>0</v>
      </c>
      <c r="O142" s="95">
        <f t="shared" si="9"/>
        <v>0.15171229999999999</v>
      </c>
      <c r="P142" s="95">
        <f t="shared" si="10"/>
        <v>0.25782999400000001</v>
      </c>
      <c r="Q142" s="95">
        <f t="shared" si="11"/>
        <v>0.40954229399999997</v>
      </c>
      <c r="R142" s="94" t="s">
        <v>543</v>
      </c>
    </row>
    <row r="143" spans="1:18" s="53" customFormat="1" x14ac:dyDescent="0.2">
      <c r="A143" s="94" t="s">
        <v>381</v>
      </c>
      <c r="B143" s="94" t="s">
        <v>158</v>
      </c>
      <c r="C143" s="94">
        <v>1601143</v>
      </c>
      <c r="D143" s="94" t="s">
        <v>507</v>
      </c>
      <c r="E143" s="94">
        <v>0.2064</v>
      </c>
      <c r="F143" s="94">
        <v>0.2064</v>
      </c>
      <c r="G143" s="94">
        <v>0.2064</v>
      </c>
      <c r="H143" s="94"/>
      <c r="I143" s="95"/>
      <c r="J143" s="95"/>
      <c r="K143" s="95">
        <v>90078.310339999996</v>
      </c>
      <c r="L143" s="95">
        <v>353990.11790000001</v>
      </c>
      <c r="M143" s="95">
        <v>461075.50433514506</v>
      </c>
      <c r="N143" s="95">
        <f t="shared" si="8"/>
        <v>0</v>
      </c>
      <c r="O143" s="95">
        <f t="shared" si="9"/>
        <v>0.18592163254176</v>
      </c>
      <c r="P143" s="95">
        <f t="shared" si="10"/>
        <v>0.73063560334559996</v>
      </c>
      <c r="Q143" s="95">
        <f t="shared" si="11"/>
        <v>0.91655723588735993</v>
      </c>
      <c r="R143" s="94" t="s">
        <v>543</v>
      </c>
    </row>
    <row r="144" spans="1:18" s="53" customFormat="1" x14ac:dyDescent="0.2">
      <c r="A144" s="94" t="s">
        <v>381</v>
      </c>
      <c r="B144" s="94" t="s">
        <v>158</v>
      </c>
      <c r="C144" s="94">
        <v>1601126</v>
      </c>
      <c r="D144" s="94" t="s">
        <v>508</v>
      </c>
      <c r="E144" s="94">
        <v>0.11159999999999999</v>
      </c>
      <c r="F144" s="94"/>
      <c r="G144" s="94">
        <v>0.11159999999999999</v>
      </c>
      <c r="H144" s="94"/>
      <c r="I144" s="95"/>
      <c r="J144" s="95"/>
      <c r="K144" s="95">
        <v>90333.620040000009</v>
      </c>
      <c r="L144" s="95">
        <v>205302.47930000001</v>
      </c>
      <c r="M144" s="95">
        <v>321013</v>
      </c>
      <c r="N144" s="95">
        <f t="shared" si="8"/>
        <v>0</v>
      </c>
      <c r="O144" s="95">
        <f t="shared" si="9"/>
        <v>0</v>
      </c>
      <c r="P144" s="95">
        <f t="shared" si="10"/>
        <v>0.2291175668988</v>
      </c>
      <c r="Q144" s="95">
        <f t="shared" si="11"/>
        <v>0.2291175668988</v>
      </c>
      <c r="R144" s="94" t="s">
        <v>543</v>
      </c>
    </row>
    <row r="145" spans="1:18" s="53" customFormat="1" ht="76.5" x14ac:dyDescent="0.2">
      <c r="A145" s="94" t="s">
        <v>380</v>
      </c>
      <c r="B145" s="94" t="s">
        <v>159</v>
      </c>
      <c r="C145" s="94" t="s">
        <v>473</v>
      </c>
      <c r="D145" s="94" t="s">
        <v>473</v>
      </c>
      <c r="E145" s="94">
        <v>54</v>
      </c>
      <c r="F145" s="94"/>
      <c r="G145" s="94">
        <v>54</v>
      </c>
      <c r="H145" s="94"/>
      <c r="I145" s="95">
        <v>5250</v>
      </c>
      <c r="J145" s="95">
        <f>58876.2161946158-5250</f>
        <v>53626.216194615801</v>
      </c>
      <c r="K145" s="95">
        <f>12021.0558+5250</f>
        <v>17271.055800000002</v>
      </c>
      <c r="L145" s="95">
        <v>16337.905399999998</v>
      </c>
      <c r="M145" s="95">
        <v>124756.40173436387</v>
      </c>
      <c r="N145" s="95">
        <f>$F145*J145/100000</f>
        <v>0</v>
      </c>
      <c r="O145" s="95">
        <f>F145*K145/100000</f>
        <v>0</v>
      </c>
      <c r="P145" s="95">
        <f>L145*G145/100000</f>
        <v>8.8224689159999983</v>
      </c>
      <c r="Q145" s="95">
        <f>O145+P145</f>
        <v>8.8224689159999983</v>
      </c>
      <c r="R145" s="94" t="s">
        <v>543</v>
      </c>
    </row>
    <row r="146" spans="1:18" s="53" customFormat="1" x14ac:dyDescent="0.2">
      <c r="A146" s="94" t="s">
        <v>380</v>
      </c>
      <c r="B146" s="94" t="s">
        <v>159</v>
      </c>
      <c r="C146" s="94">
        <v>1601308</v>
      </c>
      <c r="D146" s="94" t="s">
        <v>474</v>
      </c>
      <c r="E146" s="94">
        <v>27</v>
      </c>
      <c r="F146" s="94">
        <v>27</v>
      </c>
      <c r="G146" s="94">
        <v>27</v>
      </c>
      <c r="H146" s="94"/>
      <c r="I146" s="95">
        <v>5250</v>
      </c>
      <c r="J146" s="95">
        <v>53626.216194615808</v>
      </c>
      <c r="K146" s="95">
        <v>17271.055800000002</v>
      </c>
      <c r="L146" s="95">
        <v>16337.905399999998</v>
      </c>
      <c r="M146" s="95">
        <v>124756.40173436387</v>
      </c>
      <c r="N146" s="95">
        <f t="shared" ref="N146:N209" si="12">$F146*J146/100000</f>
        <v>14.479078372546269</v>
      </c>
      <c r="O146" s="95">
        <f t="shared" ref="O146:O209" si="13">F146*K146/100000</f>
        <v>4.6631850660000005</v>
      </c>
      <c r="P146" s="95">
        <f t="shared" ref="P146:P209" si="14">L146*G146/100000</f>
        <v>4.4112344579999991</v>
      </c>
      <c r="Q146" s="95">
        <f t="shared" ref="Q146:Q209" si="15">O146+P146</f>
        <v>9.0744195239999996</v>
      </c>
      <c r="R146" s="94" t="s">
        <v>543</v>
      </c>
    </row>
    <row r="147" spans="1:18" s="53" customFormat="1" x14ac:dyDescent="0.2">
      <c r="A147" s="94" t="s">
        <v>380</v>
      </c>
      <c r="B147" s="94" t="s">
        <v>159</v>
      </c>
      <c r="C147" s="94">
        <v>1601259</v>
      </c>
      <c r="D147" s="94" t="s">
        <v>475</v>
      </c>
      <c r="E147" s="94">
        <v>9</v>
      </c>
      <c r="F147" s="94">
        <v>9</v>
      </c>
      <c r="G147" s="94"/>
      <c r="H147" s="94"/>
      <c r="I147" s="95"/>
      <c r="J147" s="95">
        <v>443289</v>
      </c>
      <c r="K147" s="95">
        <v>38323</v>
      </c>
      <c r="L147" s="95">
        <v>28588</v>
      </c>
      <c r="M147" s="95">
        <v>540000</v>
      </c>
      <c r="N147" s="95">
        <f t="shared" si="12"/>
        <v>39.896009999999997</v>
      </c>
      <c r="O147" s="95">
        <f t="shared" si="13"/>
        <v>3.4490699999999999</v>
      </c>
      <c r="P147" s="95">
        <f t="shared" si="14"/>
        <v>0</v>
      </c>
      <c r="Q147" s="95">
        <f t="shared" si="15"/>
        <v>3.4490699999999999</v>
      </c>
      <c r="R147" s="94" t="s">
        <v>543</v>
      </c>
    </row>
    <row r="148" spans="1:18" s="53" customFormat="1" x14ac:dyDescent="0.2">
      <c r="A148" s="94" t="s">
        <v>380</v>
      </c>
      <c r="B148" s="94" t="s">
        <v>156</v>
      </c>
      <c r="C148" s="94">
        <v>1600750</v>
      </c>
      <c r="D148" s="94" t="s">
        <v>162</v>
      </c>
      <c r="E148" s="94">
        <v>0.33800000000000002</v>
      </c>
      <c r="F148" s="94"/>
      <c r="G148" s="94">
        <v>0.33800000000000002</v>
      </c>
      <c r="H148" s="94"/>
      <c r="I148" s="95">
        <v>5250</v>
      </c>
      <c r="J148" s="95">
        <v>45575.008071466567</v>
      </c>
      <c r="K148" s="95">
        <v>27130.814000000002</v>
      </c>
      <c r="L148" s="95">
        <v>36356.500899999999</v>
      </c>
      <c r="M148" s="95">
        <v>121069.96913792202</v>
      </c>
      <c r="N148" s="95">
        <f t="shared" si="12"/>
        <v>0</v>
      </c>
      <c r="O148" s="95">
        <f t="shared" si="13"/>
        <v>0</v>
      </c>
      <c r="P148" s="95">
        <f t="shared" si="14"/>
        <v>0.122884973042</v>
      </c>
      <c r="Q148" s="95">
        <f t="shared" si="15"/>
        <v>0.122884973042</v>
      </c>
      <c r="R148" s="94" t="s">
        <v>543</v>
      </c>
    </row>
    <row r="149" spans="1:18" s="53" customFormat="1" x14ac:dyDescent="0.2">
      <c r="A149" s="94" t="s">
        <v>380</v>
      </c>
      <c r="B149" s="94" t="s">
        <v>156</v>
      </c>
      <c r="C149" s="94">
        <v>1600751</v>
      </c>
      <c r="D149" s="94" t="s">
        <v>476</v>
      </c>
      <c r="E149" s="94">
        <v>4.7300000000000004</v>
      </c>
      <c r="F149" s="94"/>
      <c r="G149" s="94">
        <v>4.7300000000000004</v>
      </c>
      <c r="H149" s="94"/>
      <c r="I149" s="95">
        <v>5250</v>
      </c>
      <c r="J149" s="95">
        <v>45575.008071466567</v>
      </c>
      <c r="K149" s="95">
        <v>27130.814000000002</v>
      </c>
      <c r="L149" s="95">
        <v>36356.500899999999</v>
      </c>
      <c r="M149" s="95">
        <v>121069.96913792202</v>
      </c>
      <c r="N149" s="95">
        <f t="shared" si="12"/>
        <v>0</v>
      </c>
      <c r="O149" s="95">
        <f t="shared" si="13"/>
        <v>0</v>
      </c>
      <c r="P149" s="95">
        <f t="shared" si="14"/>
        <v>1.7196624925700001</v>
      </c>
      <c r="Q149" s="95">
        <f t="shared" si="15"/>
        <v>1.7196624925700001</v>
      </c>
      <c r="R149" s="94" t="s">
        <v>543</v>
      </c>
    </row>
    <row r="150" spans="1:18" s="53" customFormat="1" x14ac:dyDescent="0.2">
      <c r="A150" s="94" t="s">
        <v>380</v>
      </c>
      <c r="B150" s="94" t="s">
        <v>156</v>
      </c>
      <c r="C150" s="94">
        <v>1600755</v>
      </c>
      <c r="D150" s="94" t="s">
        <v>452</v>
      </c>
      <c r="E150" s="94">
        <v>0.44</v>
      </c>
      <c r="F150" s="94"/>
      <c r="G150" s="94">
        <v>0.44</v>
      </c>
      <c r="H150" s="94"/>
      <c r="I150" s="95">
        <v>5250</v>
      </c>
      <c r="J150" s="95">
        <v>45575.008071466567</v>
      </c>
      <c r="K150" s="95">
        <v>27130.814000000002</v>
      </c>
      <c r="L150" s="95">
        <v>14574.1387</v>
      </c>
      <c r="M150" s="95">
        <v>112551.11902380512</v>
      </c>
      <c r="N150" s="95">
        <f t="shared" si="12"/>
        <v>0</v>
      </c>
      <c r="O150" s="95">
        <f t="shared" si="13"/>
        <v>0</v>
      </c>
      <c r="P150" s="95">
        <f t="shared" si="14"/>
        <v>6.4126210279999998E-2</v>
      </c>
      <c r="Q150" s="95">
        <f t="shared" si="15"/>
        <v>6.4126210279999998E-2</v>
      </c>
      <c r="R150" s="94" t="s">
        <v>543</v>
      </c>
    </row>
    <row r="151" spans="1:18" s="53" customFormat="1" x14ac:dyDescent="0.2">
      <c r="A151" s="94" t="s">
        <v>380</v>
      </c>
      <c r="B151" s="94" t="s">
        <v>156</v>
      </c>
      <c r="C151" s="94">
        <v>1600756</v>
      </c>
      <c r="D151" s="94" t="s">
        <v>388</v>
      </c>
      <c r="E151" s="94">
        <v>2</v>
      </c>
      <c r="F151" s="94"/>
      <c r="G151" s="94">
        <v>2</v>
      </c>
      <c r="H151" s="94"/>
      <c r="I151" s="95">
        <v>5250</v>
      </c>
      <c r="J151" s="95">
        <v>45575.008071466567</v>
      </c>
      <c r="K151" s="95">
        <v>27130.814000000002</v>
      </c>
      <c r="L151" s="95">
        <v>23844.879699999998</v>
      </c>
      <c r="M151" s="95">
        <v>108918.89362559767</v>
      </c>
      <c r="N151" s="95">
        <f t="shared" si="12"/>
        <v>0</v>
      </c>
      <c r="O151" s="95">
        <f t="shared" si="13"/>
        <v>0</v>
      </c>
      <c r="P151" s="95">
        <f t="shared" si="14"/>
        <v>0.47689759399999998</v>
      </c>
      <c r="Q151" s="95">
        <f t="shared" si="15"/>
        <v>0.47689759399999998</v>
      </c>
      <c r="R151" s="94" t="s">
        <v>543</v>
      </c>
    </row>
    <row r="152" spans="1:18" s="53" customFormat="1" x14ac:dyDescent="0.2">
      <c r="A152" s="94" t="s">
        <v>380</v>
      </c>
      <c r="B152" s="94" t="s">
        <v>158</v>
      </c>
      <c r="C152" s="94">
        <v>1601005</v>
      </c>
      <c r="D152" s="94" t="s">
        <v>164</v>
      </c>
      <c r="E152" s="94">
        <v>109</v>
      </c>
      <c r="F152" s="94">
        <v>109</v>
      </c>
      <c r="G152" s="94">
        <v>109</v>
      </c>
      <c r="H152" s="94"/>
      <c r="I152" s="95">
        <v>5250</v>
      </c>
      <c r="J152" s="95">
        <v>22437.089572339501</v>
      </c>
      <c r="K152" s="95">
        <v>13689.625</v>
      </c>
      <c r="L152" s="95">
        <v>8732.3014000000003</v>
      </c>
      <c r="M152" s="95">
        <v>49341.80060857506</v>
      </c>
      <c r="N152" s="95">
        <f t="shared" si="12"/>
        <v>24.456427633850058</v>
      </c>
      <c r="O152" s="95">
        <f t="shared" si="13"/>
        <v>14.92169125</v>
      </c>
      <c r="P152" s="95">
        <f t="shared" si="14"/>
        <v>9.5182085260000004</v>
      </c>
      <c r="Q152" s="95">
        <f t="shared" si="15"/>
        <v>24.439899776000001</v>
      </c>
      <c r="R152" s="94" t="s">
        <v>543</v>
      </c>
    </row>
    <row r="153" spans="1:18" s="53" customFormat="1" x14ac:dyDescent="0.2">
      <c r="A153" s="94" t="s">
        <v>380</v>
      </c>
      <c r="B153" s="94" t="s">
        <v>158</v>
      </c>
      <c r="C153" s="94">
        <v>1601293</v>
      </c>
      <c r="D153" s="94" t="s">
        <v>477</v>
      </c>
      <c r="E153" s="94">
        <v>147</v>
      </c>
      <c r="F153" s="94">
        <v>147</v>
      </c>
      <c r="G153" s="94">
        <v>147</v>
      </c>
      <c r="H153" s="94"/>
      <c r="I153" s="95">
        <v>5250</v>
      </c>
      <c r="J153" s="95">
        <v>31785.942383117996</v>
      </c>
      <c r="K153" s="95">
        <v>12411.274099999999</v>
      </c>
      <c r="L153" s="95">
        <v>6667.7085999999999</v>
      </c>
      <c r="M153" s="95">
        <v>55996.259093941015</v>
      </c>
      <c r="N153" s="95">
        <f t="shared" si="12"/>
        <v>46.725335303183449</v>
      </c>
      <c r="O153" s="95">
        <f t="shared" si="13"/>
        <v>18.244572927</v>
      </c>
      <c r="P153" s="95">
        <f t="shared" si="14"/>
        <v>9.8015316420000005</v>
      </c>
      <c r="Q153" s="95">
        <f t="shared" si="15"/>
        <v>28.046104569000001</v>
      </c>
      <c r="R153" s="94" t="s">
        <v>543</v>
      </c>
    </row>
    <row r="154" spans="1:18" s="53" customFormat="1" x14ac:dyDescent="0.2">
      <c r="A154" s="94" t="s">
        <v>380</v>
      </c>
      <c r="B154" s="94" t="s">
        <v>158</v>
      </c>
      <c r="C154" s="94">
        <v>1601284</v>
      </c>
      <c r="D154" s="94" t="s">
        <v>478</v>
      </c>
      <c r="E154" s="94">
        <v>143</v>
      </c>
      <c r="F154" s="94">
        <v>143</v>
      </c>
      <c r="G154" s="94">
        <v>143</v>
      </c>
      <c r="H154" s="94"/>
      <c r="I154" s="95">
        <v>5250</v>
      </c>
      <c r="J154" s="95">
        <v>31523.582193455099</v>
      </c>
      <c r="K154" s="95">
        <v>12915.539779999999</v>
      </c>
      <c r="L154" s="95">
        <v>6558.6481600000006</v>
      </c>
      <c r="M154" s="95">
        <v>56092.754110292837</v>
      </c>
      <c r="N154" s="95">
        <f t="shared" si="12"/>
        <v>45.07872253664079</v>
      </c>
      <c r="O154" s="95">
        <f t="shared" si="13"/>
        <v>18.469221885399996</v>
      </c>
      <c r="P154" s="95">
        <f t="shared" si="14"/>
        <v>9.3788668688000012</v>
      </c>
      <c r="Q154" s="95">
        <f t="shared" si="15"/>
        <v>27.848088754199999</v>
      </c>
      <c r="R154" s="94" t="s">
        <v>543</v>
      </c>
    </row>
    <row r="155" spans="1:18" s="53" customFormat="1" x14ac:dyDescent="0.2">
      <c r="A155" s="94" t="s">
        <v>380</v>
      </c>
      <c r="B155" s="94" t="s">
        <v>158</v>
      </c>
      <c r="C155" s="94">
        <v>1600864</v>
      </c>
      <c r="D155" s="94" t="s">
        <v>274</v>
      </c>
      <c r="E155" s="94">
        <v>80</v>
      </c>
      <c r="F155" s="94">
        <v>80</v>
      </c>
      <c r="G155" s="94">
        <v>80</v>
      </c>
      <c r="H155" s="94"/>
      <c r="I155" s="95">
        <v>5250</v>
      </c>
      <c r="J155" s="95">
        <v>39297.865413515625</v>
      </c>
      <c r="K155" s="95">
        <v>12054.80384</v>
      </c>
      <c r="L155" s="95">
        <v>5378.9866999999995</v>
      </c>
      <c r="M155" s="95">
        <v>61588.379246231489</v>
      </c>
      <c r="N155" s="95">
        <f t="shared" si="12"/>
        <v>31.438292330812502</v>
      </c>
      <c r="O155" s="95">
        <f t="shared" si="13"/>
        <v>9.643843072000001</v>
      </c>
      <c r="P155" s="95">
        <f t="shared" si="14"/>
        <v>4.3031893600000002</v>
      </c>
      <c r="Q155" s="95">
        <f t="shared" si="15"/>
        <v>13.947032432</v>
      </c>
      <c r="R155" s="94" t="s">
        <v>543</v>
      </c>
    </row>
    <row r="156" spans="1:18" s="53" customFormat="1" x14ac:dyDescent="0.2">
      <c r="A156" s="94" t="s">
        <v>380</v>
      </c>
      <c r="B156" s="94" t="s">
        <v>158</v>
      </c>
      <c r="C156" s="94">
        <v>1600926</v>
      </c>
      <c r="D156" s="94" t="s">
        <v>263</v>
      </c>
      <c r="E156" s="94">
        <v>2</v>
      </c>
      <c r="F156" s="94">
        <v>2</v>
      </c>
      <c r="G156" s="94">
        <v>2</v>
      </c>
      <c r="H156" s="94"/>
      <c r="I156" s="95">
        <v>5250</v>
      </c>
      <c r="J156" s="95">
        <v>39297.865413515625</v>
      </c>
      <c r="K156" s="95">
        <v>12147.700860000001</v>
      </c>
      <c r="L156" s="95">
        <v>4904.6996999999992</v>
      </c>
      <c r="M156" s="95">
        <v>56350.265973515619</v>
      </c>
      <c r="N156" s="95">
        <f t="shared" si="12"/>
        <v>0.78595730827031252</v>
      </c>
      <c r="O156" s="95">
        <f t="shared" si="13"/>
        <v>0.24295401720000001</v>
      </c>
      <c r="P156" s="95">
        <f t="shared" si="14"/>
        <v>9.809399399999999E-2</v>
      </c>
      <c r="Q156" s="95">
        <f t="shared" si="15"/>
        <v>0.3410480112</v>
      </c>
      <c r="R156" s="94" t="s">
        <v>543</v>
      </c>
    </row>
    <row r="157" spans="1:18" s="53" customFormat="1" x14ac:dyDescent="0.2">
      <c r="A157" s="94" t="s">
        <v>380</v>
      </c>
      <c r="B157" s="94" t="s">
        <v>158</v>
      </c>
      <c r="C157" s="94">
        <v>1600939</v>
      </c>
      <c r="D157" s="94" t="s">
        <v>172</v>
      </c>
      <c r="E157" s="94">
        <v>6</v>
      </c>
      <c r="F157" s="94"/>
      <c r="G157" s="94">
        <v>6</v>
      </c>
      <c r="H157" s="94"/>
      <c r="I157" s="95">
        <v>5250</v>
      </c>
      <c r="J157" s="95">
        <v>39654.505427713069</v>
      </c>
      <c r="K157" s="95">
        <v>12873.544849999998</v>
      </c>
      <c r="L157" s="95">
        <v>9193.6378000000004</v>
      </c>
      <c r="M157" s="95">
        <v>66616.613506305293</v>
      </c>
      <c r="N157" s="95">
        <f t="shared" si="12"/>
        <v>0</v>
      </c>
      <c r="O157" s="95">
        <f t="shared" si="13"/>
        <v>0</v>
      </c>
      <c r="P157" s="95">
        <f t="shared" si="14"/>
        <v>0.55161826800000002</v>
      </c>
      <c r="Q157" s="95">
        <f t="shared" si="15"/>
        <v>0.55161826800000002</v>
      </c>
      <c r="R157" s="94" t="s">
        <v>543</v>
      </c>
    </row>
    <row r="158" spans="1:18" s="53" customFormat="1" x14ac:dyDescent="0.2">
      <c r="A158" s="94" t="s">
        <v>380</v>
      </c>
      <c r="B158" s="94" t="s">
        <v>158</v>
      </c>
      <c r="C158" s="94">
        <v>1601083</v>
      </c>
      <c r="D158" s="94" t="s">
        <v>398</v>
      </c>
      <c r="E158" s="94">
        <v>35</v>
      </c>
      <c r="F158" s="94">
        <v>35</v>
      </c>
      <c r="G158" s="94">
        <v>35</v>
      </c>
      <c r="H158" s="94"/>
      <c r="I158" s="95">
        <v>5250</v>
      </c>
      <c r="J158" s="95">
        <v>31781.414711934449</v>
      </c>
      <c r="K158" s="95">
        <v>13602.805779999999</v>
      </c>
      <c r="L158" s="95">
        <v>6459.5489200000002</v>
      </c>
      <c r="M158" s="95">
        <v>56974.476113402314</v>
      </c>
      <c r="N158" s="95">
        <f t="shared" si="12"/>
        <v>11.123495149177057</v>
      </c>
      <c r="O158" s="95">
        <f t="shared" si="13"/>
        <v>4.7609820229999995</v>
      </c>
      <c r="P158" s="95">
        <f t="shared" si="14"/>
        <v>2.2608421220000001</v>
      </c>
      <c r="Q158" s="95">
        <f t="shared" si="15"/>
        <v>7.0218241450000001</v>
      </c>
      <c r="R158" s="94" t="s">
        <v>543</v>
      </c>
    </row>
    <row r="159" spans="1:18" s="53" customFormat="1" x14ac:dyDescent="0.2">
      <c r="A159" s="94" t="s">
        <v>380</v>
      </c>
      <c r="B159" s="94" t="s">
        <v>158</v>
      </c>
      <c r="C159" s="94">
        <v>1601006</v>
      </c>
      <c r="D159" s="94" t="s">
        <v>173</v>
      </c>
      <c r="E159" s="94">
        <v>33</v>
      </c>
      <c r="F159" s="94">
        <v>33</v>
      </c>
      <c r="G159" s="94">
        <v>33</v>
      </c>
      <c r="H159" s="94"/>
      <c r="I159" s="95">
        <v>5250</v>
      </c>
      <c r="J159" s="95">
        <v>20807.809667416521</v>
      </c>
      <c r="K159" s="95">
        <v>17750.979500000001</v>
      </c>
      <c r="L159" s="95">
        <v>8979.4310000000005</v>
      </c>
      <c r="M159" s="95">
        <v>51762.364514822577</v>
      </c>
      <c r="N159" s="95">
        <f t="shared" si="12"/>
        <v>6.8665771902474519</v>
      </c>
      <c r="O159" s="95">
        <f t="shared" si="13"/>
        <v>5.8578232350000006</v>
      </c>
      <c r="P159" s="95">
        <f t="shared" si="14"/>
        <v>2.9632122299999999</v>
      </c>
      <c r="Q159" s="95">
        <f t="shared" si="15"/>
        <v>8.8210354650000014</v>
      </c>
      <c r="R159" s="94" t="s">
        <v>543</v>
      </c>
    </row>
    <row r="160" spans="1:18" s="53" customFormat="1" x14ac:dyDescent="0.2">
      <c r="A160" s="94" t="s">
        <v>380</v>
      </c>
      <c r="B160" s="94" t="s">
        <v>158</v>
      </c>
      <c r="C160" s="94">
        <v>1601294</v>
      </c>
      <c r="D160" s="94" t="s">
        <v>479</v>
      </c>
      <c r="E160" s="94">
        <v>102</v>
      </c>
      <c r="F160" s="94">
        <v>102</v>
      </c>
      <c r="G160" s="94">
        <v>102</v>
      </c>
      <c r="H160" s="94"/>
      <c r="I160" s="95">
        <v>5250</v>
      </c>
      <c r="J160" s="95">
        <v>32263.808053094799</v>
      </c>
      <c r="K160" s="95">
        <v>16260.993329999999</v>
      </c>
      <c r="L160" s="95">
        <v>5595.1198999999997</v>
      </c>
      <c r="M160" s="95">
        <v>57157.646053966797</v>
      </c>
      <c r="N160" s="95">
        <f t="shared" si="12"/>
        <v>32.909084214156692</v>
      </c>
      <c r="O160" s="95">
        <f t="shared" si="13"/>
        <v>16.586213196599999</v>
      </c>
      <c r="P160" s="95">
        <f t="shared" si="14"/>
        <v>5.707022298</v>
      </c>
      <c r="Q160" s="95">
        <f t="shared" si="15"/>
        <v>22.293235494599998</v>
      </c>
      <c r="R160" s="94" t="s">
        <v>543</v>
      </c>
    </row>
    <row r="161" spans="1:18" s="53" customFormat="1" x14ac:dyDescent="0.2">
      <c r="A161" s="94" t="s">
        <v>380</v>
      </c>
      <c r="B161" s="94" t="s">
        <v>158</v>
      </c>
      <c r="C161" s="94">
        <v>1601285</v>
      </c>
      <c r="D161" s="94" t="s">
        <v>480</v>
      </c>
      <c r="E161" s="94">
        <v>55</v>
      </c>
      <c r="F161" s="94">
        <v>55</v>
      </c>
      <c r="G161" s="94">
        <v>55</v>
      </c>
      <c r="H161" s="94"/>
      <c r="I161" s="95">
        <v>5250</v>
      </c>
      <c r="J161" s="95">
        <v>29777.4511301639</v>
      </c>
      <c r="K161" s="95">
        <v>16271.024580000001</v>
      </c>
      <c r="L161" s="95">
        <v>5778.6370999999999</v>
      </c>
      <c r="M161" s="95">
        <v>56767.763478696492</v>
      </c>
      <c r="N161" s="95">
        <f t="shared" si="12"/>
        <v>16.377598121590143</v>
      </c>
      <c r="O161" s="95">
        <f t="shared" si="13"/>
        <v>8.949063519000001</v>
      </c>
      <c r="P161" s="95">
        <f t="shared" si="14"/>
        <v>3.178250405</v>
      </c>
      <c r="Q161" s="95">
        <f t="shared" si="15"/>
        <v>12.127313924000001</v>
      </c>
      <c r="R161" s="94" t="s">
        <v>543</v>
      </c>
    </row>
    <row r="162" spans="1:18" s="53" customFormat="1" x14ac:dyDescent="0.2">
      <c r="A162" s="94" t="s">
        <v>380</v>
      </c>
      <c r="B162" s="94" t="s">
        <v>158</v>
      </c>
      <c r="C162" s="94">
        <v>1600866</v>
      </c>
      <c r="D162" s="94" t="s">
        <v>116</v>
      </c>
      <c r="E162" s="94">
        <v>30</v>
      </c>
      <c r="F162" s="94">
        <v>30</v>
      </c>
      <c r="G162" s="94">
        <v>30</v>
      </c>
      <c r="H162" s="94"/>
      <c r="I162" s="95">
        <v>5250</v>
      </c>
      <c r="J162" s="95">
        <v>36881.996064350446</v>
      </c>
      <c r="K162" s="95">
        <v>16282.34167</v>
      </c>
      <c r="L162" s="95">
        <v>5576.9079000000002</v>
      </c>
      <c r="M162" s="95">
        <v>63339</v>
      </c>
      <c r="N162" s="95">
        <f t="shared" si="12"/>
        <v>11.064598819305132</v>
      </c>
      <c r="O162" s="95">
        <f t="shared" si="13"/>
        <v>4.8847025010000005</v>
      </c>
      <c r="P162" s="95">
        <f t="shared" si="14"/>
        <v>1.6730723699999999</v>
      </c>
      <c r="Q162" s="95">
        <f t="shared" si="15"/>
        <v>6.5577748710000003</v>
      </c>
      <c r="R162" s="94" t="s">
        <v>543</v>
      </c>
    </row>
    <row r="163" spans="1:18" s="53" customFormat="1" x14ac:dyDescent="0.2">
      <c r="A163" s="94" t="s">
        <v>380</v>
      </c>
      <c r="B163" s="94" t="s">
        <v>158</v>
      </c>
      <c r="C163" s="94">
        <v>1600862</v>
      </c>
      <c r="D163" s="94" t="s">
        <v>178</v>
      </c>
      <c r="E163" s="94">
        <v>20</v>
      </c>
      <c r="F163" s="94">
        <v>20</v>
      </c>
      <c r="G163" s="94">
        <v>20</v>
      </c>
      <c r="H163" s="94"/>
      <c r="I163" s="95">
        <v>5250</v>
      </c>
      <c r="J163" s="95">
        <v>36186.869400277086</v>
      </c>
      <c r="K163" s="95">
        <v>18601.586569999999</v>
      </c>
      <c r="L163" s="95">
        <v>5386.4034000000001</v>
      </c>
      <c r="M163" s="95">
        <v>64698.342735678525</v>
      </c>
      <c r="N163" s="95">
        <f t="shared" si="12"/>
        <v>7.2373738800554177</v>
      </c>
      <c r="O163" s="95">
        <f t="shared" si="13"/>
        <v>3.7203173139999999</v>
      </c>
      <c r="P163" s="95">
        <f t="shared" si="14"/>
        <v>1.0772806800000001</v>
      </c>
      <c r="Q163" s="95">
        <f t="shared" si="15"/>
        <v>4.7975979940000002</v>
      </c>
      <c r="R163" s="94" t="s">
        <v>543</v>
      </c>
    </row>
    <row r="164" spans="1:18" s="53" customFormat="1" x14ac:dyDescent="0.2">
      <c r="A164" s="94" t="s">
        <v>380</v>
      </c>
      <c r="B164" s="94" t="s">
        <v>158</v>
      </c>
      <c r="C164" s="94">
        <v>1600928</v>
      </c>
      <c r="D164" s="94" t="s">
        <v>367</v>
      </c>
      <c r="E164" s="94">
        <v>5</v>
      </c>
      <c r="F164" s="94">
        <v>5</v>
      </c>
      <c r="G164" s="94">
        <v>5</v>
      </c>
      <c r="H164" s="94"/>
      <c r="I164" s="95">
        <v>5250</v>
      </c>
      <c r="J164" s="95">
        <v>36186.869400277086</v>
      </c>
      <c r="K164" s="95">
        <v>17586.081170000001</v>
      </c>
      <c r="L164" s="95">
        <v>5582.1218000000008</v>
      </c>
      <c r="M164" s="95">
        <v>63878.555735678521</v>
      </c>
      <c r="N164" s="95">
        <f t="shared" si="12"/>
        <v>1.8093434700138544</v>
      </c>
      <c r="O164" s="95">
        <f t="shared" si="13"/>
        <v>0.87930405850000015</v>
      </c>
      <c r="P164" s="95">
        <f t="shared" si="14"/>
        <v>0.27910609000000003</v>
      </c>
      <c r="Q164" s="95">
        <f t="shared" si="15"/>
        <v>1.1584101485000002</v>
      </c>
      <c r="R164" s="94" t="s">
        <v>543</v>
      </c>
    </row>
    <row r="165" spans="1:18" s="53" customFormat="1" x14ac:dyDescent="0.2">
      <c r="A165" s="94" t="s">
        <v>380</v>
      </c>
      <c r="B165" s="94" t="s">
        <v>158</v>
      </c>
      <c r="C165" s="94">
        <v>1601076</v>
      </c>
      <c r="D165" s="94" t="s">
        <v>400</v>
      </c>
      <c r="E165" s="94">
        <v>15</v>
      </c>
      <c r="F165" s="94">
        <v>15</v>
      </c>
      <c r="G165" s="94">
        <v>15</v>
      </c>
      <c r="H165" s="94"/>
      <c r="I165" s="95">
        <v>5250</v>
      </c>
      <c r="J165" s="95">
        <v>39293.793172329992</v>
      </c>
      <c r="K165" s="95">
        <v>13734.63481</v>
      </c>
      <c r="L165" s="95">
        <v>5324.6417999999994</v>
      </c>
      <c r="M165" s="95">
        <v>63209.35686961488</v>
      </c>
      <c r="N165" s="95">
        <f t="shared" si="12"/>
        <v>5.8940689758494988</v>
      </c>
      <c r="O165" s="95">
        <f t="shared" si="13"/>
        <v>2.0601952214999999</v>
      </c>
      <c r="P165" s="95">
        <f t="shared" si="14"/>
        <v>0.79869626999999999</v>
      </c>
      <c r="Q165" s="95">
        <f t="shared" si="15"/>
        <v>2.8588914914999997</v>
      </c>
      <c r="R165" s="94" t="s">
        <v>543</v>
      </c>
    </row>
    <row r="166" spans="1:18" s="53" customFormat="1" x14ac:dyDescent="0.2">
      <c r="A166" s="94" t="s">
        <v>380</v>
      </c>
      <c r="B166" s="94" t="s">
        <v>158</v>
      </c>
      <c r="C166" s="94">
        <v>1600826</v>
      </c>
      <c r="D166" s="94" t="s">
        <v>130</v>
      </c>
      <c r="E166" s="94">
        <v>14</v>
      </c>
      <c r="F166" s="94">
        <v>14</v>
      </c>
      <c r="G166" s="94">
        <v>14</v>
      </c>
      <c r="H166" s="94"/>
      <c r="I166" s="95">
        <v>5250</v>
      </c>
      <c r="J166" s="95">
        <v>46556.493091635806</v>
      </c>
      <c r="K166" s="95">
        <v>15965.345000000001</v>
      </c>
      <c r="L166" s="95">
        <v>23145.275900000001</v>
      </c>
      <c r="M166" s="95">
        <v>90679.37883495295</v>
      </c>
      <c r="N166" s="95">
        <f t="shared" si="12"/>
        <v>6.5179090328290128</v>
      </c>
      <c r="O166" s="95">
        <f t="shared" si="13"/>
        <v>2.2351483000000001</v>
      </c>
      <c r="P166" s="95">
        <f t="shared" si="14"/>
        <v>3.2403386259999998</v>
      </c>
      <c r="Q166" s="95">
        <f t="shared" si="15"/>
        <v>5.4754869260000003</v>
      </c>
      <c r="R166" s="94" t="s">
        <v>543</v>
      </c>
    </row>
    <row r="167" spans="1:18" s="53" customFormat="1" ht="25.5" x14ac:dyDescent="0.2">
      <c r="A167" s="94" t="s">
        <v>380</v>
      </c>
      <c r="B167" s="94" t="s">
        <v>158</v>
      </c>
      <c r="C167" s="94">
        <v>1601204</v>
      </c>
      <c r="D167" s="94" t="s">
        <v>481</v>
      </c>
      <c r="E167" s="94">
        <v>5</v>
      </c>
      <c r="F167" s="94">
        <v>5</v>
      </c>
      <c r="G167" s="94">
        <v>5</v>
      </c>
      <c r="H167" s="94"/>
      <c r="I167" s="95">
        <v>5250</v>
      </c>
      <c r="J167" s="95">
        <v>34995.049078855947</v>
      </c>
      <c r="K167" s="95">
        <v>15960.117000000002</v>
      </c>
      <c r="L167" s="95">
        <v>23222.842499999999</v>
      </c>
      <c r="M167" s="95">
        <v>80008.727649363704</v>
      </c>
      <c r="N167" s="95">
        <f t="shared" si="12"/>
        <v>1.7497524539427975</v>
      </c>
      <c r="O167" s="95">
        <f t="shared" si="13"/>
        <v>0.79800585000000002</v>
      </c>
      <c r="P167" s="95">
        <f t="shared" si="14"/>
        <v>1.161142125</v>
      </c>
      <c r="Q167" s="95">
        <f t="shared" si="15"/>
        <v>1.959147975</v>
      </c>
      <c r="R167" s="94" t="s">
        <v>543</v>
      </c>
    </row>
    <row r="168" spans="1:18" s="53" customFormat="1" x14ac:dyDescent="0.2">
      <c r="A168" s="94" t="s">
        <v>380</v>
      </c>
      <c r="B168" s="94" t="s">
        <v>158</v>
      </c>
      <c r="C168" s="94">
        <v>1601316</v>
      </c>
      <c r="D168" s="94" t="s">
        <v>482</v>
      </c>
      <c r="E168" s="94">
        <v>10</v>
      </c>
      <c r="F168" s="94">
        <v>10</v>
      </c>
      <c r="G168" s="94">
        <v>10</v>
      </c>
      <c r="H168" s="94"/>
      <c r="I168" s="95">
        <v>5250</v>
      </c>
      <c r="J168" s="95">
        <v>34995.049078855947</v>
      </c>
      <c r="K168" s="95">
        <v>15960.117000000002</v>
      </c>
      <c r="L168" s="95">
        <v>23222.842499999999</v>
      </c>
      <c r="M168" s="95">
        <v>80008.727649363704</v>
      </c>
      <c r="N168" s="95">
        <f t="shared" si="12"/>
        <v>3.4995049078855951</v>
      </c>
      <c r="O168" s="95">
        <f t="shared" si="13"/>
        <v>1.5960117</v>
      </c>
      <c r="P168" s="95">
        <f t="shared" si="14"/>
        <v>2.32228425</v>
      </c>
      <c r="Q168" s="95">
        <f t="shared" si="15"/>
        <v>3.9182959500000001</v>
      </c>
      <c r="R168" s="94" t="s">
        <v>543</v>
      </c>
    </row>
    <row r="169" spans="1:18" s="53" customFormat="1" ht="25.5" x14ac:dyDescent="0.2">
      <c r="A169" s="94" t="s">
        <v>380</v>
      </c>
      <c r="B169" s="94" t="s">
        <v>158</v>
      </c>
      <c r="C169" s="94">
        <v>1601201</v>
      </c>
      <c r="D169" s="94" t="s">
        <v>483</v>
      </c>
      <c r="E169" s="94">
        <v>8</v>
      </c>
      <c r="F169" s="94">
        <v>8</v>
      </c>
      <c r="G169" s="94">
        <v>8</v>
      </c>
      <c r="H169" s="94"/>
      <c r="I169" s="95">
        <v>5250</v>
      </c>
      <c r="J169" s="95">
        <v>41412.947150439475</v>
      </c>
      <c r="K169" s="95">
        <v>16766.112624000001</v>
      </c>
      <c r="L169" s="95">
        <v>24971.833000000002</v>
      </c>
      <c r="M169" s="95">
        <v>88829.285914185806</v>
      </c>
      <c r="N169" s="95">
        <f t="shared" si="12"/>
        <v>3.3130357720351582</v>
      </c>
      <c r="O169" s="95">
        <f t="shared" si="13"/>
        <v>1.3412890099200001</v>
      </c>
      <c r="P169" s="95">
        <f t="shared" si="14"/>
        <v>1.9977466400000001</v>
      </c>
      <c r="Q169" s="95">
        <f t="shared" si="15"/>
        <v>3.3390356499200005</v>
      </c>
      <c r="R169" s="94" t="s">
        <v>543</v>
      </c>
    </row>
    <row r="170" spans="1:18" s="53" customFormat="1" x14ac:dyDescent="0.2">
      <c r="A170" s="94" t="s">
        <v>380</v>
      </c>
      <c r="B170" s="94" t="s">
        <v>158</v>
      </c>
      <c r="C170" s="94">
        <v>1601314</v>
      </c>
      <c r="D170" s="94" t="s">
        <v>484</v>
      </c>
      <c r="E170" s="94">
        <v>10</v>
      </c>
      <c r="F170" s="94">
        <v>10</v>
      </c>
      <c r="G170" s="94">
        <v>10</v>
      </c>
      <c r="H170" s="94"/>
      <c r="I170" s="95">
        <v>5250</v>
      </c>
      <c r="J170" s="95">
        <v>41412.947150439475</v>
      </c>
      <c r="K170" s="95">
        <v>16766.112624000001</v>
      </c>
      <c r="L170" s="95">
        <v>24971.833000000002</v>
      </c>
      <c r="M170" s="95">
        <v>88829.285914185806</v>
      </c>
      <c r="N170" s="95">
        <f t="shared" si="12"/>
        <v>4.1412947150439479</v>
      </c>
      <c r="O170" s="95">
        <f t="shared" si="13"/>
        <v>1.6766112624</v>
      </c>
      <c r="P170" s="95">
        <f t="shared" si="14"/>
        <v>2.4971833000000001</v>
      </c>
      <c r="Q170" s="95">
        <f t="shared" si="15"/>
        <v>4.1737945624000004</v>
      </c>
      <c r="R170" s="94" t="s">
        <v>543</v>
      </c>
    </row>
    <row r="171" spans="1:18" s="53" customFormat="1" x14ac:dyDescent="0.2">
      <c r="A171" s="94" t="s">
        <v>380</v>
      </c>
      <c r="B171" s="94" t="s">
        <v>158</v>
      </c>
      <c r="C171" s="94">
        <v>1600670</v>
      </c>
      <c r="D171" s="94" t="s">
        <v>131</v>
      </c>
      <c r="E171" s="94">
        <v>10</v>
      </c>
      <c r="F171" s="94">
        <v>10</v>
      </c>
      <c r="G171" s="94">
        <v>10</v>
      </c>
      <c r="H171" s="94"/>
      <c r="I171" s="95">
        <v>5250</v>
      </c>
      <c r="J171" s="95">
        <v>52168.2</v>
      </c>
      <c r="K171" s="95">
        <v>16120.753612500001</v>
      </c>
      <c r="L171" s="95">
        <v>14520.557812485386</v>
      </c>
      <c r="M171" s="95">
        <v>92315.069111617631</v>
      </c>
      <c r="N171" s="95">
        <f t="shared" si="12"/>
        <v>5.2168200000000002</v>
      </c>
      <c r="O171" s="95">
        <f t="shared" si="13"/>
        <v>1.6120753612500001</v>
      </c>
      <c r="P171" s="95">
        <f t="shared" si="14"/>
        <v>1.4520557812485384</v>
      </c>
      <c r="Q171" s="95">
        <f t="shared" si="15"/>
        <v>3.0641311424985385</v>
      </c>
      <c r="R171" s="94" t="s">
        <v>543</v>
      </c>
    </row>
    <row r="172" spans="1:18" s="53" customFormat="1" x14ac:dyDescent="0.2">
      <c r="A172" s="94" t="s">
        <v>380</v>
      </c>
      <c r="B172" s="94" t="s">
        <v>158</v>
      </c>
      <c r="C172" s="94">
        <v>1601315</v>
      </c>
      <c r="D172" s="94" t="s">
        <v>485</v>
      </c>
      <c r="E172" s="94">
        <v>5</v>
      </c>
      <c r="F172" s="94">
        <v>5</v>
      </c>
      <c r="G172" s="94">
        <v>5</v>
      </c>
      <c r="H172" s="94"/>
      <c r="I172" s="95">
        <v>5250</v>
      </c>
      <c r="J172" s="95">
        <v>30863.929485018387</v>
      </c>
      <c r="K172" s="95">
        <v>18185.115417999998</v>
      </c>
      <c r="L172" s="95">
        <v>25454.889800000001</v>
      </c>
      <c r="M172" s="95">
        <v>80417.228169707363</v>
      </c>
      <c r="N172" s="95">
        <f t="shared" si="12"/>
        <v>1.5431964742509194</v>
      </c>
      <c r="O172" s="95">
        <f t="shared" si="13"/>
        <v>0.90925577089999987</v>
      </c>
      <c r="P172" s="95">
        <f t="shared" si="14"/>
        <v>1.27274449</v>
      </c>
      <c r="Q172" s="95">
        <f t="shared" si="15"/>
        <v>2.1820002608999998</v>
      </c>
      <c r="R172" s="94" t="s">
        <v>543</v>
      </c>
    </row>
    <row r="173" spans="1:18" s="53" customFormat="1" x14ac:dyDescent="0.2">
      <c r="A173" s="94" t="s">
        <v>380</v>
      </c>
      <c r="B173" s="94" t="s">
        <v>158</v>
      </c>
      <c r="C173" s="94">
        <v>1600891</v>
      </c>
      <c r="D173" s="94" t="s">
        <v>486</v>
      </c>
      <c r="E173" s="94">
        <v>3</v>
      </c>
      <c r="F173" s="94">
        <v>3</v>
      </c>
      <c r="G173" s="94">
        <v>3</v>
      </c>
      <c r="H173" s="94"/>
      <c r="I173" s="95"/>
      <c r="J173" s="95">
        <v>0</v>
      </c>
      <c r="K173" s="95">
        <v>102865.09420000002</v>
      </c>
      <c r="L173" s="95">
        <v>26175.903899999994</v>
      </c>
      <c r="M173" s="95">
        <v>153976.31045082287</v>
      </c>
      <c r="N173" s="95">
        <f t="shared" si="12"/>
        <v>0</v>
      </c>
      <c r="O173" s="95">
        <f t="shared" si="13"/>
        <v>3.0859528260000002</v>
      </c>
      <c r="P173" s="95">
        <f t="shared" si="14"/>
        <v>0.7852771169999998</v>
      </c>
      <c r="Q173" s="95">
        <f t="shared" si="15"/>
        <v>3.8712299429999999</v>
      </c>
      <c r="R173" s="94" t="s">
        <v>543</v>
      </c>
    </row>
    <row r="174" spans="1:18" s="53" customFormat="1" x14ac:dyDescent="0.2">
      <c r="A174" s="94" t="s">
        <v>380</v>
      </c>
      <c r="B174" s="94" t="s">
        <v>158</v>
      </c>
      <c r="C174" s="94">
        <v>1600892</v>
      </c>
      <c r="D174" s="94" t="s">
        <v>364</v>
      </c>
      <c r="E174" s="94">
        <v>12</v>
      </c>
      <c r="F174" s="94">
        <v>12</v>
      </c>
      <c r="G174" s="94">
        <v>12</v>
      </c>
      <c r="H174" s="94"/>
      <c r="I174" s="95"/>
      <c r="J174" s="95">
        <v>0</v>
      </c>
      <c r="K174" s="95">
        <v>84697.840002199999</v>
      </c>
      <c r="L174" s="95">
        <v>31353.311200000004</v>
      </c>
      <c r="M174" s="95">
        <v>140986.46355302286</v>
      </c>
      <c r="N174" s="95">
        <f t="shared" si="12"/>
        <v>0</v>
      </c>
      <c r="O174" s="95">
        <f t="shared" si="13"/>
        <v>10.163740800264</v>
      </c>
      <c r="P174" s="95">
        <f t="shared" si="14"/>
        <v>3.7623973440000009</v>
      </c>
      <c r="Q174" s="95">
        <f t="shared" si="15"/>
        <v>13.926138144264002</v>
      </c>
      <c r="R174" s="94" t="s">
        <v>543</v>
      </c>
    </row>
    <row r="175" spans="1:18" s="53" customFormat="1" x14ac:dyDescent="0.2">
      <c r="A175" s="94" t="s">
        <v>380</v>
      </c>
      <c r="B175" s="94" t="s">
        <v>158</v>
      </c>
      <c r="C175" s="94">
        <v>1600894</v>
      </c>
      <c r="D175" s="94" t="s">
        <v>394</v>
      </c>
      <c r="E175" s="94">
        <v>1.5</v>
      </c>
      <c r="F175" s="94">
        <v>1.5</v>
      </c>
      <c r="G175" s="94">
        <v>1.5</v>
      </c>
      <c r="H175" s="94"/>
      <c r="I175" s="95"/>
      <c r="J175" s="95">
        <v>0</v>
      </c>
      <c r="K175" s="95">
        <v>87202.891999999993</v>
      </c>
      <c r="L175" s="95">
        <v>25840.550599999999</v>
      </c>
      <c r="M175" s="95">
        <v>137978.75495082285</v>
      </c>
      <c r="N175" s="95">
        <f t="shared" si="12"/>
        <v>0</v>
      </c>
      <c r="O175" s="95">
        <f t="shared" si="13"/>
        <v>1.30804338</v>
      </c>
      <c r="P175" s="95">
        <f t="shared" si="14"/>
        <v>0.38760825899999996</v>
      </c>
      <c r="Q175" s="95">
        <f t="shared" si="15"/>
        <v>1.6956516389999998</v>
      </c>
      <c r="R175" s="94" t="s">
        <v>543</v>
      </c>
    </row>
    <row r="176" spans="1:18" s="53" customFormat="1" x14ac:dyDescent="0.2">
      <c r="A176" s="94" t="s">
        <v>380</v>
      </c>
      <c r="B176" s="94" t="s">
        <v>158</v>
      </c>
      <c r="C176" s="94">
        <v>1600896</v>
      </c>
      <c r="D176" s="94" t="s">
        <v>395</v>
      </c>
      <c r="E176" s="94">
        <v>4</v>
      </c>
      <c r="F176" s="94">
        <v>4</v>
      </c>
      <c r="G176" s="94">
        <v>4</v>
      </c>
      <c r="H176" s="94"/>
      <c r="I176" s="95"/>
      <c r="J176" s="95">
        <v>0</v>
      </c>
      <c r="K176" s="95">
        <v>87202.891999999993</v>
      </c>
      <c r="L176" s="95">
        <v>31098.911800000002</v>
      </c>
      <c r="M176" s="95">
        <v>143237.11615082284</v>
      </c>
      <c r="N176" s="95">
        <f t="shared" si="12"/>
        <v>0</v>
      </c>
      <c r="O176" s="95">
        <f t="shared" si="13"/>
        <v>3.4881156799999995</v>
      </c>
      <c r="P176" s="95">
        <f t="shared" si="14"/>
        <v>1.243956472</v>
      </c>
      <c r="Q176" s="95">
        <f t="shared" si="15"/>
        <v>4.7320721519999998</v>
      </c>
      <c r="R176" s="94" t="s">
        <v>543</v>
      </c>
    </row>
    <row r="177" spans="1:18" s="53" customFormat="1" x14ac:dyDescent="0.2">
      <c r="A177" s="94" t="s">
        <v>380</v>
      </c>
      <c r="B177" s="94" t="s">
        <v>158</v>
      </c>
      <c r="C177" s="94">
        <v>1600893</v>
      </c>
      <c r="D177" s="94" t="s">
        <v>487</v>
      </c>
      <c r="E177" s="94">
        <v>1.2</v>
      </c>
      <c r="F177" s="94">
        <v>1.2</v>
      </c>
      <c r="G177" s="94">
        <v>1.2</v>
      </c>
      <c r="H177" s="94"/>
      <c r="I177" s="95"/>
      <c r="J177" s="95">
        <v>0</v>
      </c>
      <c r="K177" s="95">
        <v>84816.485579999993</v>
      </c>
      <c r="L177" s="95">
        <v>25840.550599999999</v>
      </c>
      <c r="M177" s="95">
        <v>135592.34853082284</v>
      </c>
      <c r="N177" s="95">
        <f t="shared" si="12"/>
        <v>0</v>
      </c>
      <c r="O177" s="95">
        <f t="shared" si="13"/>
        <v>1.0177978269599999</v>
      </c>
      <c r="P177" s="95">
        <f t="shared" si="14"/>
        <v>0.31008660719999998</v>
      </c>
      <c r="Q177" s="95">
        <f t="shared" si="15"/>
        <v>1.3278844341599998</v>
      </c>
      <c r="R177" s="94" t="s">
        <v>543</v>
      </c>
    </row>
    <row r="178" spans="1:18" s="53" customFormat="1" x14ac:dyDescent="0.2">
      <c r="A178" s="94" t="s">
        <v>380</v>
      </c>
      <c r="B178" s="94" t="s">
        <v>158</v>
      </c>
      <c r="C178" s="94">
        <v>1600895</v>
      </c>
      <c r="D178" s="94" t="s">
        <v>404</v>
      </c>
      <c r="E178" s="94">
        <v>2</v>
      </c>
      <c r="F178" s="94">
        <v>2</v>
      </c>
      <c r="G178" s="94">
        <v>2</v>
      </c>
      <c r="H178" s="94"/>
      <c r="I178" s="95"/>
      <c r="J178" s="95">
        <v>0</v>
      </c>
      <c r="K178" s="95">
        <v>85945.477580000006</v>
      </c>
      <c r="L178" s="95">
        <v>31081.248100000001</v>
      </c>
      <c r="M178" s="95">
        <v>117114.31902823121</v>
      </c>
      <c r="N178" s="95">
        <f t="shared" si="12"/>
        <v>0</v>
      </c>
      <c r="O178" s="95">
        <f t="shared" si="13"/>
        <v>1.7189095516000001</v>
      </c>
      <c r="P178" s="95">
        <f t="shared" si="14"/>
        <v>0.62162496200000006</v>
      </c>
      <c r="Q178" s="95">
        <f t="shared" si="15"/>
        <v>2.3405345136000002</v>
      </c>
      <c r="R178" s="94" t="s">
        <v>543</v>
      </c>
    </row>
    <row r="179" spans="1:18" s="53" customFormat="1" x14ac:dyDescent="0.2">
      <c r="A179" s="94" t="s">
        <v>380</v>
      </c>
      <c r="B179" s="94" t="s">
        <v>158</v>
      </c>
      <c r="C179" s="94">
        <v>1601239</v>
      </c>
      <c r="D179" s="94" t="s">
        <v>488</v>
      </c>
      <c r="E179" s="94">
        <v>10</v>
      </c>
      <c r="F179" s="94"/>
      <c r="G179" s="94">
        <v>10</v>
      </c>
      <c r="H179" s="94"/>
      <c r="I179" s="95">
        <v>5250</v>
      </c>
      <c r="J179" s="95">
        <v>38671.329028689492</v>
      </c>
      <c r="K179" s="95">
        <v>16885.814999999999</v>
      </c>
      <c r="L179" s="95">
        <v>7777.6585999999998</v>
      </c>
      <c r="M179" s="95">
        <v>68124</v>
      </c>
      <c r="N179" s="95">
        <f t="shared" si="12"/>
        <v>0</v>
      </c>
      <c r="O179" s="95">
        <f t="shared" si="13"/>
        <v>0</v>
      </c>
      <c r="P179" s="95">
        <f t="shared" si="14"/>
        <v>0.77776585999999992</v>
      </c>
      <c r="Q179" s="95">
        <f t="shared" si="15"/>
        <v>0.77776585999999992</v>
      </c>
      <c r="R179" s="94" t="s">
        <v>543</v>
      </c>
    </row>
    <row r="180" spans="1:18" s="53" customFormat="1" x14ac:dyDescent="0.2">
      <c r="A180" s="94" t="s">
        <v>380</v>
      </c>
      <c r="B180" s="94" t="s">
        <v>158</v>
      </c>
      <c r="C180" s="94">
        <v>1601240</v>
      </c>
      <c r="D180" s="94" t="s">
        <v>489</v>
      </c>
      <c r="E180" s="94">
        <v>10</v>
      </c>
      <c r="F180" s="94"/>
      <c r="G180" s="94">
        <v>10</v>
      </c>
      <c r="H180" s="94"/>
      <c r="I180" s="95">
        <v>5250</v>
      </c>
      <c r="J180" s="95">
        <v>38573.202735059705</v>
      </c>
      <c r="K180" s="95">
        <v>18614.236000000001</v>
      </c>
      <c r="L180" s="95">
        <v>7791.0176000000001</v>
      </c>
      <c r="M180" s="95">
        <v>69757.556083010975</v>
      </c>
      <c r="N180" s="95">
        <f t="shared" si="12"/>
        <v>0</v>
      </c>
      <c r="O180" s="95">
        <f t="shared" si="13"/>
        <v>0</v>
      </c>
      <c r="P180" s="95">
        <f t="shared" si="14"/>
        <v>0.77910176000000009</v>
      </c>
      <c r="Q180" s="95">
        <f t="shared" si="15"/>
        <v>0.77910176000000009</v>
      </c>
      <c r="R180" s="94" t="s">
        <v>543</v>
      </c>
    </row>
    <row r="181" spans="1:18" s="53" customFormat="1" x14ac:dyDescent="0.2">
      <c r="A181" s="94" t="s">
        <v>380</v>
      </c>
      <c r="B181" s="94" t="s">
        <v>158</v>
      </c>
      <c r="C181" s="94">
        <v>1601241</v>
      </c>
      <c r="D181" s="94" t="s">
        <v>490</v>
      </c>
      <c r="E181" s="94">
        <v>10</v>
      </c>
      <c r="F181" s="94"/>
      <c r="G181" s="94">
        <v>10</v>
      </c>
      <c r="H181" s="94"/>
      <c r="I181" s="95">
        <v>5250</v>
      </c>
      <c r="J181" s="95">
        <v>38622.265881874599</v>
      </c>
      <c r="K181" s="95">
        <v>17083.826999999997</v>
      </c>
      <c r="L181" s="95">
        <v>7771.7455999999993</v>
      </c>
      <c r="M181" s="95">
        <v>68262</v>
      </c>
      <c r="N181" s="95">
        <f t="shared" si="12"/>
        <v>0</v>
      </c>
      <c r="O181" s="95">
        <f t="shared" si="13"/>
        <v>0</v>
      </c>
      <c r="P181" s="95">
        <f t="shared" si="14"/>
        <v>0.77717455999999996</v>
      </c>
      <c r="Q181" s="95">
        <f t="shared" si="15"/>
        <v>0.77717455999999996</v>
      </c>
      <c r="R181" s="94" t="s">
        <v>543</v>
      </c>
    </row>
    <row r="182" spans="1:18" s="53" customFormat="1" x14ac:dyDescent="0.2">
      <c r="A182" s="94" t="s">
        <v>380</v>
      </c>
      <c r="B182" s="94" t="s">
        <v>159</v>
      </c>
      <c r="C182" s="94">
        <v>1601207</v>
      </c>
      <c r="D182" s="94" t="s">
        <v>396</v>
      </c>
      <c r="E182" s="94">
        <v>78</v>
      </c>
      <c r="F182" s="94">
        <v>78</v>
      </c>
      <c r="G182" s="94"/>
      <c r="H182" s="94"/>
      <c r="I182" s="95"/>
      <c r="J182" s="95">
        <v>0</v>
      </c>
      <c r="K182" s="95">
        <v>19739.583599999998</v>
      </c>
      <c r="L182" s="95">
        <v>52206.436999999998</v>
      </c>
      <c r="M182" s="95">
        <v>89898.871319318423</v>
      </c>
      <c r="N182" s="95">
        <f t="shared" si="12"/>
        <v>0</v>
      </c>
      <c r="O182" s="95">
        <f t="shared" si="13"/>
        <v>15.396875207999999</v>
      </c>
      <c r="P182" s="95">
        <f t="shared" si="14"/>
        <v>0</v>
      </c>
      <c r="Q182" s="95">
        <f t="shared" si="15"/>
        <v>15.396875207999999</v>
      </c>
      <c r="R182" s="94" t="s">
        <v>543</v>
      </c>
    </row>
    <row r="183" spans="1:18" s="53" customFormat="1" x14ac:dyDescent="0.2">
      <c r="A183" s="94" t="s">
        <v>380</v>
      </c>
      <c r="B183" s="94" t="s">
        <v>159</v>
      </c>
      <c r="C183" s="94">
        <v>1601208</v>
      </c>
      <c r="D183" s="94" t="s">
        <v>491</v>
      </c>
      <c r="E183" s="94">
        <v>96</v>
      </c>
      <c r="F183" s="94">
        <v>96</v>
      </c>
      <c r="G183" s="94"/>
      <c r="H183" s="94"/>
      <c r="I183" s="95"/>
      <c r="J183" s="95">
        <v>0</v>
      </c>
      <c r="K183" s="95">
        <v>19739.583599999998</v>
      </c>
      <c r="L183" s="95">
        <v>31850.345000000001</v>
      </c>
      <c r="M183" s="95">
        <v>59583.290711292721</v>
      </c>
      <c r="N183" s="95">
        <f t="shared" si="12"/>
        <v>0</v>
      </c>
      <c r="O183" s="95">
        <f t="shared" si="13"/>
        <v>18.950000255999999</v>
      </c>
      <c r="P183" s="95">
        <f t="shared" si="14"/>
        <v>0</v>
      </c>
      <c r="Q183" s="95">
        <f t="shared" si="15"/>
        <v>18.950000255999999</v>
      </c>
      <c r="R183" s="94" t="s">
        <v>543</v>
      </c>
    </row>
    <row r="184" spans="1:18" s="53" customFormat="1" x14ac:dyDescent="0.2">
      <c r="A184" s="94" t="s">
        <v>380</v>
      </c>
      <c r="B184" s="94" t="s">
        <v>158</v>
      </c>
      <c r="C184" s="94">
        <v>1601137</v>
      </c>
      <c r="D184" s="94" t="s">
        <v>410</v>
      </c>
      <c r="E184" s="94">
        <v>1.92</v>
      </c>
      <c r="F184" s="94">
        <v>1.92</v>
      </c>
      <c r="G184" s="94">
        <v>1.92</v>
      </c>
      <c r="H184" s="94"/>
      <c r="I184" s="95"/>
      <c r="J184" s="95">
        <v>0</v>
      </c>
      <c r="K184" s="95">
        <v>34783.096455600004</v>
      </c>
      <c r="L184" s="95">
        <v>10816.672879999998</v>
      </c>
      <c r="M184" s="95">
        <v>63142</v>
      </c>
      <c r="N184" s="95">
        <f t="shared" si="12"/>
        <v>0</v>
      </c>
      <c r="O184" s="95">
        <f t="shared" si="13"/>
        <v>0.66783545194752003</v>
      </c>
      <c r="P184" s="95">
        <f t="shared" si="14"/>
        <v>0.20768011929599997</v>
      </c>
      <c r="Q184" s="95">
        <f t="shared" si="15"/>
        <v>0.87551557124351997</v>
      </c>
      <c r="R184" s="94" t="s">
        <v>543</v>
      </c>
    </row>
    <row r="185" spans="1:18" s="53" customFormat="1" x14ac:dyDescent="0.2">
      <c r="A185" s="94" t="s">
        <v>380</v>
      </c>
      <c r="B185" s="94" t="s">
        <v>158</v>
      </c>
      <c r="C185" s="94">
        <v>1600742</v>
      </c>
      <c r="D185" s="94" t="s">
        <v>313</v>
      </c>
      <c r="E185" s="94">
        <v>2.7</v>
      </c>
      <c r="F185" s="94">
        <v>2.7</v>
      </c>
      <c r="G185" s="94">
        <v>2.7</v>
      </c>
      <c r="H185" s="94"/>
      <c r="I185" s="95"/>
      <c r="J185" s="95">
        <v>0</v>
      </c>
      <c r="K185" s="95">
        <v>32376.742599999998</v>
      </c>
      <c r="L185" s="95">
        <v>54464.549100000004</v>
      </c>
      <c r="M185" s="95">
        <v>104901.96463840263</v>
      </c>
      <c r="N185" s="95">
        <f t="shared" si="12"/>
        <v>0</v>
      </c>
      <c r="O185" s="95">
        <f t="shared" si="13"/>
        <v>0.87417205019999999</v>
      </c>
      <c r="P185" s="95">
        <f t="shared" si="14"/>
        <v>1.4705428257000002</v>
      </c>
      <c r="Q185" s="95">
        <f t="shared" si="15"/>
        <v>2.3447148759000003</v>
      </c>
      <c r="R185" s="94" t="s">
        <v>543</v>
      </c>
    </row>
    <row r="186" spans="1:18" s="53" customFormat="1" x14ac:dyDescent="0.2">
      <c r="A186" s="94" t="s">
        <v>380</v>
      </c>
      <c r="B186" s="94" t="s">
        <v>158</v>
      </c>
      <c r="C186" s="94">
        <v>1600847</v>
      </c>
      <c r="D186" s="94" t="s">
        <v>199</v>
      </c>
      <c r="E186" s="94">
        <v>0.24</v>
      </c>
      <c r="F186" s="94"/>
      <c r="G186" s="94">
        <v>0.24</v>
      </c>
      <c r="H186" s="94"/>
      <c r="I186" s="95"/>
      <c r="J186" s="95">
        <v>0</v>
      </c>
      <c r="K186" s="95">
        <v>90224.746039999998</v>
      </c>
      <c r="L186" s="95">
        <v>157544.27800000002</v>
      </c>
      <c r="M186" s="95">
        <v>264729.82167131908</v>
      </c>
      <c r="N186" s="95">
        <f t="shared" si="12"/>
        <v>0</v>
      </c>
      <c r="O186" s="95">
        <f t="shared" si="13"/>
        <v>0</v>
      </c>
      <c r="P186" s="95">
        <f t="shared" si="14"/>
        <v>0.37810626720000001</v>
      </c>
      <c r="Q186" s="95">
        <f t="shared" si="15"/>
        <v>0.37810626720000001</v>
      </c>
      <c r="R186" s="94" t="s">
        <v>543</v>
      </c>
    </row>
    <row r="187" spans="1:18" s="53" customFormat="1" x14ac:dyDescent="0.2">
      <c r="A187" s="94" t="s">
        <v>379</v>
      </c>
      <c r="B187" s="94" t="s">
        <v>159</v>
      </c>
      <c r="C187" s="94">
        <v>1601303</v>
      </c>
      <c r="D187" s="94" t="s">
        <v>449</v>
      </c>
      <c r="E187" s="94">
        <v>36</v>
      </c>
      <c r="F187" s="94">
        <v>39</v>
      </c>
      <c r="G187" s="94">
        <v>36</v>
      </c>
      <c r="H187" s="94"/>
      <c r="I187" s="95">
        <v>5250</v>
      </c>
      <c r="J187" s="95">
        <v>52974.0794035078</v>
      </c>
      <c r="K187" s="95">
        <v>18406.298269999999</v>
      </c>
      <c r="L187" s="95">
        <v>17872.850900000001</v>
      </c>
      <c r="M187" s="95">
        <v>145811.57567956997</v>
      </c>
      <c r="N187" s="95">
        <f t="shared" si="12"/>
        <v>20.659890967368042</v>
      </c>
      <c r="O187" s="95">
        <f t="shared" si="13"/>
        <v>7.1784563252999991</v>
      </c>
      <c r="P187" s="95">
        <f t="shared" si="14"/>
        <v>6.4342263239999999</v>
      </c>
      <c r="Q187" s="95">
        <f t="shared" si="15"/>
        <v>13.612682649299998</v>
      </c>
      <c r="R187" s="94" t="s">
        <v>543</v>
      </c>
    </row>
    <row r="188" spans="1:18" s="53" customFormat="1" x14ac:dyDescent="0.2">
      <c r="A188" s="94" t="s">
        <v>379</v>
      </c>
      <c r="B188" s="94" t="s">
        <v>159</v>
      </c>
      <c r="C188" s="94">
        <v>1601312</v>
      </c>
      <c r="D188" s="94" t="s">
        <v>450</v>
      </c>
      <c r="E188" s="94">
        <v>63</v>
      </c>
      <c r="F188" s="94"/>
      <c r="G188" s="94">
        <v>63</v>
      </c>
      <c r="H188" s="94"/>
      <c r="I188" s="95">
        <v>5250</v>
      </c>
      <c r="J188" s="95">
        <v>52671.604082956779</v>
      </c>
      <c r="K188" s="95">
        <v>33869.885374999998</v>
      </c>
      <c r="L188" s="95">
        <v>16384.9391</v>
      </c>
      <c r="M188" s="95">
        <v>141284.10193173139</v>
      </c>
      <c r="N188" s="95">
        <f t="shared" si="12"/>
        <v>0</v>
      </c>
      <c r="O188" s="95">
        <f t="shared" si="13"/>
        <v>0</v>
      </c>
      <c r="P188" s="95">
        <f t="shared" si="14"/>
        <v>10.322511633</v>
      </c>
      <c r="Q188" s="95">
        <f t="shared" si="15"/>
        <v>10.322511633</v>
      </c>
      <c r="R188" s="94" t="s">
        <v>543</v>
      </c>
    </row>
    <row r="189" spans="1:18" s="53" customFormat="1" x14ac:dyDescent="0.2">
      <c r="A189" s="94" t="s">
        <v>379</v>
      </c>
      <c r="B189" s="94" t="s">
        <v>156</v>
      </c>
      <c r="C189" s="94">
        <v>1601118</v>
      </c>
      <c r="D189" s="94" t="s">
        <v>451</v>
      </c>
      <c r="E189" s="94">
        <v>4.1769999999999996</v>
      </c>
      <c r="F189" s="94"/>
      <c r="G189" s="94">
        <v>4.1769999999999996</v>
      </c>
      <c r="H189" s="94"/>
      <c r="I189" s="95">
        <v>5250</v>
      </c>
      <c r="J189" s="95">
        <v>45575.008071466567</v>
      </c>
      <c r="K189" s="95">
        <v>27130.814000000002</v>
      </c>
      <c r="L189" s="95">
        <v>25211.188099999999</v>
      </c>
      <c r="M189" s="95">
        <v>144224</v>
      </c>
      <c r="N189" s="95">
        <f t="shared" si="12"/>
        <v>0</v>
      </c>
      <c r="O189" s="95">
        <f t="shared" si="13"/>
        <v>0</v>
      </c>
      <c r="P189" s="95">
        <f t="shared" si="14"/>
        <v>1.0530713269369998</v>
      </c>
      <c r="Q189" s="95">
        <f t="shared" si="15"/>
        <v>1.0530713269369998</v>
      </c>
      <c r="R189" s="94" t="s">
        <v>543</v>
      </c>
    </row>
    <row r="190" spans="1:18" s="53" customFormat="1" x14ac:dyDescent="0.2">
      <c r="A190" s="94" t="s">
        <v>379</v>
      </c>
      <c r="B190" s="94" t="s">
        <v>156</v>
      </c>
      <c r="C190" s="94">
        <v>1600750</v>
      </c>
      <c r="D190" s="94" t="s">
        <v>162</v>
      </c>
      <c r="E190" s="94">
        <v>0.26299999999999996</v>
      </c>
      <c r="F190" s="94"/>
      <c r="G190" s="94">
        <v>0.26299999999999996</v>
      </c>
      <c r="H190" s="94"/>
      <c r="I190" s="95">
        <v>5250</v>
      </c>
      <c r="J190" s="95">
        <v>45575.008071466567</v>
      </c>
      <c r="K190" s="95">
        <v>27130.814000000002</v>
      </c>
      <c r="L190" s="95">
        <v>36356.500899999999</v>
      </c>
      <c r="M190" s="95">
        <v>121069.96913792202</v>
      </c>
      <c r="N190" s="95">
        <f t="shared" si="12"/>
        <v>0</v>
      </c>
      <c r="O190" s="95">
        <f t="shared" si="13"/>
        <v>0</v>
      </c>
      <c r="P190" s="95">
        <f t="shared" si="14"/>
        <v>9.5617597366999985E-2</v>
      </c>
      <c r="Q190" s="95">
        <f t="shared" si="15"/>
        <v>9.5617597366999985E-2</v>
      </c>
      <c r="R190" s="94" t="s">
        <v>543</v>
      </c>
    </row>
    <row r="191" spans="1:18" s="53" customFormat="1" x14ac:dyDescent="0.2">
      <c r="A191" s="94" t="s">
        <v>379</v>
      </c>
      <c r="B191" s="94" t="s">
        <v>156</v>
      </c>
      <c r="C191" s="94">
        <v>1600755</v>
      </c>
      <c r="D191" s="94" t="s">
        <v>452</v>
      </c>
      <c r="E191" s="94">
        <v>0.68799999999999994</v>
      </c>
      <c r="F191" s="94"/>
      <c r="G191" s="94">
        <v>0.68799999999999994</v>
      </c>
      <c r="H191" s="94"/>
      <c r="I191" s="95">
        <v>5250</v>
      </c>
      <c r="J191" s="95">
        <v>45575.008071466567</v>
      </c>
      <c r="K191" s="95">
        <v>27130.814000000002</v>
      </c>
      <c r="L191" s="95">
        <v>14574.1387</v>
      </c>
      <c r="M191" s="95">
        <v>112551.11902380512</v>
      </c>
      <c r="N191" s="95">
        <f t="shared" si="12"/>
        <v>0</v>
      </c>
      <c r="O191" s="95">
        <f t="shared" si="13"/>
        <v>0</v>
      </c>
      <c r="P191" s="95">
        <f t="shared" si="14"/>
        <v>0.10027007425599999</v>
      </c>
      <c r="Q191" s="95">
        <f t="shared" si="15"/>
        <v>0.10027007425599999</v>
      </c>
      <c r="R191" s="94" t="s">
        <v>543</v>
      </c>
    </row>
    <row r="192" spans="1:18" s="53" customFormat="1" x14ac:dyDescent="0.2">
      <c r="A192" s="94" t="s">
        <v>379</v>
      </c>
      <c r="B192" s="94" t="s">
        <v>156</v>
      </c>
      <c r="C192" s="94">
        <v>1600756</v>
      </c>
      <c r="D192" s="94" t="s">
        <v>388</v>
      </c>
      <c r="E192" s="94">
        <v>0.875</v>
      </c>
      <c r="F192" s="94"/>
      <c r="G192" s="94">
        <v>0.875</v>
      </c>
      <c r="H192" s="94"/>
      <c r="I192" s="95">
        <v>5250</v>
      </c>
      <c r="J192" s="95">
        <v>45575.008071466567</v>
      </c>
      <c r="K192" s="95">
        <v>27130.814000000002</v>
      </c>
      <c r="L192" s="95">
        <v>23844.879699999998</v>
      </c>
      <c r="M192" s="95">
        <v>108918.89362559767</v>
      </c>
      <c r="N192" s="95">
        <f t="shared" si="12"/>
        <v>0</v>
      </c>
      <c r="O192" s="95">
        <f t="shared" si="13"/>
        <v>0</v>
      </c>
      <c r="P192" s="95">
        <f t="shared" si="14"/>
        <v>0.20864269737499999</v>
      </c>
      <c r="Q192" s="95">
        <f t="shared" si="15"/>
        <v>0.20864269737499999</v>
      </c>
      <c r="R192" s="94" t="s">
        <v>543</v>
      </c>
    </row>
    <row r="193" spans="1:18" s="53" customFormat="1" x14ac:dyDescent="0.2">
      <c r="A193" s="94" t="s">
        <v>379</v>
      </c>
      <c r="B193" s="94" t="s">
        <v>156</v>
      </c>
      <c r="C193" s="94">
        <v>1600967</v>
      </c>
      <c r="D193" s="94" t="s">
        <v>453</v>
      </c>
      <c r="E193" s="94">
        <v>0.67500000000000004</v>
      </c>
      <c r="F193" s="94"/>
      <c r="G193" s="94">
        <v>0.67500000000000004</v>
      </c>
      <c r="H193" s="94"/>
      <c r="I193" s="95">
        <v>5250</v>
      </c>
      <c r="J193" s="95">
        <v>45575.008071466567</v>
      </c>
      <c r="K193" s="95">
        <v>27130.814000000002</v>
      </c>
      <c r="L193" s="95">
        <v>36356.500899999999</v>
      </c>
      <c r="M193" s="95">
        <v>121069.96913792202</v>
      </c>
      <c r="N193" s="95">
        <f t="shared" si="12"/>
        <v>0</v>
      </c>
      <c r="O193" s="95">
        <f t="shared" si="13"/>
        <v>0</v>
      </c>
      <c r="P193" s="95">
        <f t="shared" si="14"/>
        <v>0.24540638107500001</v>
      </c>
      <c r="Q193" s="95">
        <f t="shared" si="15"/>
        <v>0.24540638107500001</v>
      </c>
      <c r="R193" s="94" t="s">
        <v>543</v>
      </c>
    </row>
    <row r="194" spans="1:18" s="53" customFormat="1" x14ac:dyDescent="0.2">
      <c r="A194" s="94" t="s">
        <v>379</v>
      </c>
      <c r="B194" s="94" t="s">
        <v>160</v>
      </c>
      <c r="C194" s="94">
        <v>1600532</v>
      </c>
      <c r="D194" s="94" t="s">
        <v>454</v>
      </c>
      <c r="E194" s="94">
        <v>26.25</v>
      </c>
      <c r="F194" s="94">
        <v>26.25</v>
      </c>
      <c r="G194" s="94">
        <v>26.25</v>
      </c>
      <c r="H194" s="94"/>
      <c r="I194" s="95"/>
      <c r="J194" s="95"/>
      <c r="K194" s="95"/>
      <c r="L194" s="95"/>
      <c r="M194" s="95"/>
      <c r="N194" s="95">
        <f t="shared" si="12"/>
        <v>0</v>
      </c>
      <c r="O194" s="95">
        <f t="shared" si="13"/>
        <v>0</v>
      </c>
      <c r="P194" s="95">
        <f t="shared" si="14"/>
        <v>0</v>
      </c>
      <c r="Q194" s="95">
        <f t="shared" si="15"/>
        <v>0</v>
      </c>
      <c r="R194" s="94" t="s">
        <v>543</v>
      </c>
    </row>
    <row r="195" spans="1:18" s="53" customFormat="1" x14ac:dyDescent="0.2">
      <c r="A195" s="94" t="s">
        <v>379</v>
      </c>
      <c r="B195" s="94" t="s">
        <v>160</v>
      </c>
      <c r="C195" s="94">
        <v>1600531</v>
      </c>
      <c r="D195" s="94" t="s">
        <v>455</v>
      </c>
      <c r="E195" s="94">
        <v>5</v>
      </c>
      <c r="F195" s="94">
        <v>5</v>
      </c>
      <c r="G195" s="94">
        <v>5</v>
      </c>
      <c r="H195" s="94"/>
      <c r="I195" s="95"/>
      <c r="J195" s="95"/>
      <c r="K195" s="95"/>
      <c r="L195" s="95"/>
      <c r="M195" s="95"/>
      <c r="N195" s="95">
        <f t="shared" si="12"/>
        <v>0</v>
      </c>
      <c r="O195" s="95">
        <f t="shared" si="13"/>
        <v>0</v>
      </c>
      <c r="P195" s="95">
        <f t="shared" si="14"/>
        <v>0</v>
      </c>
      <c r="Q195" s="95">
        <f t="shared" si="15"/>
        <v>0</v>
      </c>
      <c r="R195" s="94" t="s">
        <v>543</v>
      </c>
    </row>
    <row r="196" spans="1:18" s="53" customFormat="1" x14ac:dyDescent="0.2">
      <c r="A196" s="94" t="s">
        <v>379</v>
      </c>
      <c r="B196" s="94" t="s">
        <v>160</v>
      </c>
      <c r="C196" s="94">
        <v>1600567</v>
      </c>
      <c r="D196" s="94" t="s">
        <v>456</v>
      </c>
      <c r="E196" s="94">
        <v>11.25</v>
      </c>
      <c r="F196" s="94">
        <v>11.25</v>
      </c>
      <c r="G196" s="94">
        <v>11.25</v>
      </c>
      <c r="H196" s="94"/>
      <c r="I196" s="95"/>
      <c r="J196" s="95"/>
      <c r="K196" s="95"/>
      <c r="L196" s="95"/>
      <c r="M196" s="95"/>
      <c r="N196" s="95">
        <f t="shared" si="12"/>
        <v>0</v>
      </c>
      <c r="O196" s="95">
        <f t="shared" si="13"/>
        <v>0</v>
      </c>
      <c r="P196" s="95">
        <f t="shared" si="14"/>
        <v>0</v>
      </c>
      <c r="Q196" s="95">
        <f t="shared" si="15"/>
        <v>0</v>
      </c>
      <c r="R196" s="94" t="s">
        <v>543</v>
      </c>
    </row>
    <row r="197" spans="1:18" s="53" customFormat="1" x14ac:dyDescent="0.2">
      <c r="A197" s="94" t="s">
        <v>379</v>
      </c>
      <c r="B197" s="94" t="s">
        <v>160</v>
      </c>
      <c r="C197" s="94">
        <v>1600600</v>
      </c>
      <c r="D197" s="94" t="s">
        <v>457</v>
      </c>
      <c r="E197" s="94">
        <v>5</v>
      </c>
      <c r="F197" s="94">
        <v>5</v>
      </c>
      <c r="G197" s="94">
        <v>5</v>
      </c>
      <c r="H197" s="94"/>
      <c r="I197" s="95"/>
      <c r="J197" s="95"/>
      <c r="K197" s="95"/>
      <c r="L197" s="95"/>
      <c r="M197" s="95"/>
      <c r="N197" s="95">
        <f t="shared" si="12"/>
        <v>0</v>
      </c>
      <c r="O197" s="95">
        <f t="shared" si="13"/>
        <v>0</v>
      </c>
      <c r="P197" s="95">
        <f t="shared" si="14"/>
        <v>0</v>
      </c>
      <c r="Q197" s="95">
        <f t="shared" si="15"/>
        <v>0</v>
      </c>
      <c r="R197" s="94" t="s">
        <v>543</v>
      </c>
    </row>
    <row r="198" spans="1:18" s="53" customFormat="1" x14ac:dyDescent="0.2">
      <c r="A198" s="94" t="s">
        <v>379</v>
      </c>
      <c r="B198" s="94" t="s">
        <v>160</v>
      </c>
      <c r="C198" s="94">
        <v>1600568</v>
      </c>
      <c r="D198" s="94" t="s">
        <v>127</v>
      </c>
      <c r="E198" s="94">
        <v>11.25</v>
      </c>
      <c r="F198" s="94">
        <v>11.25</v>
      </c>
      <c r="G198" s="94">
        <v>11.25</v>
      </c>
      <c r="H198" s="94"/>
      <c r="I198" s="95"/>
      <c r="J198" s="95"/>
      <c r="K198" s="95"/>
      <c r="L198" s="95"/>
      <c r="M198" s="95"/>
      <c r="N198" s="95">
        <f t="shared" si="12"/>
        <v>0</v>
      </c>
      <c r="O198" s="95">
        <f t="shared" si="13"/>
        <v>0</v>
      </c>
      <c r="P198" s="95">
        <f t="shared" si="14"/>
        <v>0</v>
      </c>
      <c r="Q198" s="95">
        <f t="shared" si="15"/>
        <v>0</v>
      </c>
      <c r="R198" s="94" t="s">
        <v>543</v>
      </c>
    </row>
    <row r="199" spans="1:18" s="53" customFormat="1" x14ac:dyDescent="0.2">
      <c r="A199" s="94" t="s">
        <v>379</v>
      </c>
      <c r="B199" s="94" t="s">
        <v>160</v>
      </c>
      <c r="C199" s="94">
        <v>1600601</v>
      </c>
      <c r="D199" s="94" t="s">
        <v>128</v>
      </c>
      <c r="E199" s="94">
        <v>5</v>
      </c>
      <c r="F199" s="94">
        <v>5</v>
      </c>
      <c r="G199" s="94">
        <v>5</v>
      </c>
      <c r="H199" s="94"/>
      <c r="I199" s="95"/>
      <c r="J199" s="95"/>
      <c r="K199" s="95"/>
      <c r="L199" s="95"/>
      <c r="M199" s="95"/>
      <c r="N199" s="95">
        <f t="shared" si="12"/>
        <v>0</v>
      </c>
      <c r="O199" s="95">
        <f t="shared" si="13"/>
        <v>0</v>
      </c>
      <c r="P199" s="95">
        <f t="shared" si="14"/>
        <v>0</v>
      </c>
      <c r="Q199" s="95">
        <f t="shared" si="15"/>
        <v>0</v>
      </c>
      <c r="R199" s="94" t="s">
        <v>543</v>
      </c>
    </row>
    <row r="200" spans="1:18" s="53" customFormat="1" x14ac:dyDescent="0.2">
      <c r="A200" s="94" t="s">
        <v>379</v>
      </c>
      <c r="B200" s="94" t="s">
        <v>160</v>
      </c>
      <c r="C200" s="94">
        <v>1600628</v>
      </c>
      <c r="D200" s="94" t="s">
        <v>458</v>
      </c>
      <c r="E200" s="94">
        <v>11.25</v>
      </c>
      <c r="F200" s="94">
        <v>11.25</v>
      </c>
      <c r="G200" s="94">
        <v>11.25</v>
      </c>
      <c r="H200" s="94"/>
      <c r="I200" s="95"/>
      <c r="J200" s="95"/>
      <c r="K200" s="95"/>
      <c r="L200" s="95"/>
      <c r="M200" s="95"/>
      <c r="N200" s="95">
        <f t="shared" si="12"/>
        <v>0</v>
      </c>
      <c r="O200" s="95">
        <f t="shared" si="13"/>
        <v>0</v>
      </c>
      <c r="P200" s="95">
        <f t="shared" si="14"/>
        <v>0</v>
      </c>
      <c r="Q200" s="95">
        <f t="shared" si="15"/>
        <v>0</v>
      </c>
      <c r="R200" s="94" t="s">
        <v>543</v>
      </c>
    </row>
    <row r="201" spans="1:18" s="53" customFormat="1" x14ac:dyDescent="0.2">
      <c r="A201" s="94" t="s">
        <v>379</v>
      </c>
      <c r="B201" s="94" t="s">
        <v>160</v>
      </c>
      <c r="C201" s="94">
        <v>1600581</v>
      </c>
      <c r="D201" s="94" t="s">
        <v>459</v>
      </c>
      <c r="E201" s="94">
        <v>5</v>
      </c>
      <c r="F201" s="94">
        <v>5</v>
      </c>
      <c r="G201" s="94">
        <v>5</v>
      </c>
      <c r="H201" s="94"/>
      <c r="I201" s="95"/>
      <c r="J201" s="95"/>
      <c r="K201" s="95"/>
      <c r="L201" s="95"/>
      <c r="M201" s="95"/>
      <c r="N201" s="95">
        <f t="shared" si="12"/>
        <v>0</v>
      </c>
      <c r="O201" s="95">
        <f t="shared" si="13"/>
        <v>0</v>
      </c>
      <c r="P201" s="95">
        <f t="shared" si="14"/>
        <v>0</v>
      </c>
      <c r="Q201" s="95">
        <f t="shared" si="15"/>
        <v>0</v>
      </c>
      <c r="R201" s="94" t="s">
        <v>543</v>
      </c>
    </row>
    <row r="202" spans="1:18" s="53" customFormat="1" x14ac:dyDescent="0.2">
      <c r="A202" s="94" t="s">
        <v>379</v>
      </c>
      <c r="B202" s="94" t="s">
        <v>160</v>
      </c>
      <c r="C202" s="94">
        <v>1600585</v>
      </c>
      <c r="D202" s="94" t="s">
        <v>460</v>
      </c>
      <c r="E202" s="94">
        <v>7.5</v>
      </c>
      <c r="F202" s="94">
        <v>7.5</v>
      </c>
      <c r="G202" s="94">
        <v>7.5</v>
      </c>
      <c r="H202" s="94"/>
      <c r="I202" s="95"/>
      <c r="J202" s="95"/>
      <c r="K202" s="95"/>
      <c r="L202" s="95"/>
      <c r="M202" s="95"/>
      <c r="N202" s="95">
        <f t="shared" si="12"/>
        <v>0</v>
      </c>
      <c r="O202" s="95">
        <f t="shared" si="13"/>
        <v>0</v>
      </c>
      <c r="P202" s="95">
        <f t="shared" si="14"/>
        <v>0</v>
      </c>
      <c r="Q202" s="95">
        <f t="shared" si="15"/>
        <v>0</v>
      </c>
      <c r="R202" s="94" t="s">
        <v>543</v>
      </c>
    </row>
    <row r="203" spans="1:18" s="53" customFormat="1" x14ac:dyDescent="0.2">
      <c r="A203" s="94" t="s">
        <v>379</v>
      </c>
      <c r="B203" s="94" t="s">
        <v>160</v>
      </c>
      <c r="C203" s="94">
        <v>1600590</v>
      </c>
      <c r="D203" s="94" t="s">
        <v>461</v>
      </c>
      <c r="E203" s="94">
        <v>2.5</v>
      </c>
      <c r="F203" s="94">
        <v>2.5</v>
      </c>
      <c r="G203" s="94">
        <v>2.5</v>
      </c>
      <c r="H203" s="94"/>
      <c r="I203" s="95"/>
      <c r="J203" s="95"/>
      <c r="K203" s="95"/>
      <c r="L203" s="95"/>
      <c r="M203" s="95"/>
      <c r="N203" s="95">
        <f t="shared" si="12"/>
        <v>0</v>
      </c>
      <c r="O203" s="95">
        <f t="shared" si="13"/>
        <v>0</v>
      </c>
      <c r="P203" s="95">
        <f t="shared" si="14"/>
        <v>0</v>
      </c>
      <c r="Q203" s="95">
        <f t="shared" si="15"/>
        <v>0</v>
      </c>
      <c r="R203" s="94" t="s">
        <v>543</v>
      </c>
    </row>
    <row r="204" spans="1:18" s="53" customFormat="1" x14ac:dyDescent="0.2">
      <c r="A204" s="94" t="s">
        <v>379</v>
      </c>
      <c r="B204" s="94" t="s">
        <v>160</v>
      </c>
      <c r="C204" s="94">
        <v>1600624</v>
      </c>
      <c r="D204" s="94" t="s">
        <v>462</v>
      </c>
      <c r="E204" s="94">
        <v>7.5</v>
      </c>
      <c r="F204" s="94">
        <v>7.5</v>
      </c>
      <c r="G204" s="94">
        <v>7.5</v>
      </c>
      <c r="H204" s="94"/>
      <c r="I204" s="95"/>
      <c r="J204" s="95"/>
      <c r="K204" s="95"/>
      <c r="L204" s="95"/>
      <c r="M204" s="95"/>
      <c r="N204" s="95">
        <f t="shared" si="12"/>
        <v>0</v>
      </c>
      <c r="O204" s="95">
        <f t="shared" si="13"/>
        <v>0</v>
      </c>
      <c r="P204" s="95">
        <f t="shared" si="14"/>
        <v>0</v>
      </c>
      <c r="Q204" s="95">
        <f t="shared" si="15"/>
        <v>0</v>
      </c>
      <c r="R204" s="94" t="s">
        <v>543</v>
      </c>
    </row>
    <row r="205" spans="1:18" s="53" customFormat="1" x14ac:dyDescent="0.2">
      <c r="A205" s="94" t="s">
        <v>379</v>
      </c>
      <c r="B205" s="94" t="s">
        <v>160</v>
      </c>
      <c r="C205" s="94">
        <v>1600626</v>
      </c>
      <c r="D205" s="94" t="s">
        <v>463</v>
      </c>
      <c r="E205" s="94">
        <v>2.5</v>
      </c>
      <c r="F205" s="94">
        <v>2.5</v>
      </c>
      <c r="G205" s="94">
        <v>2.5</v>
      </c>
      <c r="H205" s="94"/>
      <c r="I205" s="95"/>
      <c r="J205" s="95"/>
      <c r="K205" s="95"/>
      <c r="L205" s="95"/>
      <c r="M205" s="95"/>
      <c r="N205" s="95">
        <f t="shared" si="12"/>
        <v>0</v>
      </c>
      <c r="O205" s="95">
        <f t="shared" si="13"/>
        <v>0</v>
      </c>
      <c r="P205" s="95">
        <f t="shared" si="14"/>
        <v>0</v>
      </c>
      <c r="Q205" s="95">
        <f t="shared" si="15"/>
        <v>0</v>
      </c>
      <c r="R205" s="94" t="s">
        <v>543</v>
      </c>
    </row>
    <row r="206" spans="1:18" s="53" customFormat="1" x14ac:dyDescent="0.2">
      <c r="A206" s="94" t="s">
        <v>379</v>
      </c>
      <c r="B206" s="94" t="s">
        <v>160</v>
      </c>
      <c r="C206" s="94">
        <v>1600625</v>
      </c>
      <c r="D206" s="94" t="s">
        <v>464</v>
      </c>
      <c r="E206" s="94">
        <v>7.5</v>
      </c>
      <c r="F206" s="94">
        <v>7.5</v>
      </c>
      <c r="G206" s="94">
        <v>7.5</v>
      </c>
      <c r="H206" s="94"/>
      <c r="I206" s="95"/>
      <c r="J206" s="95"/>
      <c r="K206" s="95"/>
      <c r="L206" s="95"/>
      <c r="M206" s="95"/>
      <c r="N206" s="95">
        <f t="shared" si="12"/>
        <v>0</v>
      </c>
      <c r="O206" s="95">
        <f t="shared" si="13"/>
        <v>0</v>
      </c>
      <c r="P206" s="95">
        <f t="shared" si="14"/>
        <v>0</v>
      </c>
      <c r="Q206" s="95">
        <f t="shared" si="15"/>
        <v>0</v>
      </c>
      <c r="R206" s="94" t="s">
        <v>543</v>
      </c>
    </row>
    <row r="207" spans="1:18" s="53" customFormat="1" x14ac:dyDescent="0.2">
      <c r="A207" s="94" t="s">
        <v>379</v>
      </c>
      <c r="B207" s="94" t="s">
        <v>160</v>
      </c>
      <c r="C207" s="94">
        <v>1600627</v>
      </c>
      <c r="D207" s="94" t="s">
        <v>465</v>
      </c>
      <c r="E207" s="94">
        <v>2.5</v>
      </c>
      <c r="F207" s="94">
        <v>2.5</v>
      </c>
      <c r="G207" s="94">
        <v>2.5</v>
      </c>
      <c r="H207" s="94"/>
      <c r="I207" s="95"/>
      <c r="J207" s="95"/>
      <c r="K207" s="95"/>
      <c r="L207" s="95"/>
      <c r="M207" s="95"/>
      <c r="N207" s="95">
        <f t="shared" si="12"/>
        <v>0</v>
      </c>
      <c r="O207" s="95">
        <f t="shared" si="13"/>
        <v>0</v>
      </c>
      <c r="P207" s="95">
        <f t="shared" si="14"/>
        <v>0</v>
      </c>
      <c r="Q207" s="95">
        <f t="shared" si="15"/>
        <v>0</v>
      </c>
      <c r="R207" s="94" t="s">
        <v>543</v>
      </c>
    </row>
    <row r="208" spans="1:18" s="53" customFormat="1" x14ac:dyDescent="0.2">
      <c r="A208" s="94" t="s">
        <v>379</v>
      </c>
      <c r="B208" s="94" t="s">
        <v>206</v>
      </c>
      <c r="C208" s="94">
        <v>1601257</v>
      </c>
      <c r="D208" s="94" t="s">
        <v>466</v>
      </c>
      <c r="E208" s="94">
        <v>27</v>
      </c>
      <c r="F208" s="94">
        <v>27</v>
      </c>
      <c r="G208" s="94">
        <v>27</v>
      </c>
      <c r="H208" s="94"/>
      <c r="I208" s="95">
        <v>5250</v>
      </c>
      <c r="J208" s="95">
        <v>34418.059127904606</v>
      </c>
      <c r="K208" s="95">
        <v>34720.345000000001</v>
      </c>
      <c r="L208" s="95">
        <v>18495.236299999997</v>
      </c>
      <c r="M208" s="95">
        <v>98913.666629392799</v>
      </c>
      <c r="N208" s="95">
        <f t="shared" si="12"/>
        <v>9.2928759645342431</v>
      </c>
      <c r="O208" s="95">
        <f t="shared" si="13"/>
        <v>9.3744931500000011</v>
      </c>
      <c r="P208" s="95">
        <f t="shared" si="14"/>
        <v>4.9937138009999993</v>
      </c>
      <c r="Q208" s="95">
        <f t="shared" si="15"/>
        <v>14.368206951000001</v>
      </c>
      <c r="R208" s="94" t="s">
        <v>543</v>
      </c>
    </row>
    <row r="209" spans="1:18" s="53" customFormat="1" x14ac:dyDescent="0.2">
      <c r="A209" s="94" t="s">
        <v>379</v>
      </c>
      <c r="B209" s="94" t="s">
        <v>158</v>
      </c>
      <c r="C209" s="94">
        <v>1600488</v>
      </c>
      <c r="D209" s="94" t="s">
        <v>167</v>
      </c>
      <c r="E209" s="94">
        <v>6</v>
      </c>
      <c r="F209" s="94"/>
      <c r="G209" s="94">
        <v>6</v>
      </c>
      <c r="H209" s="94"/>
      <c r="I209" s="95">
        <v>5250</v>
      </c>
      <c r="J209" s="95">
        <v>31785.942383117996</v>
      </c>
      <c r="K209" s="95">
        <v>12435.8541</v>
      </c>
      <c r="L209" s="95">
        <v>8997.4567999999999</v>
      </c>
      <c r="M209" s="95">
        <v>58350.587293941011</v>
      </c>
      <c r="N209" s="95">
        <f t="shared" si="12"/>
        <v>0</v>
      </c>
      <c r="O209" s="95">
        <f t="shared" si="13"/>
        <v>0</v>
      </c>
      <c r="P209" s="95">
        <f t="shared" si="14"/>
        <v>0.53984740799999997</v>
      </c>
      <c r="Q209" s="95">
        <f t="shared" si="15"/>
        <v>0.53984740799999997</v>
      </c>
      <c r="R209" s="94" t="s">
        <v>543</v>
      </c>
    </row>
    <row r="210" spans="1:18" s="53" customFormat="1" ht="25.5" x14ac:dyDescent="0.2">
      <c r="A210" s="94" t="s">
        <v>379</v>
      </c>
      <c r="B210" s="94" t="s">
        <v>158</v>
      </c>
      <c r="C210" s="94">
        <v>1601290</v>
      </c>
      <c r="D210" s="94" t="s">
        <v>467</v>
      </c>
      <c r="E210" s="94">
        <v>20</v>
      </c>
      <c r="F210" s="94"/>
      <c r="G210" s="94">
        <v>20</v>
      </c>
      <c r="H210" s="94"/>
      <c r="I210" s="95">
        <v>5250</v>
      </c>
      <c r="J210" s="95">
        <v>39293.793172329992</v>
      </c>
      <c r="K210" s="95">
        <v>13862.49231</v>
      </c>
      <c r="L210" s="95">
        <v>13341.492</v>
      </c>
      <c r="M210" s="95">
        <v>71354.064569614886</v>
      </c>
      <c r="N210" s="95">
        <f t="shared" ref="N210:N273" si="16">$F210*J210/100000</f>
        <v>0</v>
      </c>
      <c r="O210" s="95">
        <f t="shared" ref="O210:O273" si="17">F210*K210/100000</f>
        <v>0</v>
      </c>
      <c r="P210" s="95">
        <f t="shared" ref="P210:P273" si="18">L210*G210/100000</f>
        <v>2.6682984000000003</v>
      </c>
      <c r="Q210" s="95">
        <f t="shared" ref="Q210:Q273" si="19">O210+P210</f>
        <v>2.6682984000000003</v>
      </c>
      <c r="R210" s="94" t="s">
        <v>543</v>
      </c>
    </row>
    <row r="211" spans="1:18" s="53" customFormat="1" x14ac:dyDescent="0.2">
      <c r="A211" s="94" t="s">
        <v>379</v>
      </c>
      <c r="B211" s="94" t="s">
        <v>158</v>
      </c>
      <c r="C211" s="94">
        <v>1600826</v>
      </c>
      <c r="D211" s="94" t="s">
        <v>130</v>
      </c>
      <c r="E211" s="94">
        <v>10</v>
      </c>
      <c r="F211" s="94">
        <v>10</v>
      </c>
      <c r="G211" s="94">
        <v>10</v>
      </c>
      <c r="H211" s="94"/>
      <c r="I211" s="95">
        <v>5250</v>
      </c>
      <c r="J211" s="95">
        <v>46556.493091635806</v>
      </c>
      <c r="K211" s="95">
        <v>15965.345000000001</v>
      </c>
      <c r="L211" s="95">
        <v>23145.275900000001</v>
      </c>
      <c r="M211" s="95">
        <v>90679.37883495295</v>
      </c>
      <c r="N211" s="95">
        <f t="shared" si="16"/>
        <v>4.6556493091635804</v>
      </c>
      <c r="O211" s="95">
        <f t="shared" si="17"/>
        <v>1.5965345000000002</v>
      </c>
      <c r="P211" s="95">
        <f t="shared" si="18"/>
        <v>2.3145275900000004</v>
      </c>
      <c r="Q211" s="95">
        <f t="shared" si="19"/>
        <v>3.9110620900000006</v>
      </c>
      <c r="R211" s="94" t="s">
        <v>543</v>
      </c>
    </row>
    <row r="212" spans="1:18" s="53" customFormat="1" x14ac:dyDescent="0.2">
      <c r="A212" s="94" t="s">
        <v>379</v>
      </c>
      <c r="B212" s="94" t="s">
        <v>158</v>
      </c>
      <c r="C212" s="94">
        <v>1600511</v>
      </c>
      <c r="D212" s="94" t="s">
        <v>468</v>
      </c>
      <c r="E212" s="94">
        <v>0.5464</v>
      </c>
      <c r="F212" s="94">
        <v>0.5464</v>
      </c>
      <c r="G212" s="94">
        <v>0.5464</v>
      </c>
      <c r="H212" s="94"/>
      <c r="I212" s="95">
        <v>5250</v>
      </c>
      <c r="J212" s="95">
        <v>46096.468410020265</v>
      </c>
      <c r="K212" s="95">
        <v>16146.330405000001</v>
      </c>
      <c r="L212" s="95">
        <v>22608.595700000002</v>
      </c>
      <c r="M212" s="95">
        <v>89904.05074128673</v>
      </c>
      <c r="N212" s="95">
        <f t="shared" si="16"/>
        <v>0.25187110339235075</v>
      </c>
      <c r="O212" s="95">
        <f t="shared" si="17"/>
        <v>8.8223549332920009E-2</v>
      </c>
      <c r="P212" s="95">
        <f t="shared" si="18"/>
        <v>0.1235333669048</v>
      </c>
      <c r="Q212" s="95">
        <f t="shared" si="19"/>
        <v>0.21175691623772003</v>
      </c>
      <c r="R212" s="94" t="s">
        <v>543</v>
      </c>
    </row>
    <row r="213" spans="1:18" s="53" customFormat="1" x14ac:dyDescent="0.2">
      <c r="A213" s="94" t="s">
        <v>379</v>
      </c>
      <c r="B213" s="94" t="s">
        <v>158</v>
      </c>
      <c r="C213" s="94">
        <v>1600509</v>
      </c>
      <c r="D213" s="94" t="s">
        <v>469</v>
      </c>
      <c r="E213" s="94">
        <v>0.5464</v>
      </c>
      <c r="F213" s="94">
        <v>0.5464</v>
      </c>
      <c r="G213" s="94">
        <v>0.5464</v>
      </c>
      <c r="H213" s="94"/>
      <c r="I213" s="95">
        <v>5250</v>
      </c>
      <c r="J213" s="95">
        <v>46096.468410020265</v>
      </c>
      <c r="K213" s="95">
        <v>16146.330405000001</v>
      </c>
      <c r="L213" s="95">
        <v>22608.595700000002</v>
      </c>
      <c r="M213" s="95">
        <v>89904.05074128673</v>
      </c>
      <c r="N213" s="95">
        <f t="shared" si="16"/>
        <v>0.25187110339235075</v>
      </c>
      <c r="O213" s="95">
        <f t="shared" si="17"/>
        <v>8.8223549332920009E-2</v>
      </c>
      <c r="P213" s="95">
        <f t="shared" si="18"/>
        <v>0.1235333669048</v>
      </c>
      <c r="Q213" s="95">
        <f t="shared" si="19"/>
        <v>0.21175691623772003</v>
      </c>
      <c r="R213" s="94" t="s">
        <v>543</v>
      </c>
    </row>
    <row r="214" spans="1:18" s="53" customFormat="1" x14ac:dyDescent="0.2">
      <c r="A214" s="94" t="s">
        <v>379</v>
      </c>
      <c r="B214" s="94" t="s">
        <v>158</v>
      </c>
      <c r="C214" s="94">
        <v>1600508</v>
      </c>
      <c r="D214" s="94" t="s">
        <v>470</v>
      </c>
      <c r="E214" s="94">
        <v>0.5464</v>
      </c>
      <c r="F214" s="94">
        <v>0.5464</v>
      </c>
      <c r="G214" s="94">
        <v>0.5464</v>
      </c>
      <c r="H214" s="94"/>
      <c r="I214" s="95">
        <v>5250</v>
      </c>
      <c r="J214" s="95">
        <v>46096.468410020265</v>
      </c>
      <c r="K214" s="95">
        <v>16146.330405000001</v>
      </c>
      <c r="L214" s="95">
        <v>22608.595700000002</v>
      </c>
      <c r="M214" s="95">
        <v>89904.05074128673</v>
      </c>
      <c r="N214" s="95">
        <f t="shared" si="16"/>
        <v>0.25187110339235075</v>
      </c>
      <c r="O214" s="95">
        <f t="shared" si="17"/>
        <v>8.8223549332920009E-2</v>
      </c>
      <c r="P214" s="95">
        <f t="shared" si="18"/>
        <v>0.1235333669048</v>
      </c>
      <c r="Q214" s="95">
        <f t="shared" si="19"/>
        <v>0.21175691623772003</v>
      </c>
      <c r="R214" s="94" t="s">
        <v>543</v>
      </c>
    </row>
    <row r="215" spans="1:18" s="53" customFormat="1" x14ac:dyDescent="0.2">
      <c r="A215" s="94" t="s">
        <v>379</v>
      </c>
      <c r="B215" s="94" t="s">
        <v>158</v>
      </c>
      <c r="C215" s="94">
        <v>1600106</v>
      </c>
      <c r="D215" s="94" t="s">
        <v>119</v>
      </c>
      <c r="E215" s="94">
        <v>2</v>
      </c>
      <c r="F215" s="94">
        <v>2</v>
      </c>
      <c r="G215" s="94">
        <v>2</v>
      </c>
      <c r="H215" s="94"/>
      <c r="I215" s="95">
        <v>5250</v>
      </c>
      <c r="J215" s="95">
        <v>32773.938781539713</v>
      </c>
      <c r="K215" s="95">
        <v>18853.907999999999</v>
      </c>
      <c r="L215" s="95">
        <v>8294.1052</v>
      </c>
      <c r="M215" s="95">
        <v>64079.853151889314</v>
      </c>
      <c r="N215" s="95">
        <f t="shared" si="16"/>
        <v>0.65547877563079426</v>
      </c>
      <c r="O215" s="95">
        <f t="shared" si="17"/>
        <v>0.37707816</v>
      </c>
      <c r="P215" s="95">
        <f t="shared" si="18"/>
        <v>0.165882104</v>
      </c>
      <c r="Q215" s="95">
        <f t="shared" si="19"/>
        <v>0.54296026399999997</v>
      </c>
      <c r="R215" s="94" t="s">
        <v>543</v>
      </c>
    </row>
    <row r="216" spans="1:18" s="53" customFormat="1" x14ac:dyDescent="0.2">
      <c r="A216" s="94" t="s">
        <v>379</v>
      </c>
      <c r="B216" s="94" t="s">
        <v>158</v>
      </c>
      <c r="C216" s="94">
        <v>1600578</v>
      </c>
      <c r="D216" s="94" t="s">
        <v>153</v>
      </c>
      <c r="E216" s="94">
        <v>15</v>
      </c>
      <c r="F216" s="94">
        <v>15</v>
      </c>
      <c r="G216" s="94">
        <v>15</v>
      </c>
      <c r="H216" s="94"/>
      <c r="I216" s="95">
        <v>5250</v>
      </c>
      <c r="J216" s="95">
        <v>26362.118623871324</v>
      </c>
      <c r="K216" s="95">
        <v>19308.309000000001</v>
      </c>
      <c r="L216" s="95">
        <v>5985.5981999999995</v>
      </c>
      <c r="M216" s="95">
        <v>56123.48178693324</v>
      </c>
      <c r="N216" s="95">
        <f t="shared" si="16"/>
        <v>3.9543177935806986</v>
      </c>
      <c r="O216" s="95">
        <f t="shared" si="17"/>
        <v>2.8962463500000002</v>
      </c>
      <c r="P216" s="95">
        <f t="shared" si="18"/>
        <v>0.89783972999999995</v>
      </c>
      <c r="Q216" s="95">
        <f t="shared" si="19"/>
        <v>3.79408608</v>
      </c>
      <c r="R216" s="94" t="s">
        <v>543</v>
      </c>
    </row>
    <row r="217" spans="1:18" s="53" customFormat="1" x14ac:dyDescent="0.2">
      <c r="A217" s="94" t="s">
        <v>379</v>
      </c>
      <c r="B217" s="94" t="s">
        <v>158</v>
      </c>
      <c r="C217" s="94">
        <v>1601103</v>
      </c>
      <c r="D217" s="94" t="s">
        <v>281</v>
      </c>
      <c r="E217" s="94">
        <v>5</v>
      </c>
      <c r="F217" s="94">
        <v>5</v>
      </c>
      <c r="G217" s="94">
        <v>5</v>
      </c>
      <c r="H217" s="94"/>
      <c r="I217" s="95">
        <v>5250</v>
      </c>
      <c r="J217" s="95">
        <v>26362.118623871324</v>
      </c>
      <c r="K217" s="95">
        <v>19308.309000000001</v>
      </c>
      <c r="L217" s="95">
        <v>6113.3768</v>
      </c>
      <c r="M217" s="95">
        <v>56163.667038702028</v>
      </c>
      <c r="N217" s="95">
        <f t="shared" si="16"/>
        <v>1.3181059311935661</v>
      </c>
      <c r="O217" s="95">
        <f t="shared" si="17"/>
        <v>0.96541545000000017</v>
      </c>
      <c r="P217" s="95">
        <f t="shared" si="18"/>
        <v>0.30566884</v>
      </c>
      <c r="Q217" s="95">
        <f t="shared" si="19"/>
        <v>1.2710842900000001</v>
      </c>
      <c r="R217" s="94" t="s">
        <v>543</v>
      </c>
    </row>
    <row r="218" spans="1:18" s="53" customFormat="1" x14ac:dyDescent="0.2">
      <c r="A218" s="94" t="s">
        <v>379</v>
      </c>
      <c r="B218" s="94" t="s">
        <v>158</v>
      </c>
      <c r="C218" s="94">
        <v>1600561</v>
      </c>
      <c r="D218" s="94" t="s">
        <v>312</v>
      </c>
      <c r="E218" s="94">
        <v>3.996</v>
      </c>
      <c r="F218" s="94">
        <v>7.8680000000000012</v>
      </c>
      <c r="G218" s="94">
        <v>3.996</v>
      </c>
      <c r="H218" s="94"/>
      <c r="I218" s="95"/>
      <c r="J218" s="95">
        <v>0</v>
      </c>
      <c r="K218" s="95">
        <v>32376.742599999998</v>
      </c>
      <c r="L218" s="95">
        <v>13425.9835</v>
      </c>
      <c r="M218" s="95">
        <v>63534.924594972923</v>
      </c>
      <c r="N218" s="95">
        <f t="shared" si="16"/>
        <v>0</v>
      </c>
      <c r="O218" s="95">
        <f t="shared" si="17"/>
        <v>2.5474021077680002</v>
      </c>
      <c r="P218" s="95">
        <f t="shared" si="18"/>
        <v>0.53650230066000004</v>
      </c>
      <c r="Q218" s="95">
        <f t="shared" si="19"/>
        <v>3.0839044084280003</v>
      </c>
      <c r="R218" s="94" t="s">
        <v>543</v>
      </c>
    </row>
    <row r="219" spans="1:18" s="53" customFormat="1" x14ac:dyDescent="0.2">
      <c r="A219" s="94" t="s">
        <v>379</v>
      </c>
      <c r="B219" s="94" t="s">
        <v>158</v>
      </c>
      <c r="C219" s="94">
        <v>1601263</v>
      </c>
      <c r="D219" s="94" t="s">
        <v>471</v>
      </c>
      <c r="E219" s="94">
        <v>8</v>
      </c>
      <c r="F219" s="94">
        <v>0</v>
      </c>
      <c r="G219" s="94">
        <v>8</v>
      </c>
      <c r="H219" s="94"/>
      <c r="I219" s="95"/>
      <c r="J219" s="95">
        <v>0</v>
      </c>
      <c r="K219" s="95">
        <v>31634.667800000003</v>
      </c>
      <c r="L219" s="95">
        <v>11795.961500000001</v>
      </c>
      <c r="M219" s="95">
        <v>60972.913685572341</v>
      </c>
      <c r="N219" s="95">
        <f t="shared" si="16"/>
        <v>0</v>
      </c>
      <c r="O219" s="95">
        <f t="shared" si="17"/>
        <v>0</v>
      </c>
      <c r="P219" s="95">
        <f t="shared" si="18"/>
        <v>0.94367692000000014</v>
      </c>
      <c r="Q219" s="95">
        <f t="shared" si="19"/>
        <v>0.94367692000000014</v>
      </c>
      <c r="R219" s="94" t="s">
        <v>543</v>
      </c>
    </row>
    <row r="220" spans="1:18" s="53" customFormat="1" x14ac:dyDescent="0.2">
      <c r="A220" s="94" t="s">
        <v>379</v>
      </c>
      <c r="B220" s="94" t="s">
        <v>158</v>
      </c>
      <c r="C220" s="94">
        <v>1600847</v>
      </c>
      <c r="D220" s="94" t="s">
        <v>199</v>
      </c>
      <c r="E220" s="94">
        <v>0.12</v>
      </c>
      <c r="F220" s="94">
        <v>0</v>
      </c>
      <c r="G220" s="94">
        <v>0.12</v>
      </c>
      <c r="H220" s="94"/>
      <c r="I220" s="95"/>
      <c r="J220" s="95">
        <v>0</v>
      </c>
      <c r="K220" s="95">
        <v>90224.746039999998</v>
      </c>
      <c r="L220" s="95">
        <v>157544.27800000002</v>
      </c>
      <c r="M220" s="95">
        <v>264729.82167131908</v>
      </c>
      <c r="N220" s="95">
        <f t="shared" si="16"/>
        <v>0</v>
      </c>
      <c r="O220" s="95">
        <f t="shared" si="17"/>
        <v>0</v>
      </c>
      <c r="P220" s="95">
        <f t="shared" si="18"/>
        <v>0.18905313360000001</v>
      </c>
      <c r="Q220" s="95">
        <f t="shared" si="19"/>
        <v>0.18905313360000001</v>
      </c>
      <c r="R220" s="94" t="s">
        <v>543</v>
      </c>
    </row>
    <row r="221" spans="1:18" s="53" customFormat="1" x14ac:dyDescent="0.2">
      <c r="A221" s="94" t="s">
        <v>379</v>
      </c>
      <c r="B221" s="94" t="s">
        <v>158</v>
      </c>
      <c r="C221" s="94">
        <v>1600848</v>
      </c>
      <c r="D221" s="94" t="s">
        <v>472</v>
      </c>
      <c r="E221" s="94">
        <v>7.0000000000000001E-3</v>
      </c>
      <c r="F221" s="94">
        <v>7.0000000000000001E-3</v>
      </c>
      <c r="G221" s="94">
        <v>7.0000000000000001E-3</v>
      </c>
      <c r="H221" s="94"/>
      <c r="I221" s="95"/>
      <c r="J221" s="95">
        <v>0</v>
      </c>
      <c r="K221" s="95">
        <v>90224.746039999998</v>
      </c>
      <c r="L221" s="95">
        <v>101998.5831</v>
      </c>
      <c r="M221" s="95">
        <v>209158.77492001266</v>
      </c>
      <c r="N221" s="95">
        <f t="shared" si="16"/>
        <v>0</v>
      </c>
      <c r="O221" s="95">
        <f t="shared" si="17"/>
        <v>6.3157322227999999E-3</v>
      </c>
      <c r="P221" s="95">
        <f t="shared" si="18"/>
        <v>7.139900817E-3</v>
      </c>
      <c r="Q221" s="95">
        <f t="shared" si="19"/>
        <v>1.34556330398E-2</v>
      </c>
      <c r="R221" s="94" t="s">
        <v>543</v>
      </c>
    </row>
    <row r="222" spans="1:18" s="53" customFormat="1" x14ac:dyDescent="0.2">
      <c r="A222" s="94" t="s">
        <v>339</v>
      </c>
      <c r="B222" s="94" t="s">
        <v>158</v>
      </c>
      <c r="C222" s="94">
        <v>1600924</v>
      </c>
      <c r="D222" s="94" t="s">
        <v>113</v>
      </c>
      <c r="E222" s="94">
        <v>13</v>
      </c>
      <c r="F222" s="94">
        <v>0</v>
      </c>
      <c r="G222" s="94">
        <v>13</v>
      </c>
      <c r="H222" s="94"/>
      <c r="I222" s="95">
        <v>5250</v>
      </c>
      <c r="J222" s="95">
        <v>39664.868233284593</v>
      </c>
      <c r="K222" s="95">
        <v>7150.8424999999997</v>
      </c>
      <c r="L222" s="95">
        <v>5703.3971999999994</v>
      </c>
      <c r="M222" s="95">
        <v>55726.587173252556</v>
      </c>
      <c r="N222" s="95">
        <f t="shared" si="16"/>
        <v>0</v>
      </c>
      <c r="O222" s="95">
        <f t="shared" si="17"/>
        <v>0</v>
      </c>
      <c r="P222" s="95">
        <f t="shared" si="18"/>
        <v>0.74144163600000002</v>
      </c>
      <c r="Q222" s="95">
        <f t="shared" si="19"/>
        <v>0.74144163600000002</v>
      </c>
      <c r="R222" s="94" t="s">
        <v>543</v>
      </c>
    </row>
    <row r="223" spans="1:18" s="53" customFormat="1" x14ac:dyDescent="0.2">
      <c r="A223" s="94" t="s">
        <v>339</v>
      </c>
      <c r="B223" s="94" t="s">
        <v>158</v>
      </c>
      <c r="C223" s="94">
        <v>1600932</v>
      </c>
      <c r="D223" s="94" t="s">
        <v>171</v>
      </c>
      <c r="E223" s="94">
        <v>10</v>
      </c>
      <c r="F223" s="94">
        <v>14</v>
      </c>
      <c r="G223" s="94">
        <v>10</v>
      </c>
      <c r="H223" s="94"/>
      <c r="I223" s="95">
        <v>5250</v>
      </c>
      <c r="J223" s="95">
        <v>39982.416089698076</v>
      </c>
      <c r="K223" s="95">
        <v>8017.9224999999988</v>
      </c>
      <c r="L223" s="95">
        <v>6376.6502</v>
      </c>
      <c r="M223" s="95">
        <v>57532.267232852457</v>
      </c>
      <c r="N223" s="95">
        <f t="shared" si="16"/>
        <v>5.5975382525577304</v>
      </c>
      <c r="O223" s="95">
        <f t="shared" si="17"/>
        <v>1.1225091499999997</v>
      </c>
      <c r="P223" s="95">
        <f t="shared" si="18"/>
        <v>0.63766502000000003</v>
      </c>
      <c r="Q223" s="95">
        <f t="shared" si="19"/>
        <v>1.7601741699999998</v>
      </c>
      <c r="R223" s="94" t="s">
        <v>543</v>
      </c>
    </row>
    <row r="224" spans="1:18" s="53" customFormat="1" x14ac:dyDescent="0.2">
      <c r="A224" s="94" t="s">
        <v>339</v>
      </c>
      <c r="B224" s="94" t="s">
        <v>158</v>
      </c>
      <c r="C224" s="94">
        <v>1601083</v>
      </c>
      <c r="D224" s="94" t="s">
        <v>398</v>
      </c>
      <c r="E224" s="94">
        <v>14</v>
      </c>
      <c r="F224" s="94">
        <v>0</v>
      </c>
      <c r="G224" s="94">
        <v>14</v>
      </c>
      <c r="H224" s="94"/>
      <c r="I224" s="95">
        <v>5250</v>
      </c>
      <c r="J224" s="95">
        <v>39982.416089698076</v>
      </c>
      <c r="K224" s="95">
        <v>8017.901499999999</v>
      </c>
      <c r="L224" s="95">
        <v>5792.1487999999999</v>
      </c>
      <c r="M224" s="95">
        <v>57025.005443554321</v>
      </c>
      <c r="N224" s="95">
        <f t="shared" si="16"/>
        <v>0</v>
      </c>
      <c r="O224" s="95">
        <f t="shared" si="17"/>
        <v>0</v>
      </c>
      <c r="P224" s="95">
        <f t="shared" si="18"/>
        <v>0.81090083199999996</v>
      </c>
      <c r="Q224" s="95">
        <f t="shared" si="19"/>
        <v>0.81090083199999996</v>
      </c>
      <c r="R224" s="94" t="s">
        <v>543</v>
      </c>
    </row>
    <row r="225" spans="1:18" s="53" customFormat="1" x14ac:dyDescent="0.2">
      <c r="A225" s="94" t="s">
        <v>339</v>
      </c>
      <c r="B225" s="94" t="s">
        <v>158</v>
      </c>
      <c r="C225" s="94">
        <v>1600972</v>
      </c>
      <c r="D225" s="94" t="s">
        <v>115</v>
      </c>
      <c r="E225" s="94">
        <v>13</v>
      </c>
      <c r="F225" s="94">
        <v>17</v>
      </c>
      <c r="G225" s="94">
        <v>13</v>
      </c>
      <c r="H225" s="94"/>
      <c r="I225" s="95">
        <v>5250</v>
      </c>
      <c r="J225" s="95">
        <v>37513.808053094799</v>
      </c>
      <c r="K225" s="95">
        <v>11010.993330000001</v>
      </c>
      <c r="L225" s="95">
        <v>5786.1561000000002</v>
      </c>
      <c r="M225" s="95">
        <v>57348.682253966806</v>
      </c>
      <c r="N225" s="95">
        <f t="shared" si="16"/>
        <v>6.3773473690261158</v>
      </c>
      <c r="O225" s="95">
        <f t="shared" si="17"/>
        <v>1.8718688661000003</v>
      </c>
      <c r="P225" s="95">
        <f t="shared" si="18"/>
        <v>0.75220029299999991</v>
      </c>
      <c r="Q225" s="95">
        <f t="shared" si="19"/>
        <v>2.6240691591000003</v>
      </c>
      <c r="R225" s="94" t="s">
        <v>543</v>
      </c>
    </row>
    <row r="226" spans="1:18" s="53" customFormat="1" x14ac:dyDescent="0.2">
      <c r="A226" s="94" t="s">
        <v>339</v>
      </c>
      <c r="B226" s="94" t="s">
        <v>158</v>
      </c>
      <c r="C226" s="94">
        <v>1600866</v>
      </c>
      <c r="D226" s="94" t="s">
        <v>116</v>
      </c>
      <c r="E226" s="94">
        <v>15</v>
      </c>
      <c r="F226" s="94">
        <v>0</v>
      </c>
      <c r="G226" s="94">
        <v>15</v>
      </c>
      <c r="H226" s="94"/>
      <c r="I226" s="95">
        <v>5250</v>
      </c>
      <c r="J226" s="95">
        <v>37513.808053094799</v>
      </c>
      <c r="K226" s="95">
        <v>11010.993329999999</v>
      </c>
      <c r="L226" s="95">
        <v>5595.1198999999997</v>
      </c>
      <c r="M226" s="95">
        <v>57157.646053966797</v>
      </c>
      <c r="N226" s="95">
        <f t="shared" si="16"/>
        <v>0</v>
      </c>
      <c r="O226" s="95">
        <f t="shared" si="17"/>
        <v>0</v>
      </c>
      <c r="P226" s="95">
        <f t="shared" si="18"/>
        <v>0.83926798499999988</v>
      </c>
      <c r="Q226" s="95">
        <f t="shared" si="19"/>
        <v>0.83926798499999988</v>
      </c>
      <c r="R226" s="94" t="s">
        <v>543</v>
      </c>
    </row>
    <row r="227" spans="1:18" s="53" customFormat="1" x14ac:dyDescent="0.2">
      <c r="A227" s="94" t="s">
        <v>339</v>
      </c>
      <c r="B227" s="94" t="s">
        <v>158</v>
      </c>
      <c r="C227" s="94">
        <v>1600927</v>
      </c>
      <c r="D227" s="94" t="s">
        <v>176</v>
      </c>
      <c r="E227" s="94">
        <v>27</v>
      </c>
      <c r="F227" s="94">
        <v>0</v>
      </c>
      <c r="G227" s="94">
        <v>27</v>
      </c>
      <c r="H227" s="94"/>
      <c r="I227" s="95">
        <v>5250</v>
      </c>
      <c r="J227" s="95">
        <v>35027.4511301639</v>
      </c>
      <c r="K227" s="95">
        <v>11021.024580000001</v>
      </c>
      <c r="L227" s="95">
        <v>5478.5725000000002</v>
      </c>
      <c r="M227" s="95">
        <v>56467.698878696494</v>
      </c>
      <c r="N227" s="95">
        <f t="shared" si="16"/>
        <v>0</v>
      </c>
      <c r="O227" s="95">
        <f t="shared" si="17"/>
        <v>0</v>
      </c>
      <c r="P227" s="95">
        <f t="shared" si="18"/>
        <v>1.4792145750000001</v>
      </c>
      <c r="Q227" s="95">
        <f t="shared" si="19"/>
        <v>1.4792145750000001</v>
      </c>
      <c r="R227" s="94" t="s">
        <v>543</v>
      </c>
    </row>
    <row r="228" spans="1:18" s="53" customFormat="1" x14ac:dyDescent="0.2">
      <c r="A228" s="94" t="s">
        <v>339</v>
      </c>
      <c r="B228" s="94" t="s">
        <v>158</v>
      </c>
      <c r="C228" s="94">
        <v>1600860</v>
      </c>
      <c r="D228" s="94" t="s">
        <v>152</v>
      </c>
      <c r="E228" s="94">
        <v>22</v>
      </c>
      <c r="F228" s="94">
        <v>38</v>
      </c>
      <c r="G228" s="94">
        <v>22</v>
      </c>
      <c r="H228" s="94"/>
      <c r="I228" s="95">
        <v>5250</v>
      </c>
      <c r="J228" s="95">
        <v>40223.121646010943</v>
      </c>
      <c r="K228" s="95">
        <v>6860.0286000000006</v>
      </c>
      <c r="L228" s="95">
        <v>6596.1120981844797</v>
      </c>
      <c r="M228" s="95">
        <v>56853.536464131255</v>
      </c>
      <c r="N228" s="95">
        <f t="shared" si="16"/>
        <v>15.284786225484158</v>
      </c>
      <c r="O228" s="95">
        <f t="shared" si="17"/>
        <v>2.6068108680000002</v>
      </c>
      <c r="P228" s="95">
        <f t="shared" si="18"/>
        <v>1.4511446616005856</v>
      </c>
      <c r="Q228" s="95">
        <f t="shared" si="19"/>
        <v>4.0579555296005854</v>
      </c>
      <c r="R228" s="94" t="s">
        <v>543</v>
      </c>
    </row>
    <row r="229" spans="1:18" s="53" customFormat="1" x14ac:dyDescent="0.2">
      <c r="A229" s="94" t="s">
        <v>339</v>
      </c>
      <c r="B229" s="94" t="s">
        <v>158</v>
      </c>
      <c r="C229" s="94">
        <v>1600062</v>
      </c>
      <c r="D229" s="94" t="s">
        <v>129</v>
      </c>
      <c r="E229" s="94">
        <v>5</v>
      </c>
      <c r="F229" s="94">
        <v>0</v>
      </c>
      <c r="G229" s="94">
        <v>5</v>
      </c>
      <c r="H229" s="94"/>
      <c r="I229" s="95">
        <v>5250</v>
      </c>
      <c r="J229" s="95">
        <v>40223.121646010943</v>
      </c>
      <c r="K229" s="95">
        <v>6860.0286000000006</v>
      </c>
      <c r="L229" s="95">
        <v>6950.6201000000001</v>
      </c>
      <c r="M229" s="95">
        <v>57208.044465946776</v>
      </c>
      <c r="N229" s="95">
        <f t="shared" si="16"/>
        <v>0</v>
      </c>
      <c r="O229" s="95">
        <f t="shared" si="17"/>
        <v>0</v>
      </c>
      <c r="P229" s="95">
        <f t="shared" si="18"/>
        <v>0.347531005</v>
      </c>
      <c r="Q229" s="95">
        <f t="shared" si="19"/>
        <v>0.347531005</v>
      </c>
      <c r="R229" s="94" t="s">
        <v>543</v>
      </c>
    </row>
    <row r="230" spans="1:18" s="53" customFormat="1" x14ac:dyDescent="0.2">
      <c r="A230" s="94" t="s">
        <v>339</v>
      </c>
      <c r="B230" s="94" t="s">
        <v>158</v>
      </c>
      <c r="C230" s="94">
        <v>1600974</v>
      </c>
      <c r="D230" s="94" t="s">
        <v>399</v>
      </c>
      <c r="E230" s="94">
        <v>10</v>
      </c>
      <c r="F230" s="94">
        <v>0</v>
      </c>
      <c r="G230" s="94">
        <v>10</v>
      </c>
      <c r="H230" s="94"/>
      <c r="I230" s="95">
        <v>5250</v>
      </c>
      <c r="J230" s="95">
        <v>40103.555201795272</v>
      </c>
      <c r="K230" s="95">
        <v>7509.263280000001</v>
      </c>
      <c r="L230" s="95">
        <v>5806.1511</v>
      </c>
      <c r="M230" s="95">
        <v>56661.068528884723</v>
      </c>
      <c r="N230" s="95">
        <f t="shared" si="16"/>
        <v>0</v>
      </c>
      <c r="O230" s="95">
        <f t="shared" si="17"/>
        <v>0</v>
      </c>
      <c r="P230" s="95">
        <f t="shared" si="18"/>
        <v>0.58061510999999999</v>
      </c>
      <c r="Q230" s="95">
        <f t="shared" si="19"/>
        <v>0.58061510999999999</v>
      </c>
      <c r="R230" s="94" t="s">
        <v>543</v>
      </c>
    </row>
    <row r="231" spans="1:18" s="53" customFormat="1" x14ac:dyDescent="0.2">
      <c r="A231" s="94" t="s">
        <v>339</v>
      </c>
      <c r="B231" s="94" t="s">
        <v>158</v>
      </c>
      <c r="C231" s="94">
        <v>1601108</v>
      </c>
      <c r="D231" s="94" t="s">
        <v>406</v>
      </c>
      <c r="E231" s="94">
        <v>5</v>
      </c>
      <c r="F231" s="94">
        <v>0</v>
      </c>
      <c r="G231" s="94">
        <v>5</v>
      </c>
      <c r="H231" s="94"/>
      <c r="I231" s="95">
        <v>5250</v>
      </c>
      <c r="J231" s="95">
        <v>40223.121646010943</v>
      </c>
      <c r="K231" s="95">
        <v>6860.0286000000006</v>
      </c>
      <c r="L231" s="95">
        <v>5664.6175135211533</v>
      </c>
      <c r="M231" s="95">
        <v>54283.339954048752</v>
      </c>
      <c r="N231" s="95">
        <f t="shared" si="16"/>
        <v>0</v>
      </c>
      <c r="O231" s="95">
        <f t="shared" si="17"/>
        <v>0</v>
      </c>
      <c r="P231" s="95">
        <f t="shared" si="18"/>
        <v>0.28323087567605765</v>
      </c>
      <c r="Q231" s="95">
        <f t="shared" si="19"/>
        <v>0.28323087567605765</v>
      </c>
      <c r="R231" s="94" t="s">
        <v>543</v>
      </c>
    </row>
    <row r="232" spans="1:18" s="53" customFormat="1" x14ac:dyDescent="0.2">
      <c r="A232" s="94" t="s">
        <v>339</v>
      </c>
      <c r="B232" s="94" t="s">
        <v>158</v>
      </c>
      <c r="C232" s="94">
        <v>1600862</v>
      </c>
      <c r="D232" s="94" t="s">
        <v>178</v>
      </c>
      <c r="E232" s="94">
        <v>7</v>
      </c>
      <c r="F232" s="94">
        <v>38</v>
      </c>
      <c r="G232" s="94">
        <v>7</v>
      </c>
      <c r="H232" s="94"/>
      <c r="I232" s="95">
        <v>5250</v>
      </c>
      <c r="J232" s="95">
        <v>36894.87587127251</v>
      </c>
      <c r="K232" s="95">
        <v>13265.367430000002</v>
      </c>
      <c r="L232" s="95">
        <v>5577.7134000000005</v>
      </c>
      <c r="M232" s="95">
        <v>58726.83741613006</v>
      </c>
      <c r="N232" s="95">
        <f t="shared" si="16"/>
        <v>14.020052831083555</v>
      </c>
      <c r="O232" s="95">
        <f t="shared" si="17"/>
        <v>5.040839623400001</v>
      </c>
      <c r="P232" s="95">
        <f t="shared" si="18"/>
        <v>0.39043993800000004</v>
      </c>
      <c r="Q232" s="95">
        <f t="shared" si="19"/>
        <v>5.4312795614000011</v>
      </c>
      <c r="R232" s="94" t="s">
        <v>543</v>
      </c>
    </row>
    <row r="233" spans="1:18" s="53" customFormat="1" x14ac:dyDescent="0.2">
      <c r="A233" s="94" t="s">
        <v>339</v>
      </c>
      <c r="B233" s="94" t="s">
        <v>158</v>
      </c>
      <c r="C233" s="94">
        <v>1600975</v>
      </c>
      <c r="D233" s="94" t="s">
        <v>225</v>
      </c>
      <c r="E233" s="94">
        <v>20</v>
      </c>
      <c r="F233" s="94">
        <v>0</v>
      </c>
      <c r="G233" s="94">
        <v>20</v>
      </c>
      <c r="H233" s="94"/>
      <c r="I233" s="95">
        <v>5250</v>
      </c>
      <c r="J233" s="95">
        <v>37840.807318196996</v>
      </c>
      <c r="K233" s="95">
        <v>12495.015579999999</v>
      </c>
      <c r="L233" s="95">
        <v>5728.8367999999991</v>
      </c>
      <c r="M233" s="95">
        <v>61395.101185142616</v>
      </c>
      <c r="N233" s="95">
        <f t="shared" si="16"/>
        <v>0</v>
      </c>
      <c r="O233" s="95">
        <f t="shared" si="17"/>
        <v>0</v>
      </c>
      <c r="P233" s="95">
        <f t="shared" si="18"/>
        <v>1.1457673599999998</v>
      </c>
      <c r="Q233" s="95">
        <f t="shared" si="19"/>
        <v>1.1457673599999998</v>
      </c>
      <c r="R233" s="94" t="s">
        <v>543</v>
      </c>
    </row>
    <row r="234" spans="1:18" s="53" customFormat="1" x14ac:dyDescent="0.2">
      <c r="A234" s="94" t="s">
        <v>339</v>
      </c>
      <c r="B234" s="94" t="s">
        <v>158</v>
      </c>
      <c r="C234" s="94">
        <v>1600928</v>
      </c>
      <c r="D234" s="94" t="s">
        <v>367</v>
      </c>
      <c r="E234" s="94">
        <v>6</v>
      </c>
      <c r="F234" s="94">
        <v>0</v>
      </c>
      <c r="G234" s="94">
        <v>6</v>
      </c>
      <c r="H234" s="94"/>
      <c r="I234" s="95">
        <v>5250</v>
      </c>
      <c r="J234" s="95">
        <v>34449.540811889055</v>
      </c>
      <c r="K234" s="95">
        <v>13278.602280000001</v>
      </c>
      <c r="L234" s="95">
        <v>5478.5725000000002</v>
      </c>
      <c r="M234" s="95">
        <v>57979.703372155702</v>
      </c>
      <c r="N234" s="95">
        <f t="shared" si="16"/>
        <v>0</v>
      </c>
      <c r="O234" s="95">
        <f t="shared" si="17"/>
        <v>0</v>
      </c>
      <c r="P234" s="95">
        <f t="shared" si="18"/>
        <v>0.32871434999999999</v>
      </c>
      <c r="Q234" s="95">
        <f t="shared" si="19"/>
        <v>0.32871434999999999</v>
      </c>
      <c r="R234" s="94" t="s">
        <v>543</v>
      </c>
    </row>
    <row r="235" spans="1:18" s="53" customFormat="1" x14ac:dyDescent="0.2">
      <c r="A235" s="94" t="s">
        <v>339</v>
      </c>
      <c r="B235" s="94" t="s">
        <v>158</v>
      </c>
      <c r="C235" s="94">
        <v>1600868</v>
      </c>
      <c r="D235" s="94" t="s">
        <v>180</v>
      </c>
      <c r="E235" s="94">
        <v>30</v>
      </c>
      <c r="F235" s="94">
        <v>0</v>
      </c>
      <c r="G235" s="94">
        <v>30</v>
      </c>
      <c r="H235" s="94"/>
      <c r="I235" s="95">
        <v>5250</v>
      </c>
      <c r="J235" s="95">
        <v>34449.540811889055</v>
      </c>
      <c r="K235" s="95">
        <v>13278.602280000001</v>
      </c>
      <c r="L235" s="95">
        <v>5478.5725000000002</v>
      </c>
      <c r="M235" s="95">
        <v>57979.703372155702</v>
      </c>
      <c r="N235" s="95">
        <f t="shared" si="16"/>
        <v>0</v>
      </c>
      <c r="O235" s="95">
        <f t="shared" si="17"/>
        <v>0</v>
      </c>
      <c r="P235" s="95">
        <f t="shared" si="18"/>
        <v>1.6435717500000002</v>
      </c>
      <c r="Q235" s="95">
        <f t="shared" si="19"/>
        <v>1.6435717500000002</v>
      </c>
      <c r="R235" s="94" t="s">
        <v>543</v>
      </c>
    </row>
    <row r="236" spans="1:18" s="53" customFormat="1" x14ac:dyDescent="0.2">
      <c r="A236" s="94" t="s">
        <v>339</v>
      </c>
      <c r="B236" s="94" t="s">
        <v>158</v>
      </c>
      <c r="C236" s="94">
        <v>1601078</v>
      </c>
      <c r="D236" s="94" t="s">
        <v>122</v>
      </c>
      <c r="E236" s="94">
        <v>30</v>
      </c>
      <c r="F236" s="94">
        <v>30</v>
      </c>
      <c r="G236" s="94">
        <v>30</v>
      </c>
      <c r="H236" s="94"/>
      <c r="I236" s="95">
        <v>5250</v>
      </c>
      <c r="J236" s="95">
        <v>39661.242360113269</v>
      </c>
      <c r="K236" s="95">
        <v>9362.7790000000005</v>
      </c>
      <c r="L236" s="95">
        <v>5237.8589000000002</v>
      </c>
      <c r="M236" s="95">
        <v>57469.073358307585</v>
      </c>
      <c r="N236" s="95">
        <f t="shared" si="16"/>
        <v>11.89837270803398</v>
      </c>
      <c r="O236" s="95">
        <f t="shared" si="17"/>
        <v>2.8088337000000001</v>
      </c>
      <c r="P236" s="95">
        <f t="shared" si="18"/>
        <v>1.5713576699999998</v>
      </c>
      <c r="Q236" s="95">
        <f t="shared" si="19"/>
        <v>4.3801913700000004</v>
      </c>
      <c r="R236" s="94" t="s">
        <v>543</v>
      </c>
    </row>
    <row r="237" spans="1:18" s="53" customFormat="1" x14ac:dyDescent="0.2">
      <c r="A237" s="94" t="s">
        <v>339</v>
      </c>
      <c r="B237" s="94" t="s">
        <v>158</v>
      </c>
      <c r="C237" s="94">
        <v>1601123</v>
      </c>
      <c r="D237" s="94" t="s">
        <v>401</v>
      </c>
      <c r="E237" s="94">
        <v>25</v>
      </c>
      <c r="F237" s="94">
        <v>34</v>
      </c>
      <c r="G237" s="94">
        <v>25</v>
      </c>
      <c r="H237" s="94"/>
      <c r="I237" s="95">
        <v>5250</v>
      </c>
      <c r="J237" s="95">
        <v>37217.185416549532</v>
      </c>
      <c r="K237" s="95">
        <v>12346.901</v>
      </c>
      <c r="L237" s="95">
        <v>5645.5001000000011</v>
      </c>
      <c r="M237" s="95">
        <v>58224.459337672874</v>
      </c>
      <c r="N237" s="95">
        <f t="shared" si="16"/>
        <v>12.653843041626841</v>
      </c>
      <c r="O237" s="95">
        <f t="shared" si="17"/>
        <v>4.1979463400000006</v>
      </c>
      <c r="P237" s="95">
        <f t="shared" si="18"/>
        <v>1.4113750250000003</v>
      </c>
      <c r="Q237" s="95">
        <f t="shared" si="19"/>
        <v>5.6093213650000013</v>
      </c>
      <c r="R237" s="94" t="s">
        <v>543</v>
      </c>
    </row>
    <row r="238" spans="1:18" s="53" customFormat="1" x14ac:dyDescent="0.2">
      <c r="A238" s="94" t="s">
        <v>339</v>
      </c>
      <c r="B238" s="94" t="s">
        <v>158</v>
      </c>
      <c r="C238" s="94">
        <v>1601124</v>
      </c>
      <c r="D238" s="94" t="s">
        <v>402</v>
      </c>
      <c r="E238" s="94">
        <v>5</v>
      </c>
      <c r="F238" s="94">
        <v>0</v>
      </c>
      <c r="G238" s="94">
        <v>5</v>
      </c>
      <c r="H238" s="94"/>
      <c r="I238" s="95">
        <v>5250</v>
      </c>
      <c r="J238" s="95">
        <v>37217.185416549532</v>
      </c>
      <c r="K238" s="95">
        <v>12346.901</v>
      </c>
      <c r="L238" s="95">
        <v>5262.5159999999996</v>
      </c>
      <c r="M238" s="95">
        <v>57849.494487342468</v>
      </c>
      <c r="N238" s="95">
        <f t="shared" si="16"/>
        <v>0</v>
      </c>
      <c r="O238" s="95">
        <f t="shared" si="17"/>
        <v>0</v>
      </c>
      <c r="P238" s="95">
        <f t="shared" si="18"/>
        <v>0.26312579999999997</v>
      </c>
      <c r="Q238" s="95">
        <f t="shared" si="19"/>
        <v>0.26312579999999997</v>
      </c>
      <c r="R238" s="94" t="s">
        <v>543</v>
      </c>
    </row>
    <row r="239" spans="1:18" s="53" customFormat="1" x14ac:dyDescent="0.2">
      <c r="A239" s="94" t="s">
        <v>339</v>
      </c>
      <c r="B239" s="94" t="s">
        <v>158</v>
      </c>
      <c r="C239" s="94">
        <v>1601120</v>
      </c>
      <c r="D239" s="94" t="s">
        <v>407</v>
      </c>
      <c r="E239" s="94">
        <v>5</v>
      </c>
      <c r="F239" s="94">
        <v>0</v>
      </c>
      <c r="G239" s="94">
        <v>5</v>
      </c>
      <c r="H239" s="94"/>
      <c r="I239" s="95">
        <v>5250</v>
      </c>
      <c r="J239" s="95">
        <v>37217.185416549532</v>
      </c>
      <c r="K239" s="95">
        <v>12346.901</v>
      </c>
      <c r="L239" s="95">
        <v>3110.8101999999999</v>
      </c>
      <c r="M239" s="95">
        <v>55676.729498512359</v>
      </c>
      <c r="N239" s="95">
        <f t="shared" si="16"/>
        <v>0</v>
      </c>
      <c r="O239" s="95">
        <f t="shared" si="17"/>
        <v>0</v>
      </c>
      <c r="P239" s="95">
        <f t="shared" si="18"/>
        <v>0.15554050999999999</v>
      </c>
      <c r="Q239" s="95">
        <f t="shared" si="19"/>
        <v>0.15554050999999999</v>
      </c>
      <c r="R239" s="94" t="s">
        <v>543</v>
      </c>
    </row>
    <row r="240" spans="1:18" s="53" customFormat="1" ht="25.5" x14ac:dyDescent="0.2">
      <c r="A240" s="94" t="s">
        <v>339</v>
      </c>
      <c r="B240" s="94" t="s">
        <v>158</v>
      </c>
      <c r="C240" s="94">
        <v>1600831</v>
      </c>
      <c r="D240" s="94" t="s">
        <v>408</v>
      </c>
      <c r="E240" s="94">
        <v>9</v>
      </c>
      <c r="F240" s="94">
        <v>13</v>
      </c>
      <c r="G240" s="94">
        <v>9</v>
      </c>
      <c r="H240" s="94"/>
      <c r="I240" s="95">
        <v>5250</v>
      </c>
      <c r="J240" s="95">
        <v>57418.2</v>
      </c>
      <c r="K240" s="95">
        <v>10870.753612500001</v>
      </c>
      <c r="L240" s="95">
        <v>14520.557812485386</v>
      </c>
      <c r="M240" s="95">
        <v>92315.069111617631</v>
      </c>
      <c r="N240" s="95">
        <f t="shared" si="16"/>
        <v>7.4643660000000001</v>
      </c>
      <c r="O240" s="95">
        <f t="shared" si="17"/>
        <v>1.4131979696249999</v>
      </c>
      <c r="P240" s="95">
        <f t="shared" si="18"/>
        <v>1.3068502031236846</v>
      </c>
      <c r="Q240" s="95">
        <f t="shared" si="19"/>
        <v>2.7200481727486845</v>
      </c>
      <c r="R240" s="94" t="s">
        <v>543</v>
      </c>
    </row>
    <row r="241" spans="1:18" s="53" customFormat="1" x14ac:dyDescent="0.2">
      <c r="A241" s="94" t="s">
        <v>339</v>
      </c>
      <c r="B241" s="94" t="s">
        <v>158</v>
      </c>
      <c r="C241" s="94">
        <v>1600827</v>
      </c>
      <c r="D241" s="94" t="s">
        <v>227</v>
      </c>
      <c r="E241" s="94">
        <v>13.23</v>
      </c>
      <c r="F241" s="94">
        <v>0</v>
      </c>
      <c r="G241" s="94">
        <v>13.23</v>
      </c>
      <c r="H241" s="94"/>
      <c r="I241" s="95">
        <v>5250</v>
      </c>
      <c r="J241" s="95">
        <v>57418.2</v>
      </c>
      <c r="K241" s="95">
        <v>10870.753612500001</v>
      </c>
      <c r="L241" s="95">
        <v>14520.557812485386</v>
      </c>
      <c r="M241" s="95">
        <v>92315.069111617631</v>
      </c>
      <c r="N241" s="95">
        <f t="shared" si="16"/>
        <v>0</v>
      </c>
      <c r="O241" s="95">
        <f t="shared" si="17"/>
        <v>0</v>
      </c>
      <c r="P241" s="95">
        <f t="shared" si="18"/>
        <v>1.9210697985918166</v>
      </c>
      <c r="Q241" s="95">
        <f t="shared" si="19"/>
        <v>1.9210697985918166</v>
      </c>
      <c r="R241" s="94" t="s">
        <v>543</v>
      </c>
    </row>
    <row r="242" spans="1:18" s="53" customFormat="1" x14ac:dyDescent="0.2">
      <c r="A242" s="94" t="s">
        <v>339</v>
      </c>
      <c r="B242" s="94" t="s">
        <v>158</v>
      </c>
      <c r="C242" s="94">
        <v>1600816</v>
      </c>
      <c r="D242" s="94" t="s">
        <v>185</v>
      </c>
      <c r="E242" s="94">
        <v>1</v>
      </c>
      <c r="F242" s="94">
        <v>1</v>
      </c>
      <c r="G242" s="94">
        <v>1</v>
      </c>
      <c r="H242" s="94"/>
      <c r="I242" s="95">
        <v>5250</v>
      </c>
      <c r="J242" s="95">
        <v>40420.280926959873</v>
      </c>
      <c r="K242" s="95">
        <v>10242.58</v>
      </c>
      <c r="L242" s="95">
        <v>21433.746599999999</v>
      </c>
      <c r="M242" s="95">
        <v>77952.71425885419</v>
      </c>
      <c r="N242" s="95">
        <f t="shared" si="16"/>
        <v>0.40420280926959873</v>
      </c>
      <c r="O242" s="95">
        <f t="shared" si="17"/>
        <v>0.1024258</v>
      </c>
      <c r="P242" s="95">
        <f t="shared" si="18"/>
        <v>0.21433746599999998</v>
      </c>
      <c r="Q242" s="95">
        <f t="shared" si="19"/>
        <v>0.31676326599999999</v>
      </c>
      <c r="R242" s="94" t="s">
        <v>543</v>
      </c>
    </row>
    <row r="243" spans="1:18" s="53" customFormat="1" x14ac:dyDescent="0.2">
      <c r="A243" s="94" t="s">
        <v>339</v>
      </c>
      <c r="B243" s="94" t="s">
        <v>158</v>
      </c>
      <c r="C243" s="94">
        <v>1600110</v>
      </c>
      <c r="D243" s="94" t="s">
        <v>188</v>
      </c>
      <c r="E243" s="94">
        <v>8</v>
      </c>
      <c r="F243" s="94">
        <v>8</v>
      </c>
      <c r="G243" s="94">
        <v>8</v>
      </c>
      <c r="H243" s="94"/>
      <c r="I243" s="95">
        <v>5250</v>
      </c>
      <c r="J243" s="95">
        <v>33856.044671955635</v>
      </c>
      <c r="K243" s="95">
        <v>13981.930000000002</v>
      </c>
      <c r="L243" s="95">
        <v>5145.5439999999999</v>
      </c>
      <c r="M243" s="95">
        <v>55655.324389855166</v>
      </c>
      <c r="N243" s="95">
        <f t="shared" si="16"/>
        <v>2.708483573756451</v>
      </c>
      <c r="O243" s="95">
        <f t="shared" si="17"/>
        <v>1.1185544000000001</v>
      </c>
      <c r="P243" s="95">
        <f t="shared" si="18"/>
        <v>0.41164351999999998</v>
      </c>
      <c r="Q243" s="95">
        <f t="shared" si="19"/>
        <v>1.53019792</v>
      </c>
      <c r="R243" s="94" t="s">
        <v>543</v>
      </c>
    </row>
    <row r="244" spans="1:18" s="53" customFormat="1" x14ac:dyDescent="0.2">
      <c r="A244" s="94" t="s">
        <v>339</v>
      </c>
      <c r="B244" s="94" t="s">
        <v>158</v>
      </c>
      <c r="C244" s="94">
        <v>1601105</v>
      </c>
      <c r="D244" s="94" t="s">
        <v>280</v>
      </c>
      <c r="E244" s="94">
        <v>8</v>
      </c>
      <c r="F244" s="94">
        <v>8</v>
      </c>
      <c r="G244" s="94">
        <v>8</v>
      </c>
      <c r="H244" s="94"/>
      <c r="I244" s="95">
        <v>5250</v>
      </c>
      <c r="J244" s="95">
        <v>36165.826806761681</v>
      </c>
      <c r="K244" s="95">
        <v>8874.6332000000002</v>
      </c>
      <c r="L244" s="95">
        <v>6001.3220000000001</v>
      </c>
      <c r="M244" s="95">
        <v>57051.166487208153</v>
      </c>
      <c r="N244" s="95">
        <f t="shared" si="16"/>
        <v>2.8932661445409344</v>
      </c>
      <c r="O244" s="95">
        <f t="shared" si="17"/>
        <v>0.70997065599999998</v>
      </c>
      <c r="P244" s="95">
        <f t="shared" si="18"/>
        <v>0.48010575999999999</v>
      </c>
      <c r="Q244" s="95">
        <f t="shared" si="19"/>
        <v>1.1900764159999999</v>
      </c>
      <c r="R244" s="94" t="s">
        <v>543</v>
      </c>
    </row>
    <row r="245" spans="1:18" s="53" customFormat="1" x14ac:dyDescent="0.2">
      <c r="A245" s="94" t="s">
        <v>339</v>
      </c>
      <c r="B245" s="94" t="s">
        <v>158</v>
      </c>
      <c r="C245" s="94">
        <v>1601103</v>
      </c>
      <c r="D245" s="94" t="s">
        <v>281</v>
      </c>
      <c r="E245" s="94">
        <v>10</v>
      </c>
      <c r="F245" s="94">
        <v>10</v>
      </c>
      <c r="G245" s="94">
        <v>10</v>
      </c>
      <c r="H245" s="94"/>
      <c r="I245" s="95">
        <v>5250</v>
      </c>
      <c r="J245" s="95">
        <v>36093.522900231073</v>
      </c>
      <c r="K245" s="95">
        <v>8100.6099999999988</v>
      </c>
      <c r="L245" s="95">
        <v>5939.9520000000002</v>
      </c>
      <c r="M245" s="95">
        <v>56044.036993488218</v>
      </c>
      <c r="N245" s="95">
        <f t="shared" si="16"/>
        <v>3.6093522900231072</v>
      </c>
      <c r="O245" s="95">
        <f t="shared" si="17"/>
        <v>0.81006099999999992</v>
      </c>
      <c r="P245" s="95">
        <f t="shared" si="18"/>
        <v>0.59399520000000006</v>
      </c>
      <c r="Q245" s="95">
        <f t="shared" si="19"/>
        <v>1.4040561999999999</v>
      </c>
      <c r="R245" s="94" t="s">
        <v>543</v>
      </c>
    </row>
    <row r="246" spans="1:18" s="53" customFormat="1" x14ac:dyDescent="0.2">
      <c r="A246" s="94" t="s">
        <v>339</v>
      </c>
      <c r="B246" s="94" t="s">
        <v>158</v>
      </c>
      <c r="C246" s="94">
        <v>1601102</v>
      </c>
      <c r="D246" s="94" t="s">
        <v>282</v>
      </c>
      <c r="E246" s="94">
        <v>8</v>
      </c>
      <c r="F246" s="94">
        <v>8</v>
      </c>
      <c r="G246" s="94">
        <v>8</v>
      </c>
      <c r="H246" s="94"/>
      <c r="I246" s="95">
        <v>5250</v>
      </c>
      <c r="J246" s="95">
        <v>36080.016383681184</v>
      </c>
      <c r="K246" s="95">
        <v>11301.4406</v>
      </c>
      <c r="L246" s="95">
        <v>5956.1020000000008</v>
      </c>
      <c r="M246" s="95">
        <v>59332.892868653507</v>
      </c>
      <c r="N246" s="95">
        <f t="shared" si="16"/>
        <v>2.8864013106944948</v>
      </c>
      <c r="O246" s="95">
        <f t="shared" si="17"/>
        <v>0.90411524799999998</v>
      </c>
      <c r="P246" s="95">
        <f t="shared" si="18"/>
        <v>0.47648816000000005</v>
      </c>
      <c r="Q246" s="95">
        <f t="shared" si="19"/>
        <v>1.380603408</v>
      </c>
      <c r="R246" s="94" t="s">
        <v>543</v>
      </c>
    </row>
    <row r="247" spans="1:18" s="53" customFormat="1" x14ac:dyDescent="0.2">
      <c r="A247" s="94" t="s">
        <v>339</v>
      </c>
      <c r="B247" s="94" t="s">
        <v>158</v>
      </c>
      <c r="C247" s="94">
        <v>1601059</v>
      </c>
      <c r="D247" s="94" t="s">
        <v>392</v>
      </c>
      <c r="E247" s="94">
        <v>10</v>
      </c>
      <c r="F247" s="94">
        <v>10</v>
      </c>
      <c r="G247" s="94">
        <v>10</v>
      </c>
      <c r="H247" s="94"/>
      <c r="I247" s="95">
        <v>5250</v>
      </c>
      <c r="J247" s="95">
        <v>36165.826806761681</v>
      </c>
      <c r="K247" s="95">
        <v>8874.6332000000002</v>
      </c>
      <c r="L247" s="95">
        <v>5224.0439999999999</v>
      </c>
      <c r="M247" s="95">
        <v>56186.295138976944</v>
      </c>
      <c r="N247" s="95">
        <f t="shared" si="16"/>
        <v>3.6165826806761681</v>
      </c>
      <c r="O247" s="95">
        <f t="shared" si="17"/>
        <v>0.88746331999999994</v>
      </c>
      <c r="P247" s="95">
        <f t="shared" si="18"/>
        <v>0.52240439999999999</v>
      </c>
      <c r="Q247" s="95">
        <f t="shared" si="19"/>
        <v>1.4098677199999998</v>
      </c>
      <c r="R247" s="94" t="s">
        <v>543</v>
      </c>
    </row>
    <row r="248" spans="1:18" s="53" customFormat="1" x14ac:dyDescent="0.2">
      <c r="A248" s="94" t="s">
        <v>339</v>
      </c>
      <c r="B248" s="94" t="s">
        <v>158</v>
      </c>
      <c r="C248" s="94">
        <v>1601057</v>
      </c>
      <c r="D248" s="94" t="s">
        <v>279</v>
      </c>
      <c r="E248" s="94">
        <v>10</v>
      </c>
      <c r="F248" s="94">
        <v>10</v>
      </c>
      <c r="G248" s="94">
        <v>10</v>
      </c>
      <c r="H248" s="94"/>
      <c r="I248" s="95">
        <v>5250</v>
      </c>
      <c r="J248" s="95">
        <v>36080.016383681184</v>
      </c>
      <c r="K248" s="95">
        <v>11301.4406</v>
      </c>
      <c r="L248" s="95">
        <v>5230.2790000000005</v>
      </c>
      <c r="M248" s="95">
        <v>58607.069868653511</v>
      </c>
      <c r="N248" s="95">
        <f t="shared" si="16"/>
        <v>3.6080016383681186</v>
      </c>
      <c r="O248" s="95">
        <f t="shared" si="17"/>
        <v>1.1301440600000001</v>
      </c>
      <c r="P248" s="95">
        <f t="shared" si="18"/>
        <v>0.5230279000000001</v>
      </c>
      <c r="Q248" s="95">
        <f t="shared" si="19"/>
        <v>1.6531719600000003</v>
      </c>
      <c r="R248" s="94" t="s">
        <v>543</v>
      </c>
    </row>
    <row r="249" spans="1:18" s="53" customFormat="1" x14ac:dyDescent="0.2">
      <c r="A249" s="94" t="s">
        <v>339</v>
      </c>
      <c r="B249" s="94" t="s">
        <v>234</v>
      </c>
      <c r="C249" s="94">
        <v>1600548</v>
      </c>
      <c r="D249" s="94" t="s">
        <v>387</v>
      </c>
      <c r="E249" s="94">
        <v>60</v>
      </c>
      <c r="F249" s="94">
        <v>60</v>
      </c>
      <c r="G249" s="94">
        <v>60</v>
      </c>
      <c r="H249" s="94"/>
      <c r="I249" s="95">
        <v>5250</v>
      </c>
      <c r="J249" s="95">
        <v>40453.078787736828</v>
      </c>
      <c r="K249" s="95">
        <v>51819.707500000004</v>
      </c>
      <c r="L249" s="95">
        <v>15202.371100000002</v>
      </c>
      <c r="M249" s="95">
        <v>119315.71604420702</v>
      </c>
      <c r="N249" s="95">
        <f t="shared" si="16"/>
        <v>24.271847272642095</v>
      </c>
      <c r="O249" s="95">
        <f t="shared" si="17"/>
        <v>31.091824500000001</v>
      </c>
      <c r="P249" s="95">
        <f t="shared" si="18"/>
        <v>9.1214226600000021</v>
      </c>
      <c r="Q249" s="95">
        <f t="shared" si="19"/>
        <v>40.213247160000002</v>
      </c>
      <c r="R249" s="94" t="s">
        <v>543</v>
      </c>
    </row>
    <row r="250" spans="1:18" s="53" customFormat="1" x14ac:dyDescent="0.2">
      <c r="A250" s="94" t="s">
        <v>339</v>
      </c>
      <c r="B250" s="94" t="s">
        <v>156</v>
      </c>
      <c r="C250" s="94">
        <v>1600750</v>
      </c>
      <c r="D250" s="94" t="s">
        <v>162</v>
      </c>
      <c r="E250" s="94">
        <v>2.2280000000000002</v>
      </c>
      <c r="F250" s="94">
        <v>0</v>
      </c>
      <c r="G250" s="94">
        <v>2.2280000000000002</v>
      </c>
      <c r="H250" s="94"/>
      <c r="I250" s="95">
        <v>5250</v>
      </c>
      <c r="J250" s="95">
        <v>57635.021231841689</v>
      </c>
      <c r="K250" s="95">
        <v>21605.039000000001</v>
      </c>
      <c r="L250" s="95">
        <v>16728.0088</v>
      </c>
      <c r="M250" s="95">
        <v>117152.95883928752</v>
      </c>
      <c r="N250" s="95">
        <f t="shared" si="16"/>
        <v>0</v>
      </c>
      <c r="O250" s="95">
        <f t="shared" si="17"/>
        <v>0</v>
      </c>
      <c r="P250" s="95">
        <f t="shared" si="18"/>
        <v>0.37270003606400004</v>
      </c>
      <c r="Q250" s="95">
        <f t="shared" si="19"/>
        <v>0.37270003606400004</v>
      </c>
      <c r="R250" s="94" t="s">
        <v>543</v>
      </c>
    </row>
    <row r="251" spans="1:18" s="53" customFormat="1" x14ac:dyDescent="0.2">
      <c r="A251" s="94" t="s">
        <v>339</v>
      </c>
      <c r="B251" s="94" t="s">
        <v>156</v>
      </c>
      <c r="C251" s="94">
        <v>1600752</v>
      </c>
      <c r="D251" s="94" t="s">
        <v>108</v>
      </c>
      <c r="E251" s="94">
        <v>5</v>
      </c>
      <c r="F251" s="94">
        <v>0</v>
      </c>
      <c r="G251" s="94">
        <v>5</v>
      </c>
      <c r="H251" s="94"/>
      <c r="I251" s="95">
        <v>5250</v>
      </c>
      <c r="J251" s="95">
        <v>57635.021231841689</v>
      </c>
      <c r="K251" s="95">
        <v>21605.039000000001</v>
      </c>
      <c r="L251" s="95">
        <v>27223.806099999998</v>
      </c>
      <c r="M251" s="95">
        <v>118517.62524142327</v>
      </c>
      <c r="N251" s="95">
        <f t="shared" si="16"/>
        <v>0</v>
      </c>
      <c r="O251" s="95">
        <f t="shared" si="17"/>
        <v>0</v>
      </c>
      <c r="P251" s="95">
        <f t="shared" si="18"/>
        <v>1.361190305</v>
      </c>
      <c r="Q251" s="95">
        <f t="shared" si="19"/>
        <v>1.361190305</v>
      </c>
      <c r="R251" s="94" t="s">
        <v>543</v>
      </c>
    </row>
    <row r="252" spans="1:18" s="53" customFormat="1" x14ac:dyDescent="0.2">
      <c r="A252" s="94" t="s">
        <v>339</v>
      </c>
      <c r="B252" s="94" t="s">
        <v>156</v>
      </c>
      <c r="C252" s="94">
        <v>1600756</v>
      </c>
      <c r="D252" s="94" t="s">
        <v>388</v>
      </c>
      <c r="E252" s="94">
        <v>1.44</v>
      </c>
      <c r="F252" s="94">
        <v>0</v>
      </c>
      <c r="G252" s="94">
        <v>1.44</v>
      </c>
      <c r="H252" s="94"/>
      <c r="I252" s="95">
        <v>5250</v>
      </c>
      <c r="J252" s="95">
        <v>57635.021231841689</v>
      </c>
      <c r="K252" s="95">
        <v>21605.039000000001</v>
      </c>
      <c r="L252" s="95">
        <v>23845.185099999999</v>
      </c>
      <c r="M252" s="95">
        <v>113283.5768439324</v>
      </c>
      <c r="N252" s="95">
        <f t="shared" si="16"/>
        <v>0</v>
      </c>
      <c r="O252" s="95">
        <f t="shared" si="17"/>
        <v>0</v>
      </c>
      <c r="P252" s="95">
        <f t="shared" si="18"/>
        <v>0.34337066543999994</v>
      </c>
      <c r="Q252" s="95">
        <f t="shared" si="19"/>
        <v>0.34337066543999994</v>
      </c>
      <c r="R252" s="94" t="s">
        <v>543</v>
      </c>
    </row>
    <row r="253" spans="1:18" s="53" customFormat="1" x14ac:dyDescent="0.2">
      <c r="A253" s="94" t="s">
        <v>339</v>
      </c>
      <c r="B253" s="94" t="s">
        <v>156</v>
      </c>
      <c r="C253" s="94">
        <v>1601227</v>
      </c>
      <c r="D253" s="94" t="s">
        <v>293</v>
      </c>
      <c r="E253" s="94">
        <v>0.65</v>
      </c>
      <c r="F253" s="94">
        <v>0</v>
      </c>
      <c r="G253" s="94">
        <v>0.65</v>
      </c>
      <c r="H253" s="94"/>
      <c r="I253" s="95">
        <v>5250</v>
      </c>
      <c r="J253" s="95">
        <v>57107.40209175479</v>
      </c>
      <c r="K253" s="95">
        <v>24775.323899999996</v>
      </c>
      <c r="L253" s="95">
        <v>27146.109700000001</v>
      </c>
      <c r="M253" s="95">
        <v>110690.47269614223</v>
      </c>
      <c r="N253" s="95">
        <f t="shared" si="16"/>
        <v>0</v>
      </c>
      <c r="O253" s="95">
        <f t="shared" si="17"/>
        <v>0</v>
      </c>
      <c r="P253" s="95">
        <f t="shared" si="18"/>
        <v>0.17644971305000004</v>
      </c>
      <c r="Q253" s="95">
        <f t="shared" si="19"/>
        <v>0.17644971305000004</v>
      </c>
      <c r="R253" s="94" t="s">
        <v>543</v>
      </c>
    </row>
    <row r="254" spans="1:18" s="53" customFormat="1" x14ac:dyDescent="0.2">
      <c r="A254" s="94" t="s">
        <v>339</v>
      </c>
      <c r="B254" s="94" t="s">
        <v>156</v>
      </c>
      <c r="C254" s="94">
        <v>1601159</v>
      </c>
      <c r="D254" s="94" t="s">
        <v>409</v>
      </c>
      <c r="E254" s="94">
        <v>3.9</v>
      </c>
      <c r="F254" s="94">
        <v>3.9</v>
      </c>
      <c r="G254" s="94">
        <v>3.9</v>
      </c>
      <c r="H254" s="94"/>
      <c r="I254" s="95"/>
      <c r="J254" s="95">
        <v>0</v>
      </c>
      <c r="K254" s="95">
        <v>31102.66</v>
      </c>
      <c r="L254" s="95">
        <v>27686.974679999999</v>
      </c>
      <c r="M254" s="95">
        <v>65565.974831029685</v>
      </c>
      <c r="N254" s="95">
        <f t="shared" si="16"/>
        <v>0</v>
      </c>
      <c r="O254" s="95">
        <f t="shared" si="17"/>
        <v>1.21300374</v>
      </c>
      <c r="P254" s="95">
        <f t="shared" si="18"/>
        <v>1.07979201252</v>
      </c>
      <c r="Q254" s="95">
        <f t="shared" si="19"/>
        <v>2.29279575252</v>
      </c>
      <c r="R254" s="94" t="s">
        <v>543</v>
      </c>
    </row>
    <row r="255" spans="1:18" s="53" customFormat="1" x14ac:dyDescent="0.2">
      <c r="A255" s="94" t="s">
        <v>339</v>
      </c>
      <c r="B255" s="94" t="s">
        <v>317</v>
      </c>
      <c r="C255" s="94">
        <v>1600521</v>
      </c>
      <c r="D255" s="94" t="s">
        <v>325</v>
      </c>
      <c r="E255" s="94">
        <v>36000</v>
      </c>
      <c r="F255" s="94">
        <v>0</v>
      </c>
      <c r="G255" s="94">
        <v>36000</v>
      </c>
      <c r="H255" s="94"/>
      <c r="I255" s="95"/>
      <c r="J255" s="95">
        <v>0</v>
      </c>
      <c r="K255" s="95">
        <v>14.300420500000001</v>
      </c>
      <c r="L255" s="95">
        <v>18.226042253521126</v>
      </c>
      <c r="M255" s="95">
        <v>36.706599447706637</v>
      </c>
      <c r="N255" s="95">
        <f t="shared" si="16"/>
        <v>0</v>
      </c>
      <c r="O255" s="95">
        <f t="shared" si="17"/>
        <v>0</v>
      </c>
      <c r="P255" s="95">
        <f t="shared" si="18"/>
        <v>6.5613752112676051</v>
      </c>
      <c r="Q255" s="95">
        <f t="shared" si="19"/>
        <v>6.5613752112676051</v>
      </c>
      <c r="R255" s="94" t="s">
        <v>543</v>
      </c>
    </row>
    <row r="256" spans="1:18" s="53" customFormat="1" x14ac:dyDescent="0.2">
      <c r="A256" s="94" t="s">
        <v>339</v>
      </c>
      <c r="B256" s="94" t="s">
        <v>158</v>
      </c>
      <c r="C256" s="94">
        <v>1600560</v>
      </c>
      <c r="D256" s="94" t="s">
        <v>218</v>
      </c>
      <c r="E256" s="94">
        <v>2.7505999999999999</v>
      </c>
      <c r="F256" s="94">
        <v>2.7505999999999999</v>
      </c>
      <c r="G256" s="94">
        <v>2.7505999999999999</v>
      </c>
      <c r="H256" s="94"/>
      <c r="I256" s="95"/>
      <c r="J256" s="95">
        <v>0</v>
      </c>
      <c r="K256" s="95">
        <v>31033.477899999994</v>
      </c>
      <c r="L256" s="95">
        <v>37311.389699999992</v>
      </c>
      <c r="M256" s="95">
        <v>84486.194557156559</v>
      </c>
      <c r="N256" s="95">
        <f t="shared" si="16"/>
        <v>0</v>
      </c>
      <c r="O256" s="95">
        <f t="shared" si="17"/>
        <v>0.85360684311739987</v>
      </c>
      <c r="P256" s="95">
        <f t="shared" si="18"/>
        <v>1.0262870850881998</v>
      </c>
      <c r="Q256" s="95">
        <f t="shared" si="19"/>
        <v>1.8798939282055995</v>
      </c>
      <c r="R256" s="94" t="s">
        <v>543</v>
      </c>
    </row>
    <row r="257" spans="1:18" s="53" customFormat="1" x14ac:dyDescent="0.2">
      <c r="A257" s="94" t="s">
        <v>339</v>
      </c>
      <c r="B257" s="94" t="s">
        <v>158</v>
      </c>
      <c r="C257" s="94">
        <v>1600561</v>
      </c>
      <c r="D257" s="94" t="s">
        <v>312</v>
      </c>
      <c r="E257" s="94">
        <v>3.1840349999999997</v>
      </c>
      <c r="F257" s="94">
        <v>3.1840349999999997</v>
      </c>
      <c r="G257" s="94">
        <v>3.1840349999999997</v>
      </c>
      <c r="H257" s="94"/>
      <c r="I257" s="95"/>
      <c r="J257" s="95">
        <v>0</v>
      </c>
      <c r="K257" s="95">
        <v>31033.477899999994</v>
      </c>
      <c r="L257" s="95">
        <v>13437.9413</v>
      </c>
      <c r="M257" s="95">
        <v>60281.989257733963</v>
      </c>
      <c r="N257" s="95">
        <f t="shared" si="16"/>
        <v>0</v>
      </c>
      <c r="O257" s="95">
        <f t="shared" si="17"/>
        <v>0.9881167980532648</v>
      </c>
      <c r="P257" s="95">
        <f t="shared" si="18"/>
        <v>0.42786875427145499</v>
      </c>
      <c r="Q257" s="95">
        <f t="shared" si="19"/>
        <v>1.4159855523247198</v>
      </c>
      <c r="R257" s="94" t="s">
        <v>543</v>
      </c>
    </row>
    <row r="258" spans="1:18" s="53" customFormat="1" x14ac:dyDescent="0.2">
      <c r="A258" s="94" t="s">
        <v>339</v>
      </c>
      <c r="B258" s="94" t="s">
        <v>158</v>
      </c>
      <c r="C258" s="94">
        <v>1601137</v>
      </c>
      <c r="D258" s="94" t="s">
        <v>410</v>
      </c>
      <c r="E258" s="94">
        <v>6.1248000000000005</v>
      </c>
      <c r="F258" s="94">
        <v>6.1248000000000005</v>
      </c>
      <c r="G258" s="94">
        <v>6.1248000000000005</v>
      </c>
      <c r="H258" s="94"/>
      <c r="I258" s="95"/>
      <c r="J258" s="95">
        <v>0</v>
      </c>
      <c r="K258" s="95">
        <v>31033.477899999994</v>
      </c>
      <c r="L258" s="95">
        <v>10816.672879999998</v>
      </c>
      <c r="M258" s="95">
        <v>57559.74491233837</v>
      </c>
      <c r="N258" s="95">
        <f t="shared" si="16"/>
        <v>0</v>
      </c>
      <c r="O258" s="95">
        <f t="shared" si="17"/>
        <v>1.9007384544191999</v>
      </c>
      <c r="P258" s="95">
        <f t="shared" si="18"/>
        <v>0.66249958055423996</v>
      </c>
      <c r="Q258" s="95">
        <f t="shared" si="19"/>
        <v>2.5632380349734398</v>
      </c>
      <c r="R258" s="94" t="s">
        <v>543</v>
      </c>
    </row>
    <row r="259" spans="1:18" s="53" customFormat="1" x14ac:dyDescent="0.2">
      <c r="A259" s="94" t="s">
        <v>339</v>
      </c>
      <c r="B259" s="94" t="s">
        <v>158</v>
      </c>
      <c r="C259" s="94">
        <v>1601139</v>
      </c>
      <c r="D259" s="94" t="s">
        <v>411</v>
      </c>
      <c r="E259" s="94">
        <v>4.5674999999999999</v>
      </c>
      <c r="F259" s="94">
        <v>4.5674999999999999</v>
      </c>
      <c r="G259" s="94">
        <v>4.5674999999999999</v>
      </c>
      <c r="H259" s="94"/>
      <c r="I259" s="95"/>
      <c r="J259" s="95">
        <v>0</v>
      </c>
      <c r="K259" s="95">
        <v>31033.477899999994</v>
      </c>
      <c r="L259" s="95">
        <v>10816.672879999998</v>
      </c>
      <c r="M259" s="95">
        <v>57559.74491233837</v>
      </c>
      <c r="N259" s="95">
        <f t="shared" si="16"/>
        <v>0</v>
      </c>
      <c r="O259" s="95">
        <f t="shared" si="17"/>
        <v>1.4174541030824996</v>
      </c>
      <c r="P259" s="95">
        <f t="shared" si="18"/>
        <v>0.49405153379399991</v>
      </c>
      <c r="Q259" s="95">
        <f t="shared" si="19"/>
        <v>1.9115056368764995</v>
      </c>
      <c r="R259" s="94" t="s">
        <v>543</v>
      </c>
    </row>
    <row r="260" spans="1:18" s="53" customFormat="1" x14ac:dyDescent="0.2">
      <c r="A260" s="94" t="s">
        <v>338</v>
      </c>
      <c r="B260" s="94" t="s">
        <v>234</v>
      </c>
      <c r="C260" s="94">
        <v>1600548</v>
      </c>
      <c r="D260" s="94" t="s">
        <v>387</v>
      </c>
      <c r="E260" s="94">
        <v>60</v>
      </c>
      <c r="F260" s="94">
        <v>60</v>
      </c>
      <c r="G260" s="94">
        <v>0</v>
      </c>
      <c r="H260" s="94"/>
      <c r="I260" s="95">
        <v>5250</v>
      </c>
      <c r="J260" s="95">
        <v>40453.078787736828</v>
      </c>
      <c r="K260" s="95">
        <v>51819.707500000004</v>
      </c>
      <c r="L260" s="95">
        <v>15202.371100000002</v>
      </c>
      <c r="M260" s="95">
        <v>119315.71604420702</v>
      </c>
      <c r="N260" s="95">
        <f t="shared" si="16"/>
        <v>24.271847272642095</v>
      </c>
      <c r="O260" s="95">
        <f t="shared" si="17"/>
        <v>31.091824500000001</v>
      </c>
      <c r="P260" s="95">
        <f t="shared" si="18"/>
        <v>0</v>
      </c>
      <c r="Q260" s="95">
        <f t="shared" si="19"/>
        <v>31.091824500000001</v>
      </c>
      <c r="R260" s="94" t="s">
        <v>543</v>
      </c>
    </row>
    <row r="261" spans="1:18" s="53" customFormat="1" x14ac:dyDescent="0.2">
      <c r="A261" s="94" t="s">
        <v>338</v>
      </c>
      <c r="B261" s="94" t="s">
        <v>158</v>
      </c>
      <c r="C261" s="94">
        <v>1600767</v>
      </c>
      <c r="D261" s="94" t="s">
        <v>262</v>
      </c>
      <c r="E261" s="94">
        <v>49</v>
      </c>
      <c r="F261" s="94">
        <v>49</v>
      </c>
      <c r="G261" s="94">
        <v>49</v>
      </c>
      <c r="H261" s="94"/>
      <c r="I261" s="95">
        <v>5250</v>
      </c>
      <c r="J261" s="95">
        <v>39664.868233284593</v>
      </c>
      <c r="K261" s="95">
        <v>7150.8424999999997</v>
      </c>
      <c r="L261" s="95">
        <v>6873.6892765153834</v>
      </c>
      <c r="M261" s="95">
        <v>56445.99917325256</v>
      </c>
      <c r="N261" s="95">
        <f t="shared" si="16"/>
        <v>19.435785434309452</v>
      </c>
      <c r="O261" s="95">
        <f t="shared" si="17"/>
        <v>3.5039128249999996</v>
      </c>
      <c r="P261" s="95">
        <f t="shared" si="18"/>
        <v>3.3681077454925381</v>
      </c>
      <c r="Q261" s="95">
        <f t="shared" si="19"/>
        <v>6.8720205704925377</v>
      </c>
      <c r="R261" s="94" t="s">
        <v>543</v>
      </c>
    </row>
    <row r="262" spans="1:18" s="53" customFormat="1" x14ac:dyDescent="0.2">
      <c r="A262" s="94" t="s">
        <v>338</v>
      </c>
      <c r="B262" s="94" t="s">
        <v>158</v>
      </c>
      <c r="C262" s="94">
        <v>1600859</v>
      </c>
      <c r="D262" s="94" t="s">
        <v>213</v>
      </c>
      <c r="E262" s="94">
        <v>90</v>
      </c>
      <c r="F262" s="94">
        <v>90</v>
      </c>
      <c r="G262" s="94">
        <v>90</v>
      </c>
      <c r="H262" s="94"/>
      <c r="I262" s="95">
        <v>5250</v>
      </c>
      <c r="J262" s="95">
        <v>37035.942383117996</v>
      </c>
      <c r="K262" s="95">
        <v>7161.2740999999996</v>
      </c>
      <c r="L262" s="95">
        <v>6758.1101448265381</v>
      </c>
      <c r="M262" s="95">
        <v>57717.885093941019</v>
      </c>
      <c r="N262" s="95">
        <f t="shared" si="16"/>
        <v>33.332348144806197</v>
      </c>
      <c r="O262" s="95">
        <f t="shared" si="17"/>
        <v>6.4451466899999996</v>
      </c>
      <c r="P262" s="95">
        <f t="shared" si="18"/>
        <v>6.082299130343884</v>
      </c>
      <c r="Q262" s="95">
        <f t="shared" si="19"/>
        <v>12.527445820343884</v>
      </c>
      <c r="R262" s="94" t="s">
        <v>543</v>
      </c>
    </row>
    <row r="263" spans="1:18" s="53" customFormat="1" x14ac:dyDescent="0.2">
      <c r="A263" s="94" t="s">
        <v>338</v>
      </c>
      <c r="B263" s="94" t="s">
        <v>158</v>
      </c>
      <c r="C263" s="94">
        <v>1600027</v>
      </c>
      <c r="D263" s="94" t="s">
        <v>165</v>
      </c>
      <c r="E263" s="94">
        <v>5</v>
      </c>
      <c r="F263" s="94">
        <v>5</v>
      </c>
      <c r="G263" s="94">
        <v>5</v>
      </c>
      <c r="H263" s="94"/>
      <c r="I263" s="95">
        <v>5250</v>
      </c>
      <c r="J263" s="95">
        <v>39664.868233284593</v>
      </c>
      <c r="K263" s="95">
        <v>7150.8424999999997</v>
      </c>
      <c r="L263" s="95">
        <v>6853.4841000000006</v>
      </c>
      <c r="M263" s="95">
        <v>56876.674073252558</v>
      </c>
      <c r="N263" s="95">
        <f t="shared" si="16"/>
        <v>1.9832434116642297</v>
      </c>
      <c r="O263" s="95">
        <f t="shared" si="17"/>
        <v>0.35754212499999999</v>
      </c>
      <c r="P263" s="95">
        <f t="shared" si="18"/>
        <v>0.34267420500000001</v>
      </c>
      <c r="Q263" s="95">
        <f t="shared" si="19"/>
        <v>0.70021632999999994</v>
      </c>
      <c r="R263" s="94" t="s">
        <v>543</v>
      </c>
    </row>
    <row r="264" spans="1:18" s="53" customFormat="1" x14ac:dyDescent="0.2">
      <c r="A264" s="94" t="s">
        <v>338</v>
      </c>
      <c r="B264" s="94" t="s">
        <v>158</v>
      </c>
      <c r="C264" s="94">
        <v>1600864</v>
      </c>
      <c r="D264" s="94" t="s">
        <v>274</v>
      </c>
      <c r="E264" s="94">
        <v>20</v>
      </c>
      <c r="F264" s="94">
        <v>20</v>
      </c>
      <c r="G264" s="94">
        <v>20</v>
      </c>
      <c r="H264" s="94"/>
      <c r="I264" s="95">
        <v>5250</v>
      </c>
      <c r="J264" s="95">
        <v>39664.868233284593</v>
      </c>
      <c r="K264" s="95">
        <v>7150.8424999999997</v>
      </c>
      <c r="L264" s="95">
        <v>5234.9908999999998</v>
      </c>
      <c r="M264" s="95">
        <v>55258.180873252553</v>
      </c>
      <c r="N264" s="95">
        <f t="shared" si="16"/>
        <v>7.9329736466569187</v>
      </c>
      <c r="O264" s="95">
        <f t="shared" si="17"/>
        <v>1.4301685</v>
      </c>
      <c r="P264" s="95">
        <f t="shared" si="18"/>
        <v>1.0469981799999999</v>
      </c>
      <c r="Q264" s="95">
        <f t="shared" si="19"/>
        <v>2.4771666799999998</v>
      </c>
      <c r="R264" s="94" t="s">
        <v>543</v>
      </c>
    </row>
    <row r="265" spans="1:18" s="53" customFormat="1" x14ac:dyDescent="0.2">
      <c r="A265" s="94" t="s">
        <v>338</v>
      </c>
      <c r="B265" s="94" t="s">
        <v>158</v>
      </c>
      <c r="C265" s="94">
        <v>1600926</v>
      </c>
      <c r="D265" s="94" t="s">
        <v>263</v>
      </c>
      <c r="E265" s="94">
        <v>47</v>
      </c>
      <c r="F265" s="94">
        <v>47</v>
      </c>
      <c r="G265" s="94">
        <v>47</v>
      </c>
      <c r="H265" s="94"/>
      <c r="I265" s="95">
        <v>5250</v>
      </c>
      <c r="J265" s="95">
        <v>39664.868233284593</v>
      </c>
      <c r="K265" s="95">
        <v>7150.8424999999997</v>
      </c>
      <c r="L265" s="95">
        <v>5468.3885000000009</v>
      </c>
      <c r="M265" s="95">
        <v>55491.578473252557</v>
      </c>
      <c r="N265" s="95">
        <f t="shared" si="16"/>
        <v>18.642488069643758</v>
      </c>
      <c r="O265" s="95">
        <f t="shared" si="17"/>
        <v>3.3608959749999996</v>
      </c>
      <c r="P265" s="95">
        <f t="shared" si="18"/>
        <v>2.5701425950000005</v>
      </c>
      <c r="Q265" s="95">
        <f t="shared" si="19"/>
        <v>5.9310385700000001</v>
      </c>
      <c r="R265" s="94" t="s">
        <v>543</v>
      </c>
    </row>
    <row r="266" spans="1:18" s="53" customFormat="1" x14ac:dyDescent="0.2">
      <c r="A266" s="94" t="s">
        <v>338</v>
      </c>
      <c r="B266" s="94" t="s">
        <v>158</v>
      </c>
      <c r="C266" s="94">
        <v>1600924</v>
      </c>
      <c r="D266" s="94" t="s">
        <v>113</v>
      </c>
      <c r="E266" s="94">
        <v>45</v>
      </c>
      <c r="F266" s="94">
        <v>45</v>
      </c>
      <c r="G266" s="94">
        <v>45</v>
      </c>
      <c r="H266" s="94"/>
      <c r="I266" s="95">
        <v>5250</v>
      </c>
      <c r="J266" s="95">
        <v>39664.868233284593</v>
      </c>
      <c r="K266" s="95">
        <v>7150.8424999999997</v>
      </c>
      <c r="L266" s="95">
        <v>5703.3971999999994</v>
      </c>
      <c r="M266" s="95">
        <v>55726.587173252556</v>
      </c>
      <c r="N266" s="95">
        <f t="shared" si="16"/>
        <v>17.849190704978067</v>
      </c>
      <c r="O266" s="95">
        <f t="shared" si="17"/>
        <v>3.2178791249999996</v>
      </c>
      <c r="P266" s="95">
        <f t="shared" si="18"/>
        <v>2.5665287399999999</v>
      </c>
      <c r="Q266" s="95">
        <f t="shared" si="19"/>
        <v>5.7844078649999995</v>
      </c>
      <c r="R266" s="94" t="s">
        <v>543</v>
      </c>
    </row>
    <row r="267" spans="1:18" s="53" customFormat="1" x14ac:dyDescent="0.2">
      <c r="A267" s="94" t="s">
        <v>338</v>
      </c>
      <c r="B267" s="94" t="s">
        <v>158</v>
      </c>
      <c r="C267" s="94">
        <v>1600934</v>
      </c>
      <c r="D267" s="94" t="s">
        <v>170</v>
      </c>
      <c r="E267" s="94">
        <v>25</v>
      </c>
      <c r="F267" s="94">
        <v>25</v>
      </c>
      <c r="G267" s="94">
        <v>25</v>
      </c>
      <c r="H267" s="94"/>
      <c r="I267" s="95">
        <v>5250</v>
      </c>
      <c r="J267" s="95">
        <v>39982.416089698076</v>
      </c>
      <c r="K267" s="95">
        <v>8017.9224999999988</v>
      </c>
      <c r="L267" s="95">
        <v>6376.6502</v>
      </c>
      <c r="M267" s="95">
        <v>57532.267232852457</v>
      </c>
      <c r="N267" s="95">
        <f t="shared" si="16"/>
        <v>9.9956040224245193</v>
      </c>
      <c r="O267" s="95">
        <f t="shared" si="17"/>
        <v>2.0044806249999998</v>
      </c>
      <c r="P267" s="95">
        <f t="shared" si="18"/>
        <v>1.5941625500000001</v>
      </c>
      <c r="Q267" s="95">
        <f t="shared" si="19"/>
        <v>3.5986431749999999</v>
      </c>
      <c r="R267" s="94" t="s">
        <v>543</v>
      </c>
    </row>
    <row r="268" spans="1:18" s="53" customFormat="1" x14ac:dyDescent="0.2">
      <c r="A268" s="94" t="s">
        <v>338</v>
      </c>
      <c r="B268" s="94" t="s">
        <v>158</v>
      </c>
      <c r="C268" s="94">
        <v>1600939</v>
      </c>
      <c r="D268" s="94" t="s">
        <v>172</v>
      </c>
      <c r="E268" s="94">
        <v>3</v>
      </c>
      <c r="F268" s="94">
        <v>3</v>
      </c>
      <c r="G268" s="94">
        <v>3</v>
      </c>
      <c r="H268" s="94"/>
      <c r="I268" s="95">
        <v>5250</v>
      </c>
      <c r="J268" s="95">
        <v>39982.416089698076</v>
      </c>
      <c r="K268" s="95">
        <v>8017.9224999999988</v>
      </c>
      <c r="L268" s="95">
        <v>9164.1308000000008</v>
      </c>
      <c r="M268" s="95">
        <v>60319.747832852459</v>
      </c>
      <c r="N268" s="95">
        <f t="shared" si="16"/>
        <v>1.1994724826909422</v>
      </c>
      <c r="O268" s="95">
        <f t="shared" si="17"/>
        <v>0.24053767499999995</v>
      </c>
      <c r="P268" s="95">
        <f t="shared" si="18"/>
        <v>0.27492392400000004</v>
      </c>
      <c r="Q268" s="95">
        <f t="shared" si="19"/>
        <v>0.51546159899999999</v>
      </c>
      <c r="R268" s="94" t="s">
        <v>543</v>
      </c>
    </row>
    <row r="269" spans="1:18" s="53" customFormat="1" x14ac:dyDescent="0.2">
      <c r="A269" s="94" t="s">
        <v>338</v>
      </c>
      <c r="B269" s="94" t="s">
        <v>158</v>
      </c>
      <c r="C269" s="94">
        <v>1601083</v>
      </c>
      <c r="D269" s="94" t="s">
        <v>398</v>
      </c>
      <c r="E269" s="94">
        <v>22</v>
      </c>
      <c r="F269" s="94">
        <v>22</v>
      </c>
      <c r="G269" s="94">
        <v>22</v>
      </c>
      <c r="H269" s="94"/>
      <c r="I269" s="95">
        <v>5250</v>
      </c>
      <c r="J269" s="95">
        <v>37031.414711934449</v>
      </c>
      <c r="K269" s="95">
        <v>8352.8057799999988</v>
      </c>
      <c r="L269" s="95">
        <v>6459.5489200000002</v>
      </c>
      <c r="M269" s="95">
        <v>56974.476113402314</v>
      </c>
      <c r="N269" s="95">
        <f t="shared" si="16"/>
        <v>8.1469112366255789</v>
      </c>
      <c r="O269" s="95">
        <f t="shared" si="17"/>
        <v>1.8376172715999999</v>
      </c>
      <c r="P269" s="95">
        <f t="shared" si="18"/>
        <v>1.4211007624000001</v>
      </c>
      <c r="Q269" s="95">
        <f t="shared" si="19"/>
        <v>3.2587180340000002</v>
      </c>
      <c r="R269" s="94" t="s">
        <v>543</v>
      </c>
    </row>
    <row r="270" spans="1:18" s="53" customFormat="1" x14ac:dyDescent="0.2">
      <c r="A270" s="94" t="s">
        <v>338</v>
      </c>
      <c r="B270" s="94" t="s">
        <v>158</v>
      </c>
      <c r="C270" s="94">
        <v>1601006</v>
      </c>
      <c r="D270" s="94" t="s">
        <v>173</v>
      </c>
      <c r="E270" s="94">
        <v>80</v>
      </c>
      <c r="F270" s="94">
        <v>80</v>
      </c>
      <c r="G270" s="94">
        <v>80</v>
      </c>
      <c r="H270" s="94"/>
      <c r="I270" s="95">
        <v>5250</v>
      </c>
      <c r="J270" s="95">
        <v>34657.728141811342</v>
      </c>
      <c r="K270" s="95">
        <v>12466.7855</v>
      </c>
      <c r="L270" s="95">
        <v>8817.3902999999991</v>
      </c>
      <c r="M270" s="95">
        <v>58869.872476390279</v>
      </c>
      <c r="N270" s="95">
        <f t="shared" si="16"/>
        <v>27.726182513449071</v>
      </c>
      <c r="O270" s="95">
        <f t="shared" si="17"/>
        <v>9.9734283999999995</v>
      </c>
      <c r="P270" s="95">
        <f t="shared" si="18"/>
        <v>7.0539122399999989</v>
      </c>
      <c r="Q270" s="95">
        <f t="shared" si="19"/>
        <v>17.027340639999998</v>
      </c>
      <c r="R270" s="94" t="s">
        <v>543</v>
      </c>
    </row>
    <row r="271" spans="1:18" s="53" customFormat="1" x14ac:dyDescent="0.2">
      <c r="A271" s="94" t="s">
        <v>338</v>
      </c>
      <c r="B271" s="94" t="s">
        <v>158</v>
      </c>
      <c r="C271" s="94">
        <v>1600768</v>
      </c>
      <c r="D271" s="94" t="s">
        <v>174</v>
      </c>
      <c r="E271" s="94">
        <v>20</v>
      </c>
      <c r="F271" s="94">
        <v>20</v>
      </c>
      <c r="G271" s="94">
        <v>20</v>
      </c>
      <c r="H271" s="94"/>
      <c r="I271" s="95">
        <v>5250</v>
      </c>
      <c r="J271" s="95">
        <v>37513.808053094799</v>
      </c>
      <c r="K271" s="95">
        <v>11010.993329999999</v>
      </c>
      <c r="L271" s="95">
        <v>6218.9601999999995</v>
      </c>
      <c r="M271" s="95">
        <v>57781.4863539668</v>
      </c>
      <c r="N271" s="95">
        <f t="shared" si="16"/>
        <v>7.5027616106189603</v>
      </c>
      <c r="O271" s="95">
        <f t="shared" si="17"/>
        <v>2.2021986659999997</v>
      </c>
      <c r="P271" s="95">
        <f t="shared" si="18"/>
        <v>1.24379204</v>
      </c>
      <c r="Q271" s="95">
        <f t="shared" si="19"/>
        <v>3.4459907059999999</v>
      </c>
      <c r="R271" s="94" t="s">
        <v>543</v>
      </c>
    </row>
    <row r="272" spans="1:18" s="53" customFormat="1" x14ac:dyDescent="0.2">
      <c r="A272" s="94" t="s">
        <v>338</v>
      </c>
      <c r="B272" s="94" t="s">
        <v>158</v>
      </c>
      <c r="C272" s="94">
        <v>1600492</v>
      </c>
      <c r="D272" s="94" t="s">
        <v>324</v>
      </c>
      <c r="E272" s="94">
        <v>8</v>
      </c>
      <c r="F272" s="94">
        <v>8</v>
      </c>
      <c r="G272" s="94">
        <v>8</v>
      </c>
      <c r="H272" s="94"/>
      <c r="I272" s="95">
        <v>5250</v>
      </c>
      <c r="J272" s="95">
        <v>37513.808053094799</v>
      </c>
      <c r="K272" s="95">
        <v>11000.355830000002</v>
      </c>
      <c r="L272" s="95">
        <v>9201.130799999999</v>
      </c>
      <c r="M272" s="95">
        <v>60675.758843264943</v>
      </c>
      <c r="N272" s="95">
        <f t="shared" si="16"/>
        <v>3.0011046442475839</v>
      </c>
      <c r="O272" s="95">
        <f t="shared" si="17"/>
        <v>0.88002846640000021</v>
      </c>
      <c r="P272" s="95">
        <f t="shared" si="18"/>
        <v>0.73609046399999989</v>
      </c>
      <c r="Q272" s="95">
        <f t="shared" si="19"/>
        <v>1.6161189304000001</v>
      </c>
      <c r="R272" s="94" t="s">
        <v>543</v>
      </c>
    </row>
    <row r="273" spans="1:18" s="53" customFormat="1" x14ac:dyDescent="0.2">
      <c r="A273" s="94" t="s">
        <v>338</v>
      </c>
      <c r="B273" s="94" t="s">
        <v>158</v>
      </c>
      <c r="C273" s="94">
        <v>1600972</v>
      </c>
      <c r="D273" s="94" t="s">
        <v>115</v>
      </c>
      <c r="E273" s="94">
        <v>55</v>
      </c>
      <c r="F273" s="94">
        <v>55</v>
      </c>
      <c r="G273" s="94">
        <v>55</v>
      </c>
      <c r="H273" s="94"/>
      <c r="I273" s="95">
        <v>5250</v>
      </c>
      <c r="J273" s="95">
        <v>37513.808053094799</v>
      </c>
      <c r="K273" s="95">
        <v>11010.993330000001</v>
      </c>
      <c r="L273" s="95">
        <v>5786.1561000000002</v>
      </c>
      <c r="M273" s="95">
        <v>57348.682253966806</v>
      </c>
      <c r="N273" s="95">
        <f t="shared" si="16"/>
        <v>20.63259442920214</v>
      </c>
      <c r="O273" s="95">
        <f t="shared" si="17"/>
        <v>6.0560463315000002</v>
      </c>
      <c r="P273" s="95">
        <f t="shared" si="18"/>
        <v>3.1823858549999997</v>
      </c>
      <c r="Q273" s="95">
        <f t="shared" si="19"/>
        <v>9.238432186499999</v>
      </c>
      <c r="R273" s="94" t="s">
        <v>543</v>
      </c>
    </row>
    <row r="274" spans="1:18" s="53" customFormat="1" x14ac:dyDescent="0.2">
      <c r="A274" s="94" t="s">
        <v>338</v>
      </c>
      <c r="B274" s="94" t="s">
        <v>158</v>
      </c>
      <c r="C274" s="94">
        <v>1600866</v>
      </c>
      <c r="D274" s="94" t="s">
        <v>116</v>
      </c>
      <c r="E274" s="94">
        <v>84</v>
      </c>
      <c r="F274" s="94">
        <v>84</v>
      </c>
      <c r="G274" s="94">
        <v>84</v>
      </c>
      <c r="H274" s="94"/>
      <c r="I274" s="95">
        <v>5250</v>
      </c>
      <c r="J274" s="95">
        <v>37513.808053094799</v>
      </c>
      <c r="K274" s="95">
        <v>11010.993329999999</v>
      </c>
      <c r="L274" s="95">
        <v>5595.1198999999997</v>
      </c>
      <c r="M274" s="95">
        <v>57157.646053966797</v>
      </c>
      <c r="N274" s="95">
        <f t="shared" ref="N274:N337" si="20">$F274*J274/100000</f>
        <v>31.511598764599633</v>
      </c>
      <c r="O274" s="95">
        <f t="shared" ref="O274:O337" si="21">F274*K274/100000</f>
        <v>9.2492343971999986</v>
      </c>
      <c r="P274" s="95">
        <f t="shared" ref="P274:P337" si="22">L274*G274/100000</f>
        <v>4.6999007159999993</v>
      </c>
      <c r="Q274" s="95">
        <f t="shared" ref="Q274:Q337" si="23">O274+P274</f>
        <v>13.949135113199997</v>
      </c>
      <c r="R274" s="94" t="s">
        <v>543</v>
      </c>
    </row>
    <row r="275" spans="1:18" s="53" customFormat="1" x14ac:dyDescent="0.2">
      <c r="A275" s="94" t="s">
        <v>338</v>
      </c>
      <c r="B275" s="94" t="s">
        <v>158</v>
      </c>
      <c r="C275" s="94">
        <v>1600927</v>
      </c>
      <c r="D275" s="94" t="s">
        <v>176</v>
      </c>
      <c r="E275" s="94">
        <v>58</v>
      </c>
      <c r="F275" s="94">
        <v>58</v>
      </c>
      <c r="G275" s="94">
        <v>58</v>
      </c>
      <c r="H275" s="94"/>
      <c r="I275" s="95">
        <v>5250</v>
      </c>
      <c r="J275" s="95">
        <v>35027.4511301639</v>
      </c>
      <c r="K275" s="95">
        <v>11021.024580000001</v>
      </c>
      <c r="L275" s="95">
        <v>5478.5725000000002</v>
      </c>
      <c r="M275" s="95">
        <v>56467.698878696494</v>
      </c>
      <c r="N275" s="95">
        <f t="shared" si="20"/>
        <v>20.31592165549506</v>
      </c>
      <c r="O275" s="95">
        <f t="shared" si="21"/>
        <v>6.3921942564000007</v>
      </c>
      <c r="P275" s="95">
        <f t="shared" si="22"/>
        <v>3.1775720500000002</v>
      </c>
      <c r="Q275" s="95">
        <f t="shared" si="23"/>
        <v>9.5697663064000018</v>
      </c>
      <c r="R275" s="94" t="s">
        <v>543</v>
      </c>
    </row>
    <row r="276" spans="1:18" s="53" customFormat="1" x14ac:dyDescent="0.2">
      <c r="A276" s="94" t="s">
        <v>338</v>
      </c>
      <c r="B276" s="94" t="s">
        <v>158</v>
      </c>
      <c r="C276" s="94">
        <v>1600925</v>
      </c>
      <c r="D276" s="94" t="s">
        <v>117</v>
      </c>
      <c r="E276" s="94">
        <v>46</v>
      </c>
      <c r="F276" s="94">
        <v>35</v>
      </c>
      <c r="G276" s="94">
        <v>46</v>
      </c>
      <c r="H276" s="94"/>
      <c r="I276" s="95">
        <v>5250</v>
      </c>
      <c r="J276" s="95">
        <v>35027.4511301639</v>
      </c>
      <c r="K276" s="95">
        <v>11021.024580000001</v>
      </c>
      <c r="L276" s="95">
        <v>6287.1519000000008</v>
      </c>
      <c r="M276" s="95">
        <v>57188.684930465279</v>
      </c>
      <c r="N276" s="95">
        <f t="shared" si="20"/>
        <v>12.259607895557366</v>
      </c>
      <c r="O276" s="95">
        <f t="shared" si="21"/>
        <v>3.8573586030000007</v>
      </c>
      <c r="P276" s="95">
        <f t="shared" si="22"/>
        <v>2.8920898740000003</v>
      </c>
      <c r="Q276" s="95">
        <f t="shared" si="23"/>
        <v>6.7494484770000014</v>
      </c>
      <c r="R276" s="94" t="s">
        <v>543</v>
      </c>
    </row>
    <row r="277" spans="1:18" s="53" customFormat="1" x14ac:dyDescent="0.2">
      <c r="A277" s="94" t="s">
        <v>338</v>
      </c>
      <c r="B277" s="94" t="s">
        <v>158</v>
      </c>
      <c r="C277" s="94">
        <v>1600770</v>
      </c>
      <c r="D277" s="94" t="s">
        <v>264</v>
      </c>
      <c r="E277" s="94">
        <v>15</v>
      </c>
      <c r="F277" s="94">
        <v>15</v>
      </c>
      <c r="G277" s="94">
        <v>15</v>
      </c>
      <c r="H277" s="94"/>
      <c r="I277" s="95">
        <v>5250</v>
      </c>
      <c r="J277" s="95">
        <v>40223.121646010943</v>
      </c>
      <c r="K277" s="95">
        <v>6860.0286000000006</v>
      </c>
      <c r="L277" s="95">
        <v>6262.6252000000004</v>
      </c>
      <c r="M277" s="95">
        <v>56597.310176648636</v>
      </c>
      <c r="N277" s="95">
        <f t="shared" si="20"/>
        <v>6.0334682469016414</v>
      </c>
      <c r="O277" s="95">
        <f t="shared" si="21"/>
        <v>1.02900429</v>
      </c>
      <c r="P277" s="95">
        <f t="shared" si="22"/>
        <v>0.93939378000000007</v>
      </c>
      <c r="Q277" s="95">
        <f t="shared" si="23"/>
        <v>1.9683980700000001</v>
      </c>
      <c r="R277" s="94" t="s">
        <v>543</v>
      </c>
    </row>
    <row r="278" spans="1:18" s="53" customFormat="1" x14ac:dyDescent="0.2">
      <c r="A278" s="94" t="s">
        <v>338</v>
      </c>
      <c r="B278" s="94" t="s">
        <v>158</v>
      </c>
      <c r="C278" s="94">
        <v>1600062</v>
      </c>
      <c r="D278" s="94" t="s">
        <v>129</v>
      </c>
      <c r="E278" s="94">
        <v>10</v>
      </c>
      <c r="F278" s="94">
        <v>10</v>
      </c>
      <c r="G278" s="94">
        <v>10</v>
      </c>
      <c r="H278" s="94"/>
      <c r="I278" s="95">
        <v>5250</v>
      </c>
      <c r="J278" s="95">
        <v>40223.121646010943</v>
      </c>
      <c r="K278" s="95">
        <v>6860.0286000000006</v>
      </c>
      <c r="L278" s="95">
        <v>6950.6201000000001</v>
      </c>
      <c r="M278" s="95">
        <v>57208.044465946776</v>
      </c>
      <c r="N278" s="95">
        <f t="shared" si="20"/>
        <v>4.0223121646010949</v>
      </c>
      <c r="O278" s="95">
        <f t="shared" si="21"/>
        <v>0.6860028600000001</v>
      </c>
      <c r="P278" s="95">
        <f t="shared" si="22"/>
        <v>0.69506201000000001</v>
      </c>
      <c r="Q278" s="95">
        <f t="shared" si="23"/>
        <v>1.3810648700000001</v>
      </c>
      <c r="R278" s="94" t="s">
        <v>543</v>
      </c>
    </row>
    <row r="279" spans="1:18" s="53" customFormat="1" x14ac:dyDescent="0.2">
      <c r="A279" s="94" t="s">
        <v>338</v>
      </c>
      <c r="B279" s="94" t="s">
        <v>158</v>
      </c>
      <c r="C279" s="94">
        <v>1600974</v>
      </c>
      <c r="D279" s="94" t="s">
        <v>399</v>
      </c>
      <c r="E279" s="94">
        <v>30</v>
      </c>
      <c r="F279" s="94">
        <v>30</v>
      </c>
      <c r="G279" s="94">
        <v>30</v>
      </c>
      <c r="H279" s="94"/>
      <c r="I279" s="95">
        <v>5250</v>
      </c>
      <c r="J279" s="95">
        <v>40103.555201795272</v>
      </c>
      <c r="K279" s="95">
        <v>7509.263280000001</v>
      </c>
      <c r="L279" s="95">
        <v>5806.1511</v>
      </c>
      <c r="M279" s="95">
        <v>56661.068528884723</v>
      </c>
      <c r="N279" s="95">
        <f t="shared" si="20"/>
        <v>12.031066560538582</v>
      </c>
      <c r="O279" s="95">
        <f t="shared" si="21"/>
        <v>2.2527789840000003</v>
      </c>
      <c r="P279" s="95">
        <f t="shared" si="22"/>
        <v>1.7418453299999999</v>
      </c>
      <c r="Q279" s="95">
        <f t="shared" si="23"/>
        <v>3.9946243140000002</v>
      </c>
      <c r="R279" s="94" t="s">
        <v>543</v>
      </c>
    </row>
    <row r="280" spans="1:18" s="53" customFormat="1" x14ac:dyDescent="0.2">
      <c r="A280" s="94" t="s">
        <v>338</v>
      </c>
      <c r="B280" s="94" t="s">
        <v>158</v>
      </c>
      <c r="C280" s="94">
        <v>1601108</v>
      </c>
      <c r="D280" s="94" t="s">
        <v>123</v>
      </c>
      <c r="E280" s="94">
        <v>12</v>
      </c>
      <c r="F280" s="94">
        <v>12</v>
      </c>
      <c r="G280" s="94">
        <v>12</v>
      </c>
      <c r="H280" s="94"/>
      <c r="I280" s="95">
        <v>5250</v>
      </c>
      <c r="J280" s="95">
        <v>40223.121646010943</v>
      </c>
      <c r="K280" s="95">
        <v>6860.0286000000006</v>
      </c>
      <c r="L280" s="95">
        <v>5664.6175135211533</v>
      </c>
      <c r="M280" s="95">
        <v>54283.339954048752</v>
      </c>
      <c r="N280" s="95">
        <f t="shared" si="20"/>
        <v>4.8267745975213128</v>
      </c>
      <c r="O280" s="95">
        <f t="shared" si="21"/>
        <v>0.82320343200000001</v>
      </c>
      <c r="P280" s="95">
        <f t="shared" si="22"/>
        <v>0.67975410162253846</v>
      </c>
      <c r="Q280" s="95">
        <f t="shared" si="23"/>
        <v>1.5029575336225385</v>
      </c>
      <c r="R280" s="94" t="s">
        <v>543</v>
      </c>
    </row>
    <row r="281" spans="1:18" s="53" customFormat="1" x14ac:dyDescent="0.2">
      <c r="A281" s="94" t="s">
        <v>338</v>
      </c>
      <c r="B281" s="94" t="s">
        <v>158</v>
      </c>
      <c r="C281" s="94">
        <v>1600804</v>
      </c>
      <c r="D281" s="94" t="s">
        <v>215</v>
      </c>
      <c r="E281" s="94">
        <v>35</v>
      </c>
      <c r="F281" s="94">
        <v>35</v>
      </c>
      <c r="G281" s="94">
        <v>35</v>
      </c>
      <c r="H281" s="94"/>
      <c r="I281" s="95">
        <v>5250</v>
      </c>
      <c r="J281" s="95">
        <v>40526.864973242053</v>
      </c>
      <c r="K281" s="95">
        <v>12494.626329999999</v>
      </c>
      <c r="L281" s="95">
        <v>6508.6735999999992</v>
      </c>
      <c r="M281" s="95">
        <v>62805.670040533369</v>
      </c>
      <c r="N281" s="95">
        <f t="shared" si="20"/>
        <v>14.18440274063472</v>
      </c>
      <c r="O281" s="95">
        <f t="shared" si="21"/>
        <v>4.3731192155</v>
      </c>
      <c r="P281" s="95">
        <f t="shared" si="22"/>
        <v>2.2780357599999999</v>
      </c>
      <c r="Q281" s="95">
        <f t="shared" si="23"/>
        <v>6.6511549754999999</v>
      </c>
      <c r="R281" s="94" t="s">
        <v>543</v>
      </c>
    </row>
    <row r="282" spans="1:18" s="53" customFormat="1" x14ac:dyDescent="0.2">
      <c r="A282" s="94" t="s">
        <v>338</v>
      </c>
      <c r="B282" s="94" t="s">
        <v>158</v>
      </c>
      <c r="C282" s="94">
        <v>1600975</v>
      </c>
      <c r="D282" s="94" t="s">
        <v>225</v>
      </c>
      <c r="E282" s="94">
        <v>19</v>
      </c>
      <c r="F282" s="94">
        <v>19</v>
      </c>
      <c r="G282" s="94">
        <v>19</v>
      </c>
      <c r="H282" s="94"/>
      <c r="I282" s="95">
        <v>5250</v>
      </c>
      <c r="J282" s="95">
        <v>37840.807318196996</v>
      </c>
      <c r="K282" s="95">
        <v>12495.015579999999</v>
      </c>
      <c r="L282" s="95">
        <v>5728.8367999999991</v>
      </c>
      <c r="M282" s="95">
        <v>61395.101185142616</v>
      </c>
      <c r="N282" s="95">
        <f t="shared" si="20"/>
        <v>7.1897533904574287</v>
      </c>
      <c r="O282" s="95">
        <f t="shared" si="21"/>
        <v>2.3740529601999998</v>
      </c>
      <c r="P282" s="95">
        <f t="shared" si="22"/>
        <v>1.0884789919999998</v>
      </c>
      <c r="Q282" s="95">
        <f t="shared" si="23"/>
        <v>3.4625319521999995</v>
      </c>
      <c r="R282" s="94" t="s">
        <v>543</v>
      </c>
    </row>
    <row r="283" spans="1:18" s="53" customFormat="1" x14ac:dyDescent="0.2">
      <c r="A283" s="94" t="s">
        <v>338</v>
      </c>
      <c r="B283" s="94" t="s">
        <v>158</v>
      </c>
      <c r="C283" s="94">
        <v>1600928</v>
      </c>
      <c r="D283" s="94" t="s">
        <v>367</v>
      </c>
      <c r="E283" s="94">
        <v>46</v>
      </c>
      <c r="F283" s="94">
        <v>46</v>
      </c>
      <c r="G283" s="94">
        <v>46</v>
      </c>
      <c r="H283" s="94"/>
      <c r="I283" s="95">
        <v>5250</v>
      </c>
      <c r="J283" s="95">
        <v>34449.540811889055</v>
      </c>
      <c r="K283" s="95">
        <v>13278.602280000001</v>
      </c>
      <c r="L283" s="95">
        <v>5478.5725000000002</v>
      </c>
      <c r="M283" s="95">
        <v>57979.703372155702</v>
      </c>
      <c r="N283" s="95">
        <f t="shared" si="20"/>
        <v>15.846788773468965</v>
      </c>
      <c r="O283" s="95">
        <f t="shared" si="21"/>
        <v>6.1081570488000008</v>
      </c>
      <c r="P283" s="95">
        <f t="shared" si="22"/>
        <v>2.5201433500000001</v>
      </c>
      <c r="Q283" s="95">
        <f t="shared" si="23"/>
        <v>8.6283003988000004</v>
      </c>
      <c r="R283" s="94" t="s">
        <v>543</v>
      </c>
    </row>
    <row r="284" spans="1:18" s="53" customFormat="1" x14ac:dyDescent="0.2">
      <c r="A284" s="94" t="s">
        <v>338</v>
      </c>
      <c r="B284" s="94" t="s">
        <v>158</v>
      </c>
      <c r="C284" s="94">
        <v>1600868</v>
      </c>
      <c r="D284" s="94" t="s">
        <v>180</v>
      </c>
      <c r="E284" s="94">
        <v>35</v>
      </c>
      <c r="F284" s="94">
        <v>35</v>
      </c>
      <c r="G284" s="94">
        <v>35</v>
      </c>
      <c r="H284" s="94"/>
      <c r="I284" s="95">
        <v>5250</v>
      </c>
      <c r="J284" s="95">
        <v>40526.864973242053</v>
      </c>
      <c r="K284" s="95">
        <v>12494.626329999999</v>
      </c>
      <c r="L284" s="95">
        <v>6508.6735999999992</v>
      </c>
      <c r="M284" s="95">
        <v>62805.670040533369</v>
      </c>
      <c r="N284" s="95">
        <f t="shared" si="20"/>
        <v>14.18440274063472</v>
      </c>
      <c r="O284" s="95">
        <f t="shared" si="21"/>
        <v>4.3731192155</v>
      </c>
      <c r="P284" s="95">
        <f t="shared" si="22"/>
        <v>2.2780357599999999</v>
      </c>
      <c r="Q284" s="95">
        <f t="shared" si="23"/>
        <v>6.6511549754999999</v>
      </c>
      <c r="R284" s="94" t="s">
        <v>543</v>
      </c>
    </row>
    <row r="285" spans="1:18" s="53" customFormat="1" x14ac:dyDescent="0.2">
      <c r="A285" s="94" t="s">
        <v>338</v>
      </c>
      <c r="B285" s="94" t="s">
        <v>158</v>
      </c>
      <c r="C285" s="94">
        <v>1601078</v>
      </c>
      <c r="D285" s="94" t="s">
        <v>122</v>
      </c>
      <c r="E285" s="94">
        <v>35</v>
      </c>
      <c r="F285" s="94">
        <v>35</v>
      </c>
      <c r="G285" s="94">
        <v>35</v>
      </c>
      <c r="H285" s="94"/>
      <c r="I285" s="95">
        <v>5250</v>
      </c>
      <c r="J285" s="95">
        <v>39661.242360113269</v>
      </c>
      <c r="K285" s="95">
        <v>9362.7790000000005</v>
      </c>
      <c r="L285" s="95">
        <v>5237.8589000000002</v>
      </c>
      <c r="M285" s="95">
        <v>57469.073358307585</v>
      </c>
      <c r="N285" s="95">
        <f t="shared" si="20"/>
        <v>13.881434826039644</v>
      </c>
      <c r="O285" s="95">
        <f t="shared" si="21"/>
        <v>3.2769726500000003</v>
      </c>
      <c r="P285" s="95">
        <f t="shared" si="22"/>
        <v>1.8332506150000001</v>
      </c>
      <c r="Q285" s="95">
        <f t="shared" si="23"/>
        <v>5.1102232650000001</v>
      </c>
      <c r="R285" s="94" t="s">
        <v>543</v>
      </c>
    </row>
    <row r="286" spans="1:18" s="53" customFormat="1" x14ac:dyDescent="0.2">
      <c r="A286" s="94" t="s">
        <v>338</v>
      </c>
      <c r="B286" s="94" t="s">
        <v>158</v>
      </c>
      <c r="C286" s="94">
        <v>1601076</v>
      </c>
      <c r="D286" s="94" t="s">
        <v>400</v>
      </c>
      <c r="E286" s="94">
        <v>36</v>
      </c>
      <c r="F286" s="94">
        <v>36</v>
      </c>
      <c r="G286" s="94">
        <v>36</v>
      </c>
      <c r="H286" s="94"/>
      <c r="I286" s="95">
        <v>5250</v>
      </c>
      <c r="J286" s="95">
        <v>39661.242360113269</v>
      </c>
      <c r="K286" s="95">
        <v>9362.7790000000005</v>
      </c>
      <c r="L286" s="95">
        <v>5237.8589000000002</v>
      </c>
      <c r="M286" s="95">
        <v>57469.073358307585</v>
      </c>
      <c r="N286" s="95">
        <f t="shared" si="20"/>
        <v>14.278047249640776</v>
      </c>
      <c r="O286" s="95">
        <f t="shared" si="21"/>
        <v>3.37060044</v>
      </c>
      <c r="P286" s="95">
        <f t="shared" si="22"/>
        <v>1.885629204</v>
      </c>
      <c r="Q286" s="95">
        <f t="shared" si="23"/>
        <v>5.2562296440000003</v>
      </c>
      <c r="R286" s="94" t="s">
        <v>543</v>
      </c>
    </row>
    <row r="287" spans="1:18" s="53" customFormat="1" x14ac:dyDescent="0.2">
      <c r="A287" s="94" t="s">
        <v>338</v>
      </c>
      <c r="B287" s="94" t="s">
        <v>158</v>
      </c>
      <c r="C287" s="94">
        <v>1601123</v>
      </c>
      <c r="D287" s="94" t="s">
        <v>401</v>
      </c>
      <c r="E287" s="94">
        <v>31</v>
      </c>
      <c r="F287" s="94">
        <v>31</v>
      </c>
      <c r="G287" s="94">
        <v>31</v>
      </c>
      <c r="H287" s="94"/>
      <c r="I287" s="95">
        <v>5250</v>
      </c>
      <c r="J287" s="95">
        <v>37217.185416549532</v>
      </c>
      <c r="K287" s="95">
        <v>12346.901</v>
      </c>
      <c r="L287" s="95">
        <v>5645.5001000000011</v>
      </c>
      <c r="M287" s="95">
        <v>58224.459337672874</v>
      </c>
      <c r="N287" s="95">
        <f t="shared" si="20"/>
        <v>11.537327479130356</v>
      </c>
      <c r="O287" s="95">
        <f t="shared" si="21"/>
        <v>3.8275393099999997</v>
      </c>
      <c r="P287" s="95">
        <f t="shared" si="22"/>
        <v>1.7501050310000004</v>
      </c>
      <c r="Q287" s="95">
        <f t="shared" si="23"/>
        <v>5.5776443410000001</v>
      </c>
      <c r="R287" s="94" t="s">
        <v>543</v>
      </c>
    </row>
    <row r="288" spans="1:18" s="53" customFormat="1" x14ac:dyDescent="0.2">
      <c r="A288" s="94" t="s">
        <v>338</v>
      </c>
      <c r="B288" s="94" t="s">
        <v>158</v>
      </c>
      <c r="C288" s="94">
        <v>1601124</v>
      </c>
      <c r="D288" s="94" t="s">
        <v>402</v>
      </c>
      <c r="E288" s="94">
        <v>26</v>
      </c>
      <c r="F288" s="94">
        <v>26</v>
      </c>
      <c r="G288" s="94">
        <v>26</v>
      </c>
      <c r="H288" s="94"/>
      <c r="I288" s="95">
        <v>5250</v>
      </c>
      <c r="J288" s="95">
        <v>37217.185416549532</v>
      </c>
      <c r="K288" s="95">
        <v>12346.901</v>
      </c>
      <c r="L288" s="95">
        <v>5262.5159999999996</v>
      </c>
      <c r="M288" s="95">
        <v>57849.494487342468</v>
      </c>
      <c r="N288" s="95">
        <f t="shared" si="20"/>
        <v>9.6764682083028788</v>
      </c>
      <c r="O288" s="95">
        <f t="shared" si="21"/>
        <v>3.2101942599999997</v>
      </c>
      <c r="P288" s="95">
        <f t="shared" si="22"/>
        <v>1.36825416</v>
      </c>
      <c r="Q288" s="95">
        <f t="shared" si="23"/>
        <v>4.57844842</v>
      </c>
      <c r="R288" s="94" t="s">
        <v>543</v>
      </c>
    </row>
    <row r="289" spans="1:18" s="53" customFormat="1" x14ac:dyDescent="0.2">
      <c r="A289" s="94" t="s">
        <v>338</v>
      </c>
      <c r="B289" s="94" t="s">
        <v>158</v>
      </c>
      <c r="C289" s="94">
        <v>1600826</v>
      </c>
      <c r="D289" s="94" t="s">
        <v>130</v>
      </c>
      <c r="E289" s="94">
        <v>9</v>
      </c>
      <c r="F289" s="94">
        <v>5</v>
      </c>
      <c r="G289" s="94">
        <v>9</v>
      </c>
      <c r="H289" s="94"/>
      <c r="I289" s="95">
        <v>5250</v>
      </c>
      <c r="J289" s="95">
        <v>52261.305536359825</v>
      </c>
      <c r="K289" s="95">
        <v>11569.496499999999</v>
      </c>
      <c r="L289" s="95">
        <v>21728.495200000001</v>
      </c>
      <c r="M289" s="95">
        <v>90808.634443525647</v>
      </c>
      <c r="N289" s="95">
        <f t="shared" si="20"/>
        <v>2.6130652768179914</v>
      </c>
      <c r="O289" s="95">
        <f t="shared" si="21"/>
        <v>0.57847482500000003</v>
      </c>
      <c r="P289" s="95">
        <f t="shared" si="22"/>
        <v>1.9555645680000002</v>
      </c>
      <c r="Q289" s="95">
        <f t="shared" si="23"/>
        <v>2.5340393930000005</v>
      </c>
      <c r="R289" s="94" t="s">
        <v>543</v>
      </c>
    </row>
    <row r="290" spans="1:18" s="53" customFormat="1" ht="25.5" x14ac:dyDescent="0.2">
      <c r="A290" s="94" t="s">
        <v>338</v>
      </c>
      <c r="B290" s="94" t="s">
        <v>158</v>
      </c>
      <c r="C290" s="94">
        <v>1600831</v>
      </c>
      <c r="D290" s="94" t="s">
        <v>391</v>
      </c>
      <c r="E290" s="94">
        <v>10</v>
      </c>
      <c r="F290" s="94">
        <v>0</v>
      </c>
      <c r="G290" s="94">
        <v>10</v>
      </c>
      <c r="H290" s="94"/>
      <c r="I290" s="95">
        <v>5250</v>
      </c>
      <c r="J290" s="95">
        <v>57418.2</v>
      </c>
      <c r="K290" s="95">
        <v>10870.753612500001</v>
      </c>
      <c r="L290" s="95">
        <v>14520.557812485386</v>
      </c>
      <c r="M290" s="95">
        <v>92315.069111617631</v>
      </c>
      <c r="N290" s="95">
        <f t="shared" si="20"/>
        <v>0</v>
      </c>
      <c r="O290" s="95">
        <f t="shared" si="21"/>
        <v>0</v>
      </c>
      <c r="P290" s="95">
        <f t="shared" si="22"/>
        <v>1.4520557812485384</v>
      </c>
      <c r="Q290" s="95">
        <f t="shared" si="23"/>
        <v>1.4520557812485384</v>
      </c>
      <c r="R290" s="94" t="s">
        <v>543</v>
      </c>
    </row>
    <row r="291" spans="1:18" s="53" customFormat="1" x14ac:dyDescent="0.2">
      <c r="A291" s="94" t="s">
        <v>338</v>
      </c>
      <c r="B291" s="94" t="s">
        <v>158</v>
      </c>
      <c r="C291" s="94">
        <v>1600478</v>
      </c>
      <c r="D291" s="94" t="s">
        <v>132</v>
      </c>
      <c r="E291" s="94">
        <v>12</v>
      </c>
      <c r="F291" s="94">
        <v>47</v>
      </c>
      <c r="G291" s="94">
        <v>12</v>
      </c>
      <c r="H291" s="94"/>
      <c r="I291" s="95">
        <v>5250</v>
      </c>
      <c r="J291" s="95">
        <v>52261.305536359825</v>
      </c>
      <c r="K291" s="95">
        <v>11569.496499999999</v>
      </c>
      <c r="L291" s="95">
        <v>21728.495200000001</v>
      </c>
      <c r="M291" s="95">
        <v>90808.634443525647</v>
      </c>
      <c r="N291" s="95">
        <f t="shared" si="20"/>
        <v>24.562813602089118</v>
      </c>
      <c r="O291" s="95">
        <f t="shared" si="21"/>
        <v>5.4376633549999989</v>
      </c>
      <c r="P291" s="95">
        <f t="shared" si="22"/>
        <v>2.6074194240000002</v>
      </c>
      <c r="Q291" s="95">
        <f t="shared" si="23"/>
        <v>8.0450827789999995</v>
      </c>
      <c r="R291" s="94" t="s">
        <v>543</v>
      </c>
    </row>
    <row r="292" spans="1:18" s="53" customFormat="1" x14ac:dyDescent="0.2">
      <c r="A292" s="94" t="s">
        <v>338</v>
      </c>
      <c r="B292" s="94" t="s">
        <v>158</v>
      </c>
      <c r="C292" s="94">
        <v>1600085</v>
      </c>
      <c r="D292" s="94" t="s">
        <v>228</v>
      </c>
      <c r="E292" s="94">
        <v>5</v>
      </c>
      <c r="F292" s="94">
        <v>0</v>
      </c>
      <c r="G292" s="94">
        <v>5</v>
      </c>
      <c r="H292" s="94"/>
      <c r="I292" s="95">
        <v>5250</v>
      </c>
      <c r="J292" s="95">
        <v>52261.305536359825</v>
      </c>
      <c r="K292" s="95">
        <v>11569.496499999999</v>
      </c>
      <c r="L292" s="95">
        <v>20464.098700000002</v>
      </c>
      <c r="M292" s="95">
        <v>89544.237943525644</v>
      </c>
      <c r="N292" s="95">
        <f t="shared" si="20"/>
        <v>0</v>
      </c>
      <c r="O292" s="95">
        <f t="shared" si="21"/>
        <v>0</v>
      </c>
      <c r="P292" s="95">
        <f t="shared" si="22"/>
        <v>1.0232049350000001</v>
      </c>
      <c r="Q292" s="95">
        <f t="shared" si="23"/>
        <v>1.0232049350000001</v>
      </c>
      <c r="R292" s="94" t="s">
        <v>543</v>
      </c>
    </row>
    <row r="293" spans="1:18" s="53" customFormat="1" x14ac:dyDescent="0.2">
      <c r="A293" s="94" t="s">
        <v>338</v>
      </c>
      <c r="B293" s="94" t="s">
        <v>158</v>
      </c>
      <c r="C293" s="94">
        <v>1600088</v>
      </c>
      <c r="D293" s="94" t="s">
        <v>216</v>
      </c>
      <c r="E293" s="94">
        <v>5</v>
      </c>
      <c r="F293" s="94">
        <v>0</v>
      </c>
      <c r="G293" s="94">
        <v>5</v>
      </c>
      <c r="H293" s="94"/>
      <c r="I293" s="95">
        <v>5250</v>
      </c>
      <c r="J293" s="95">
        <v>52261.305536359825</v>
      </c>
      <c r="K293" s="95">
        <v>11569.496499999999</v>
      </c>
      <c r="L293" s="95">
        <v>14516.813600000001</v>
      </c>
      <c r="M293" s="95">
        <v>83596.952843525651</v>
      </c>
      <c r="N293" s="95">
        <f t="shared" si="20"/>
        <v>0</v>
      </c>
      <c r="O293" s="95">
        <f t="shared" si="21"/>
        <v>0</v>
      </c>
      <c r="P293" s="95">
        <f t="shared" si="22"/>
        <v>0.72584068000000002</v>
      </c>
      <c r="Q293" s="95">
        <f t="shared" si="23"/>
        <v>0.72584068000000002</v>
      </c>
      <c r="R293" s="94" t="s">
        <v>543</v>
      </c>
    </row>
    <row r="294" spans="1:18" s="53" customFormat="1" x14ac:dyDescent="0.2">
      <c r="A294" s="94" t="s">
        <v>338</v>
      </c>
      <c r="B294" s="94" t="s">
        <v>158</v>
      </c>
      <c r="C294" s="94">
        <v>1600715</v>
      </c>
      <c r="D294" s="94" t="s">
        <v>403</v>
      </c>
      <c r="E294" s="94">
        <v>25</v>
      </c>
      <c r="F294" s="94">
        <v>0</v>
      </c>
      <c r="G294" s="94">
        <v>25</v>
      </c>
      <c r="H294" s="94"/>
      <c r="I294" s="95">
        <v>5250</v>
      </c>
      <c r="J294" s="95">
        <v>52261.305536359825</v>
      </c>
      <c r="K294" s="95">
        <v>11569.496499999999</v>
      </c>
      <c r="L294" s="95">
        <v>24968.500000000004</v>
      </c>
      <c r="M294" s="95">
        <v>94048.639243525642</v>
      </c>
      <c r="N294" s="95">
        <f t="shared" si="20"/>
        <v>0</v>
      </c>
      <c r="O294" s="95">
        <f t="shared" si="21"/>
        <v>0</v>
      </c>
      <c r="P294" s="95">
        <f t="shared" si="22"/>
        <v>6.2421250000000015</v>
      </c>
      <c r="Q294" s="95">
        <f t="shared" si="23"/>
        <v>6.2421250000000015</v>
      </c>
      <c r="R294" s="94" t="s">
        <v>543</v>
      </c>
    </row>
    <row r="295" spans="1:18" s="53" customFormat="1" x14ac:dyDescent="0.2">
      <c r="A295" s="94" t="s">
        <v>338</v>
      </c>
      <c r="B295" s="94" t="s">
        <v>158</v>
      </c>
      <c r="C295" s="94">
        <v>1600836</v>
      </c>
      <c r="D295" s="94" t="s">
        <v>120</v>
      </c>
      <c r="E295" s="94">
        <v>11</v>
      </c>
      <c r="F295" s="94">
        <v>11</v>
      </c>
      <c r="G295" s="94">
        <v>11</v>
      </c>
      <c r="H295" s="94"/>
      <c r="I295" s="95">
        <v>5250</v>
      </c>
      <c r="J295" s="95">
        <v>40420.280926959873</v>
      </c>
      <c r="K295" s="95">
        <v>10242.58</v>
      </c>
      <c r="L295" s="95">
        <v>17283.869000000002</v>
      </c>
      <c r="M295" s="95">
        <v>73802.836658854198</v>
      </c>
      <c r="N295" s="95">
        <f t="shared" si="20"/>
        <v>4.4462309019655866</v>
      </c>
      <c r="O295" s="95">
        <f t="shared" si="21"/>
        <v>1.1266838000000001</v>
      </c>
      <c r="P295" s="95">
        <f t="shared" si="22"/>
        <v>1.9012255900000004</v>
      </c>
      <c r="Q295" s="95">
        <f t="shared" si="23"/>
        <v>3.0279093900000005</v>
      </c>
      <c r="R295" s="94" t="s">
        <v>543</v>
      </c>
    </row>
    <row r="296" spans="1:18" s="53" customFormat="1" x14ac:dyDescent="0.2">
      <c r="A296" s="94" t="s">
        <v>338</v>
      </c>
      <c r="B296" s="94" t="s">
        <v>158</v>
      </c>
      <c r="C296" s="94">
        <v>1600106</v>
      </c>
      <c r="D296" s="94" t="s">
        <v>119</v>
      </c>
      <c r="E296" s="94">
        <v>13</v>
      </c>
      <c r="F296" s="94">
        <v>45</v>
      </c>
      <c r="G296" s="94">
        <v>13</v>
      </c>
      <c r="H296" s="94"/>
      <c r="I296" s="95">
        <v>5250</v>
      </c>
      <c r="J296" s="95">
        <v>33856.044671955635</v>
      </c>
      <c r="K296" s="95">
        <v>13981.930000000002</v>
      </c>
      <c r="L296" s="95">
        <v>8242.0239999999994</v>
      </c>
      <c r="M296" s="95">
        <v>58829.065000557021</v>
      </c>
      <c r="N296" s="95">
        <f t="shared" si="20"/>
        <v>15.235220102380035</v>
      </c>
      <c r="O296" s="95">
        <f t="shared" si="21"/>
        <v>6.2918685000000005</v>
      </c>
      <c r="P296" s="95">
        <f t="shared" si="22"/>
        <v>1.07146312</v>
      </c>
      <c r="Q296" s="95">
        <f t="shared" si="23"/>
        <v>7.3633316200000003</v>
      </c>
      <c r="R296" s="94" t="s">
        <v>543</v>
      </c>
    </row>
    <row r="297" spans="1:18" s="53" customFormat="1" x14ac:dyDescent="0.2">
      <c r="A297" s="94" t="s">
        <v>338</v>
      </c>
      <c r="B297" s="94" t="s">
        <v>158</v>
      </c>
      <c r="C297" s="94">
        <v>1600578</v>
      </c>
      <c r="D297" s="94" t="s">
        <v>153</v>
      </c>
      <c r="E297" s="94">
        <v>16</v>
      </c>
      <c r="F297" s="94">
        <v>0</v>
      </c>
      <c r="G297" s="94">
        <v>16</v>
      </c>
      <c r="H297" s="94"/>
      <c r="I297" s="95">
        <v>5250</v>
      </c>
      <c r="J297" s="95">
        <v>33856.044671955635</v>
      </c>
      <c r="K297" s="95">
        <v>13981.930000000002</v>
      </c>
      <c r="L297" s="95">
        <v>5985.2602000000006</v>
      </c>
      <c r="M297" s="95">
        <v>56572.30120055702</v>
      </c>
      <c r="N297" s="95">
        <f t="shared" si="20"/>
        <v>0</v>
      </c>
      <c r="O297" s="95">
        <f t="shared" si="21"/>
        <v>0</v>
      </c>
      <c r="P297" s="95">
        <f t="shared" si="22"/>
        <v>0.95764163200000008</v>
      </c>
      <c r="Q297" s="95">
        <f t="shared" si="23"/>
        <v>0.95764163200000008</v>
      </c>
      <c r="R297" s="94" t="s">
        <v>543</v>
      </c>
    </row>
    <row r="298" spans="1:18" s="53" customFormat="1" x14ac:dyDescent="0.2">
      <c r="A298" s="94" t="s">
        <v>338</v>
      </c>
      <c r="B298" s="94" t="s">
        <v>158</v>
      </c>
      <c r="C298" s="94">
        <v>1600110</v>
      </c>
      <c r="D298" s="94" t="s">
        <v>188</v>
      </c>
      <c r="E298" s="94">
        <v>16</v>
      </c>
      <c r="F298" s="94">
        <v>0</v>
      </c>
      <c r="G298" s="94">
        <v>16</v>
      </c>
      <c r="H298" s="94"/>
      <c r="I298" s="95">
        <v>5250</v>
      </c>
      <c r="J298" s="95">
        <v>33856.044671955635</v>
      </c>
      <c r="K298" s="95">
        <v>13981.930000000002</v>
      </c>
      <c r="L298" s="95">
        <v>5145.5439999999999</v>
      </c>
      <c r="M298" s="95">
        <v>55655.324389855166</v>
      </c>
      <c r="N298" s="95">
        <f t="shared" si="20"/>
        <v>0</v>
      </c>
      <c r="O298" s="95">
        <f t="shared" si="21"/>
        <v>0</v>
      </c>
      <c r="P298" s="95">
        <f t="shared" si="22"/>
        <v>0.82328703999999997</v>
      </c>
      <c r="Q298" s="95">
        <f t="shared" si="23"/>
        <v>0.82328703999999997</v>
      </c>
      <c r="R298" s="94" t="s">
        <v>543</v>
      </c>
    </row>
    <row r="299" spans="1:18" s="53" customFormat="1" x14ac:dyDescent="0.2">
      <c r="A299" s="94" t="s">
        <v>338</v>
      </c>
      <c r="B299" s="94" t="s">
        <v>158</v>
      </c>
      <c r="C299" s="94">
        <v>1600819</v>
      </c>
      <c r="D299" s="94" t="s">
        <v>232</v>
      </c>
      <c r="E299" s="94">
        <v>8</v>
      </c>
      <c r="F299" s="94">
        <v>8</v>
      </c>
      <c r="G299" s="94">
        <v>8</v>
      </c>
      <c r="H299" s="94"/>
      <c r="I299" s="95">
        <v>5250</v>
      </c>
      <c r="J299" s="95">
        <v>31550.933878147702</v>
      </c>
      <c r="K299" s="95">
        <v>15609.581199999997</v>
      </c>
      <c r="L299" s="95">
        <v>8242.0239999999994</v>
      </c>
      <c r="M299" s="95">
        <v>59773.924539530344</v>
      </c>
      <c r="N299" s="95">
        <f t="shared" si="20"/>
        <v>2.5240747102518162</v>
      </c>
      <c r="O299" s="95">
        <f t="shared" si="21"/>
        <v>1.2487664959999998</v>
      </c>
      <c r="P299" s="95">
        <f t="shared" si="22"/>
        <v>0.65936191999999993</v>
      </c>
      <c r="Q299" s="95">
        <f t="shared" si="23"/>
        <v>1.9081284159999998</v>
      </c>
      <c r="R299" s="94" t="s">
        <v>543</v>
      </c>
    </row>
    <row r="300" spans="1:18" s="53" customFormat="1" x14ac:dyDescent="0.2">
      <c r="A300" s="94" t="s">
        <v>338</v>
      </c>
      <c r="B300" s="94" t="s">
        <v>158</v>
      </c>
      <c r="C300" s="94">
        <v>1601103</v>
      </c>
      <c r="D300" s="94" t="s">
        <v>281</v>
      </c>
      <c r="E300" s="94">
        <v>10</v>
      </c>
      <c r="F300" s="94">
        <v>20</v>
      </c>
      <c r="G300" s="94">
        <v>10</v>
      </c>
      <c r="H300" s="94"/>
      <c r="I300" s="95">
        <v>5250</v>
      </c>
      <c r="J300" s="95">
        <v>36093.522900231073</v>
      </c>
      <c r="K300" s="95">
        <v>8100.6099999999988</v>
      </c>
      <c r="L300" s="95">
        <v>5939.9520000000002</v>
      </c>
      <c r="M300" s="95">
        <v>56044.036993488218</v>
      </c>
      <c r="N300" s="95">
        <f t="shared" si="20"/>
        <v>7.2187045800462144</v>
      </c>
      <c r="O300" s="95">
        <f t="shared" si="21"/>
        <v>1.6201219999999998</v>
      </c>
      <c r="P300" s="95">
        <f t="shared" si="22"/>
        <v>0.59399520000000006</v>
      </c>
      <c r="Q300" s="95">
        <f t="shared" si="23"/>
        <v>2.2141172</v>
      </c>
      <c r="R300" s="94" t="s">
        <v>543</v>
      </c>
    </row>
    <row r="301" spans="1:18" s="53" customFormat="1" x14ac:dyDescent="0.2">
      <c r="A301" s="94" t="s">
        <v>338</v>
      </c>
      <c r="B301" s="94" t="s">
        <v>158</v>
      </c>
      <c r="C301" s="94">
        <v>1601058</v>
      </c>
      <c r="D301" s="94" t="s">
        <v>393</v>
      </c>
      <c r="E301" s="94">
        <v>10</v>
      </c>
      <c r="F301" s="94">
        <v>0</v>
      </c>
      <c r="G301" s="94">
        <v>10</v>
      </c>
      <c r="H301" s="94"/>
      <c r="I301" s="95">
        <v>5250</v>
      </c>
      <c r="J301" s="95">
        <v>36093.522900231073</v>
      </c>
      <c r="K301" s="95">
        <v>8100.6099999999988</v>
      </c>
      <c r="L301" s="95">
        <v>5270.5889999999999</v>
      </c>
      <c r="M301" s="95">
        <v>55374.673993488221</v>
      </c>
      <c r="N301" s="95">
        <f t="shared" si="20"/>
        <v>0</v>
      </c>
      <c r="O301" s="95">
        <f t="shared" si="21"/>
        <v>0</v>
      </c>
      <c r="P301" s="95">
        <f t="shared" si="22"/>
        <v>0.5270589</v>
      </c>
      <c r="Q301" s="95">
        <f t="shared" si="23"/>
        <v>0.5270589</v>
      </c>
      <c r="R301" s="94" t="s">
        <v>543</v>
      </c>
    </row>
    <row r="302" spans="1:18" s="53" customFormat="1" x14ac:dyDescent="0.2">
      <c r="A302" s="94" t="s">
        <v>338</v>
      </c>
      <c r="B302" s="94" t="s">
        <v>158</v>
      </c>
      <c r="C302" s="94">
        <v>1600896</v>
      </c>
      <c r="D302" s="94" t="s">
        <v>395</v>
      </c>
      <c r="E302" s="94">
        <v>4</v>
      </c>
      <c r="F302" s="94">
        <v>4</v>
      </c>
      <c r="G302" s="94">
        <v>4</v>
      </c>
      <c r="H302" s="94"/>
      <c r="I302" s="95"/>
      <c r="J302" s="95">
        <v>0</v>
      </c>
      <c r="K302" s="95">
        <v>88041.733400000012</v>
      </c>
      <c r="L302" s="95">
        <v>31024.468099999998</v>
      </c>
      <c r="M302" s="95">
        <v>119066.20150000001</v>
      </c>
      <c r="N302" s="95">
        <f t="shared" si="20"/>
        <v>0</v>
      </c>
      <c r="O302" s="95">
        <f t="shared" si="21"/>
        <v>3.5216693360000004</v>
      </c>
      <c r="P302" s="95">
        <f t="shared" si="22"/>
        <v>1.2409787239999999</v>
      </c>
      <c r="Q302" s="95">
        <f t="shared" si="23"/>
        <v>4.7626480600000001</v>
      </c>
      <c r="R302" s="94" t="s">
        <v>543</v>
      </c>
    </row>
    <row r="303" spans="1:18" s="53" customFormat="1" x14ac:dyDescent="0.2">
      <c r="A303" s="94" t="s">
        <v>338</v>
      </c>
      <c r="B303" s="94" t="s">
        <v>158</v>
      </c>
      <c r="C303" s="94">
        <v>1600895</v>
      </c>
      <c r="D303" s="94" t="s">
        <v>404</v>
      </c>
      <c r="E303" s="94">
        <v>2</v>
      </c>
      <c r="F303" s="94">
        <v>2</v>
      </c>
      <c r="G303" s="94">
        <v>2</v>
      </c>
      <c r="H303" s="94"/>
      <c r="I303" s="95"/>
      <c r="J303" s="95">
        <v>0</v>
      </c>
      <c r="K303" s="95">
        <v>85612.642580000014</v>
      </c>
      <c r="L303" s="95">
        <v>30997.801500000001</v>
      </c>
      <c r="M303" s="95">
        <v>116610.44408000002</v>
      </c>
      <c r="N303" s="95">
        <f t="shared" si="20"/>
        <v>0</v>
      </c>
      <c r="O303" s="95">
        <f t="shared" si="21"/>
        <v>1.7122528516000002</v>
      </c>
      <c r="P303" s="95">
        <f t="shared" si="22"/>
        <v>0.61995602999999999</v>
      </c>
      <c r="Q303" s="95">
        <f t="shared" si="23"/>
        <v>2.3322088816000002</v>
      </c>
      <c r="R303" s="94" t="s">
        <v>543</v>
      </c>
    </row>
    <row r="304" spans="1:18" s="53" customFormat="1" x14ac:dyDescent="0.2">
      <c r="A304" s="94" t="s">
        <v>338</v>
      </c>
      <c r="B304" s="94" t="s">
        <v>159</v>
      </c>
      <c r="C304" s="94">
        <v>1601207</v>
      </c>
      <c r="D304" s="94" t="s">
        <v>396</v>
      </c>
      <c r="E304" s="94">
        <v>141</v>
      </c>
      <c r="F304" s="94">
        <v>141</v>
      </c>
      <c r="G304" s="94">
        <v>141</v>
      </c>
      <c r="H304" s="94"/>
      <c r="I304" s="95"/>
      <c r="J304" s="95">
        <v>0</v>
      </c>
      <c r="K304" s="95">
        <v>19540.188479999997</v>
      </c>
      <c r="L304" s="95">
        <v>52210.154999999999</v>
      </c>
      <c r="M304" s="95">
        <v>83800.620235464434</v>
      </c>
      <c r="N304" s="95">
        <f t="shared" si="20"/>
        <v>0</v>
      </c>
      <c r="O304" s="95">
        <f t="shared" si="21"/>
        <v>27.551665756799999</v>
      </c>
      <c r="P304" s="95">
        <f t="shared" si="22"/>
        <v>73.616318549999988</v>
      </c>
      <c r="Q304" s="95">
        <f t="shared" si="23"/>
        <v>101.16798430679998</v>
      </c>
      <c r="R304" s="94" t="s">
        <v>543</v>
      </c>
    </row>
    <row r="305" spans="1:18" s="53" customFormat="1" x14ac:dyDescent="0.2">
      <c r="A305" s="94" t="s">
        <v>338</v>
      </c>
      <c r="B305" s="94" t="s">
        <v>159</v>
      </c>
      <c r="C305" s="94">
        <v>1600993</v>
      </c>
      <c r="D305" s="94" t="s">
        <v>405</v>
      </c>
      <c r="E305" s="94">
        <v>54</v>
      </c>
      <c r="F305" s="94">
        <v>54</v>
      </c>
      <c r="G305" s="94">
        <v>54</v>
      </c>
      <c r="H305" s="94"/>
      <c r="I305" s="95"/>
      <c r="J305" s="95">
        <v>0</v>
      </c>
      <c r="K305" s="95">
        <v>19540.188479999997</v>
      </c>
      <c r="L305" s="95">
        <v>25634.632699999998</v>
      </c>
      <c r="M305" s="95">
        <v>49836.770993463084</v>
      </c>
      <c r="N305" s="95">
        <f t="shared" si="20"/>
        <v>0</v>
      </c>
      <c r="O305" s="95">
        <f t="shared" si="21"/>
        <v>10.5517017792</v>
      </c>
      <c r="P305" s="95">
        <f t="shared" si="22"/>
        <v>13.842701657999999</v>
      </c>
      <c r="Q305" s="95">
        <f t="shared" si="23"/>
        <v>24.394403437199998</v>
      </c>
      <c r="R305" s="94" t="s">
        <v>543</v>
      </c>
    </row>
    <row r="306" spans="1:18" s="53" customFormat="1" x14ac:dyDescent="0.2">
      <c r="A306" s="94" t="s">
        <v>338</v>
      </c>
      <c r="B306" s="94" t="s">
        <v>317</v>
      </c>
      <c r="C306" s="94">
        <v>1600520</v>
      </c>
      <c r="D306" s="94" t="s">
        <v>190</v>
      </c>
      <c r="E306" s="94">
        <v>64000</v>
      </c>
      <c r="F306" s="94">
        <v>64000</v>
      </c>
      <c r="G306" s="94">
        <v>64000</v>
      </c>
      <c r="H306" s="94"/>
      <c r="I306" s="95"/>
      <c r="J306" s="95">
        <v>0</v>
      </c>
      <c r="K306" s="95">
        <v>3.5726064069975365</v>
      </c>
      <c r="L306" s="95">
        <v>4.0343681802182321</v>
      </c>
      <c r="M306" s="95">
        <v>10.300137212282552</v>
      </c>
      <c r="N306" s="95">
        <f t="shared" si="20"/>
        <v>0</v>
      </c>
      <c r="O306" s="95">
        <f t="shared" si="21"/>
        <v>2.2864681004784231</v>
      </c>
      <c r="P306" s="95">
        <f t="shared" si="22"/>
        <v>2.5819956353396685</v>
      </c>
      <c r="Q306" s="95">
        <f t="shared" si="23"/>
        <v>4.8684637358180911</v>
      </c>
      <c r="R306" s="94" t="s">
        <v>543</v>
      </c>
    </row>
    <row r="307" spans="1:18" s="53" customFormat="1" x14ac:dyDescent="0.2">
      <c r="A307" s="94" t="s">
        <v>338</v>
      </c>
      <c r="B307" s="94" t="s">
        <v>317</v>
      </c>
      <c r="C307" s="94">
        <v>1600521</v>
      </c>
      <c r="D307" s="94" t="s">
        <v>325</v>
      </c>
      <c r="E307" s="94">
        <v>14000</v>
      </c>
      <c r="F307" s="94">
        <v>14000</v>
      </c>
      <c r="G307" s="94">
        <v>14000</v>
      </c>
      <c r="H307" s="94"/>
      <c r="I307" s="95"/>
      <c r="J307" s="95">
        <v>0</v>
      </c>
      <c r="K307" s="95">
        <v>14.300420500000001</v>
      </c>
      <c r="L307" s="95">
        <v>18.226042253521126</v>
      </c>
      <c r="M307" s="95">
        <v>36.706599447706637</v>
      </c>
      <c r="N307" s="95">
        <f t="shared" si="20"/>
        <v>0</v>
      </c>
      <c r="O307" s="95">
        <f t="shared" si="21"/>
        <v>2.0020588700000004</v>
      </c>
      <c r="P307" s="95">
        <f t="shared" si="22"/>
        <v>2.5516459154929576</v>
      </c>
      <c r="Q307" s="95">
        <f t="shared" si="23"/>
        <v>4.5537047854929575</v>
      </c>
      <c r="R307" s="94" t="s">
        <v>543</v>
      </c>
    </row>
    <row r="308" spans="1:18" s="53" customFormat="1" x14ac:dyDescent="0.2">
      <c r="A308" s="94" t="s">
        <v>337</v>
      </c>
      <c r="B308" s="94" t="s">
        <v>234</v>
      </c>
      <c r="C308" s="94">
        <v>1600548</v>
      </c>
      <c r="D308" s="94" t="s">
        <v>387</v>
      </c>
      <c r="E308" s="172">
        <v>44</v>
      </c>
      <c r="F308" s="172">
        <v>0</v>
      </c>
      <c r="G308" s="172">
        <v>44</v>
      </c>
      <c r="H308" s="94"/>
      <c r="I308" s="95">
        <v>5250</v>
      </c>
      <c r="J308" s="95">
        <v>40453.078787736828</v>
      </c>
      <c r="K308" s="95">
        <v>51819.707500000004</v>
      </c>
      <c r="L308" s="95">
        <v>15202.371100000002</v>
      </c>
      <c r="M308" s="95">
        <v>119315.71604420702</v>
      </c>
      <c r="N308" s="95">
        <f t="shared" si="20"/>
        <v>0</v>
      </c>
      <c r="O308" s="95">
        <f t="shared" si="21"/>
        <v>0</v>
      </c>
      <c r="P308" s="95">
        <f t="shared" si="22"/>
        <v>6.6890432840000011</v>
      </c>
      <c r="Q308" s="95">
        <f t="shared" si="23"/>
        <v>6.6890432840000011</v>
      </c>
      <c r="R308" s="94" t="s">
        <v>543</v>
      </c>
    </row>
    <row r="309" spans="1:18" s="53" customFormat="1" x14ac:dyDescent="0.2">
      <c r="A309" s="94" t="s">
        <v>337</v>
      </c>
      <c r="B309" s="94" t="s">
        <v>156</v>
      </c>
      <c r="C309" s="94">
        <v>1600752</v>
      </c>
      <c r="D309" s="94" t="s">
        <v>108</v>
      </c>
      <c r="E309" s="172">
        <v>14</v>
      </c>
      <c r="F309" s="172">
        <v>14</v>
      </c>
      <c r="G309" s="172">
        <v>14</v>
      </c>
      <c r="H309" s="94"/>
      <c r="I309" s="95">
        <v>5250</v>
      </c>
      <c r="J309" s="95">
        <v>57635.021231841689</v>
      </c>
      <c r="K309" s="95">
        <v>21605.039000000001</v>
      </c>
      <c r="L309" s="95">
        <v>27223.806099999998</v>
      </c>
      <c r="M309" s="95">
        <v>118517.62524142327</v>
      </c>
      <c r="N309" s="95">
        <f t="shared" si="20"/>
        <v>8.0689029724578365</v>
      </c>
      <c r="O309" s="95">
        <f t="shared" si="21"/>
        <v>3.0247054600000003</v>
      </c>
      <c r="P309" s="95">
        <f t="shared" si="22"/>
        <v>3.8113328539999998</v>
      </c>
      <c r="Q309" s="95">
        <f t="shared" si="23"/>
        <v>6.8360383139999996</v>
      </c>
      <c r="R309" s="94" t="s">
        <v>543</v>
      </c>
    </row>
    <row r="310" spans="1:18" s="53" customFormat="1" x14ac:dyDescent="0.2">
      <c r="A310" s="94" t="s">
        <v>337</v>
      </c>
      <c r="B310" s="94" t="s">
        <v>156</v>
      </c>
      <c r="C310" s="94">
        <v>1600756</v>
      </c>
      <c r="D310" s="94" t="s">
        <v>388</v>
      </c>
      <c r="E310" s="172">
        <v>2</v>
      </c>
      <c r="F310" s="172">
        <v>2</v>
      </c>
      <c r="G310" s="172">
        <v>2</v>
      </c>
      <c r="H310" s="94"/>
      <c r="I310" s="95">
        <v>5250</v>
      </c>
      <c r="J310" s="95">
        <v>57635.021231841689</v>
      </c>
      <c r="K310" s="95">
        <v>21605.039000000001</v>
      </c>
      <c r="L310" s="95">
        <v>23845.185099999999</v>
      </c>
      <c r="M310" s="95">
        <v>113283.5768439324</v>
      </c>
      <c r="N310" s="95">
        <f t="shared" si="20"/>
        <v>1.1527004246368338</v>
      </c>
      <c r="O310" s="95">
        <f t="shared" si="21"/>
        <v>0.43210078000000002</v>
      </c>
      <c r="P310" s="95">
        <f t="shared" si="22"/>
        <v>0.47690370199999998</v>
      </c>
      <c r="Q310" s="95">
        <f t="shared" si="23"/>
        <v>0.90900448200000006</v>
      </c>
      <c r="R310" s="94" t="s">
        <v>543</v>
      </c>
    </row>
    <row r="311" spans="1:18" s="53" customFormat="1" ht="76.5" x14ac:dyDescent="0.2">
      <c r="A311" s="94" t="s">
        <v>337</v>
      </c>
      <c r="B311" s="94" t="s">
        <v>156</v>
      </c>
      <c r="C311" s="94" t="s">
        <v>389</v>
      </c>
      <c r="D311" s="94" t="s">
        <v>389</v>
      </c>
      <c r="E311" s="172">
        <v>3.75</v>
      </c>
      <c r="F311" s="172">
        <v>3.75</v>
      </c>
      <c r="G311" s="172">
        <v>3.75</v>
      </c>
      <c r="H311" s="94"/>
      <c r="I311" s="95">
        <v>5250</v>
      </c>
      <c r="J311" s="95">
        <v>57107.40209175479</v>
      </c>
      <c r="K311" s="95">
        <v>24775.323899999996</v>
      </c>
      <c r="L311" s="95">
        <v>37483.908300000003</v>
      </c>
      <c r="M311" s="95">
        <v>121477.30134978876</v>
      </c>
      <c r="N311" s="95">
        <f t="shared" si="20"/>
        <v>2.1415275784408045</v>
      </c>
      <c r="O311" s="95">
        <f t="shared" si="21"/>
        <v>0.9290746462499998</v>
      </c>
      <c r="P311" s="95">
        <f t="shared" si="22"/>
        <v>1.40564656125</v>
      </c>
      <c r="Q311" s="95">
        <f t="shared" si="23"/>
        <v>2.3347212074999999</v>
      </c>
      <c r="R311" s="94" t="s">
        <v>543</v>
      </c>
    </row>
    <row r="312" spans="1:18" s="53" customFormat="1" x14ac:dyDescent="0.2">
      <c r="A312" s="94" t="s">
        <v>337</v>
      </c>
      <c r="B312" s="94" t="s">
        <v>156</v>
      </c>
      <c r="C312" s="94">
        <v>1600757</v>
      </c>
      <c r="D312" s="94" t="s">
        <v>110</v>
      </c>
      <c r="E312" s="172">
        <v>3</v>
      </c>
      <c r="F312" s="172">
        <v>3</v>
      </c>
      <c r="G312" s="172">
        <v>3</v>
      </c>
      <c r="H312" s="94"/>
      <c r="I312" s="95">
        <v>5250</v>
      </c>
      <c r="J312" s="95">
        <v>57635.021231841689</v>
      </c>
      <c r="K312" s="95">
        <v>21605.039000000001</v>
      </c>
      <c r="L312" s="95">
        <v>27223.806099999998</v>
      </c>
      <c r="M312" s="95">
        <v>118517.62524142327</v>
      </c>
      <c r="N312" s="95">
        <f t="shared" si="20"/>
        <v>1.7290506369552505</v>
      </c>
      <c r="O312" s="95">
        <f t="shared" si="21"/>
        <v>0.64815117</v>
      </c>
      <c r="P312" s="95">
        <f t="shared" si="22"/>
        <v>0.81671418299999987</v>
      </c>
      <c r="Q312" s="95">
        <f t="shared" si="23"/>
        <v>1.464865353</v>
      </c>
      <c r="R312" s="94" t="s">
        <v>543</v>
      </c>
    </row>
    <row r="313" spans="1:18" s="53" customFormat="1" x14ac:dyDescent="0.2">
      <c r="A313" s="94" t="s">
        <v>337</v>
      </c>
      <c r="B313" s="94" t="s">
        <v>156</v>
      </c>
      <c r="C313" s="94">
        <v>1601228</v>
      </c>
      <c r="D313" s="94" t="s">
        <v>294</v>
      </c>
      <c r="E313" s="172">
        <v>7</v>
      </c>
      <c r="F313" s="172">
        <v>7</v>
      </c>
      <c r="G313" s="172">
        <v>7</v>
      </c>
      <c r="H313" s="94"/>
      <c r="I313" s="95">
        <v>5250</v>
      </c>
      <c r="J313" s="95">
        <v>57107.40209175479</v>
      </c>
      <c r="K313" s="95">
        <v>24775.323899999996</v>
      </c>
      <c r="L313" s="95">
        <v>23918.167099999999</v>
      </c>
      <c r="M313" s="95">
        <v>107798.58093579349</v>
      </c>
      <c r="N313" s="95">
        <f t="shared" si="20"/>
        <v>3.9975181464228355</v>
      </c>
      <c r="O313" s="95">
        <f t="shared" si="21"/>
        <v>1.7342726729999998</v>
      </c>
      <c r="P313" s="95">
        <f t="shared" si="22"/>
        <v>1.674271697</v>
      </c>
      <c r="Q313" s="95">
        <f t="shared" si="23"/>
        <v>3.4085443699999995</v>
      </c>
      <c r="R313" s="94" t="s">
        <v>543</v>
      </c>
    </row>
    <row r="314" spans="1:18" s="53" customFormat="1" x14ac:dyDescent="0.2">
      <c r="A314" s="94" t="s">
        <v>337</v>
      </c>
      <c r="B314" s="94" t="s">
        <v>156</v>
      </c>
      <c r="C314" s="94">
        <v>1601224</v>
      </c>
      <c r="D314" s="94" t="s">
        <v>297</v>
      </c>
      <c r="E314" s="172">
        <v>10.1</v>
      </c>
      <c r="F314" s="172">
        <v>10</v>
      </c>
      <c r="G314" s="172">
        <v>10</v>
      </c>
      <c r="H314" s="94"/>
      <c r="I314" s="95">
        <v>5250</v>
      </c>
      <c r="J314" s="95">
        <v>57107.40209175479</v>
      </c>
      <c r="K314" s="95">
        <v>24775.323899999996</v>
      </c>
      <c r="L314" s="95">
        <v>31651.194250000004</v>
      </c>
      <c r="M314" s="95">
        <v>115597.90429129016</v>
      </c>
      <c r="N314" s="95">
        <f t="shared" si="20"/>
        <v>5.7107402091754791</v>
      </c>
      <c r="O314" s="95">
        <f t="shared" si="21"/>
        <v>2.4775323899999995</v>
      </c>
      <c r="P314" s="95">
        <f t="shared" si="22"/>
        <v>3.1651194250000008</v>
      </c>
      <c r="Q314" s="95">
        <f t="shared" si="23"/>
        <v>5.6426518150000007</v>
      </c>
      <c r="R314" s="94" t="s">
        <v>543</v>
      </c>
    </row>
    <row r="315" spans="1:18" s="53" customFormat="1" x14ac:dyDescent="0.2">
      <c r="A315" s="94" t="s">
        <v>337</v>
      </c>
      <c r="B315" s="94" t="s">
        <v>397</v>
      </c>
      <c r="C315" s="94">
        <v>1601132</v>
      </c>
      <c r="D315" s="94" t="s">
        <v>390</v>
      </c>
      <c r="E315" s="172">
        <v>20</v>
      </c>
      <c r="F315" s="172">
        <v>20</v>
      </c>
      <c r="G315" s="172">
        <v>20</v>
      </c>
      <c r="H315" s="94"/>
      <c r="I315" s="95">
        <v>5250</v>
      </c>
      <c r="J315" s="95">
        <v>50369.81123508537</v>
      </c>
      <c r="K315" s="95">
        <v>41370.780400000003</v>
      </c>
      <c r="L315" s="95">
        <v>31128.884300000005</v>
      </c>
      <c r="M315" s="95">
        <v>137811.25219829337</v>
      </c>
      <c r="N315" s="95">
        <f t="shared" si="20"/>
        <v>10.073962247017073</v>
      </c>
      <c r="O315" s="95">
        <f t="shared" si="21"/>
        <v>8.2741560800000009</v>
      </c>
      <c r="P315" s="95">
        <f t="shared" si="22"/>
        <v>6.2257768600000007</v>
      </c>
      <c r="Q315" s="95">
        <f t="shared" si="23"/>
        <v>14.499932940000001</v>
      </c>
      <c r="R315" s="94" t="s">
        <v>543</v>
      </c>
    </row>
    <row r="316" spans="1:18" s="53" customFormat="1" x14ac:dyDescent="0.2">
      <c r="A316" s="94" t="s">
        <v>337</v>
      </c>
      <c r="B316" s="94" t="s">
        <v>158</v>
      </c>
      <c r="C316" s="94">
        <v>1600488</v>
      </c>
      <c r="D316" s="94" t="s">
        <v>167</v>
      </c>
      <c r="E316" s="172">
        <v>9</v>
      </c>
      <c r="F316" s="172">
        <v>0</v>
      </c>
      <c r="G316" s="172">
        <v>9</v>
      </c>
      <c r="H316" s="94"/>
      <c r="I316" s="95">
        <v>5250</v>
      </c>
      <c r="J316" s="95">
        <v>39664.868233284593</v>
      </c>
      <c r="K316" s="95">
        <v>7175.4224999999997</v>
      </c>
      <c r="L316" s="95">
        <v>9126.6507999999994</v>
      </c>
      <c r="M316" s="95">
        <v>59097.160162550703</v>
      </c>
      <c r="N316" s="95">
        <f t="shared" si="20"/>
        <v>0</v>
      </c>
      <c r="O316" s="95">
        <f t="shared" si="21"/>
        <v>0</v>
      </c>
      <c r="P316" s="95">
        <f t="shared" si="22"/>
        <v>0.82139857199999999</v>
      </c>
      <c r="Q316" s="95">
        <f t="shared" si="23"/>
        <v>0.82139857199999999</v>
      </c>
      <c r="R316" s="94" t="s">
        <v>543</v>
      </c>
    </row>
    <row r="317" spans="1:18" s="53" customFormat="1" x14ac:dyDescent="0.2">
      <c r="A317" s="94" t="s">
        <v>337</v>
      </c>
      <c r="B317" s="94" t="s">
        <v>158</v>
      </c>
      <c r="C317" s="94">
        <v>1600939</v>
      </c>
      <c r="D317" s="94" t="s">
        <v>172</v>
      </c>
      <c r="E317" s="172">
        <v>3</v>
      </c>
      <c r="F317" s="172">
        <v>3</v>
      </c>
      <c r="G317" s="172">
        <v>3</v>
      </c>
      <c r="H317" s="94"/>
      <c r="I317" s="95">
        <v>5250</v>
      </c>
      <c r="J317" s="95">
        <v>39982.416089698076</v>
      </c>
      <c r="K317" s="95">
        <v>8017.9224999999988</v>
      </c>
      <c r="L317" s="95">
        <v>9164.1308000000008</v>
      </c>
      <c r="M317" s="95">
        <v>60319.747832852459</v>
      </c>
      <c r="N317" s="95">
        <f t="shared" si="20"/>
        <v>1.1994724826909422</v>
      </c>
      <c r="O317" s="95">
        <f t="shared" si="21"/>
        <v>0.24053767499999995</v>
      </c>
      <c r="P317" s="95">
        <f t="shared" si="22"/>
        <v>0.27492392400000004</v>
      </c>
      <c r="Q317" s="95">
        <f t="shared" si="23"/>
        <v>0.51546159899999999</v>
      </c>
      <c r="R317" s="94" t="s">
        <v>543</v>
      </c>
    </row>
    <row r="318" spans="1:18" s="53" customFormat="1" x14ac:dyDescent="0.2">
      <c r="A318" s="94" t="s">
        <v>337</v>
      </c>
      <c r="B318" s="94" t="s">
        <v>158</v>
      </c>
      <c r="C318" s="94">
        <v>1600492</v>
      </c>
      <c r="D318" s="94" t="s">
        <v>324</v>
      </c>
      <c r="E318" s="172">
        <v>8</v>
      </c>
      <c r="F318" s="172">
        <v>8</v>
      </c>
      <c r="G318" s="172">
        <v>8</v>
      </c>
      <c r="H318" s="94"/>
      <c r="I318" s="95">
        <v>5250</v>
      </c>
      <c r="J318" s="95">
        <v>37513.808053094799</v>
      </c>
      <c r="K318" s="95">
        <v>11000.355830000002</v>
      </c>
      <c r="L318" s="95">
        <v>9201.130799999999</v>
      </c>
      <c r="M318" s="95">
        <v>60675.758843264943</v>
      </c>
      <c r="N318" s="95">
        <f t="shared" si="20"/>
        <v>3.0011046442475839</v>
      </c>
      <c r="O318" s="95">
        <f t="shared" si="21"/>
        <v>0.88002846640000021</v>
      </c>
      <c r="P318" s="95">
        <f t="shared" si="22"/>
        <v>0.73609046399999989</v>
      </c>
      <c r="Q318" s="95">
        <f t="shared" si="23"/>
        <v>1.6161189304000001</v>
      </c>
      <c r="R318" s="94" t="s">
        <v>543</v>
      </c>
    </row>
    <row r="319" spans="1:18" s="53" customFormat="1" x14ac:dyDescent="0.2">
      <c r="A319" s="94" t="s">
        <v>337</v>
      </c>
      <c r="B319" s="94" t="s">
        <v>158</v>
      </c>
      <c r="C319" s="94">
        <v>1600925</v>
      </c>
      <c r="D319" s="94" t="s">
        <v>117</v>
      </c>
      <c r="E319" s="172">
        <v>46</v>
      </c>
      <c r="F319" s="172">
        <v>46</v>
      </c>
      <c r="G319" s="172">
        <v>46</v>
      </c>
      <c r="H319" s="94"/>
      <c r="I319" s="95">
        <v>5250</v>
      </c>
      <c r="J319" s="95">
        <v>37513.808053094799</v>
      </c>
      <c r="K319" s="95">
        <v>11000.355830000002</v>
      </c>
      <c r="L319" s="95">
        <v>9201.130799999999</v>
      </c>
      <c r="M319" s="95">
        <v>60675.758843264943</v>
      </c>
      <c r="N319" s="95">
        <f t="shared" si="20"/>
        <v>17.256351704423608</v>
      </c>
      <c r="O319" s="95">
        <f t="shared" si="21"/>
        <v>5.0601636818000006</v>
      </c>
      <c r="P319" s="95">
        <f t="shared" si="22"/>
        <v>4.2325201679999997</v>
      </c>
      <c r="Q319" s="95">
        <f t="shared" si="23"/>
        <v>9.2926838497999995</v>
      </c>
      <c r="R319" s="94" t="s">
        <v>543</v>
      </c>
    </row>
    <row r="320" spans="1:18" s="53" customFormat="1" x14ac:dyDescent="0.2">
      <c r="A320" s="94" t="s">
        <v>337</v>
      </c>
      <c r="B320" s="94" t="s">
        <v>158</v>
      </c>
      <c r="C320" s="94">
        <v>1600920</v>
      </c>
      <c r="D320" s="94" t="s">
        <v>179</v>
      </c>
      <c r="E320" s="172">
        <v>6</v>
      </c>
      <c r="F320" s="172">
        <v>6</v>
      </c>
      <c r="G320" s="172">
        <v>6</v>
      </c>
      <c r="H320" s="94"/>
      <c r="I320" s="95">
        <v>5250</v>
      </c>
      <c r="J320" s="95">
        <v>34449.540811889055</v>
      </c>
      <c r="K320" s="95">
        <v>13278.602280000001</v>
      </c>
      <c r="L320" s="95">
        <v>9196.8667999999998</v>
      </c>
      <c r="M320" s="95">
        <v>61697.997672155696</v>
      </c>
      <c r="N320" s="95">
        <f t="shared" si="20"/>
        <v>2.0669724487133436</v>
      </c>
      <c r="O320" s="95">
        <f t="shared" si="21"/>
        <v>0.79671613680000009</v>
      </c>
      <c r="P320" s="95">
        <f t="shared" si="22"/>
        <v>0.55181200799999996</v>
      </c>
      <c r="Q320" s="95">
        <f t="shared" si="23"/>
        <v>1.3485281447999999</v>
      </c>
      <c r="R320" s="94" t="s">
        <v>543</v>
      </c>
    </row>
    <row r="321" spans="1:18" s="53" customFormat="1" x14ac:dyDescent="0.2">
      <c r="A321" s="94" t="s">
        <v>337</v>
      </c>
      <c r="B321" s="94" t="s">
        <v>158</v>
      </c>
      <c r="C321" s="94">
        <v>1600868</v>
      </c>
      <c r="D321" s="94" t="s">
        <v>180</v>
      </c>
      <c r="E321" s="172">
        <v>34</v>
      </c>
      <c r="F321" s="172">
        <v>34</v>
      </c>
      <c r="G321" s="172">
        <v>34</v>
      </c>
      <c r="H321" s="94"/>
      <c r="I321" s="95">
        <v>5250</v>
      </c>
      <c r="J321" s="95">
        <v>36894.87587127251</v>
      </c>
      <c r="K321" s="95">
        <v>13265.367430000002</v>
      </c>
      <c r="L321" s="95">
        <v>5577.7134000000005</v>
      </c>
      <c r="M321" s="95">
        <v>58726.83741613006</v>
      </c>
      <c r="N321" s="95">
        <f t="shared" si="20"/>
        <v>12.544257796232653</v>
      </c>
      <c r="O321" s="95">
        <f t="shared" si="21"/>
        <v>4.5102249262000011</v>
      </c>
      <c r="P321" s="95">
        <f t="shared" si="22"/>
        <v>1.8964225560000003</v>
      </c>
      <c r="Q321" s="95">
        <f t="shared" si="23"/>
        <v>6.4066474822000012</v>
      </c>
      <c r="R321" s="94" t="s">
        <v>543</v>
      </c>
    </row>
    <row r="322" spans="1:18" s="53" customFormat="1" x14ac:dyDescent="0.2">
      <c r="A322" s="94" t="s">
        <v>337</v>
      </c>
      <c r="B322" s="94" t="s">
        <v>158</v>
      </c>
      <c r="C322" s="94">
        <v>1600826</v>
      </c>
      <c r="D322" s="94" t="s">
        <v>130</v>
      </c>
      <c r="E322" s="172">
        <v>4</v>
      </c>
      <c r="F322" s="172">
        <v>4</v>
      </c>
      <c r="G322" s="172">
        <v>4</v>
      </c>
      <c r="H322" s="94"/>
      <c r="I322" s="95">
        <v>5250</v>
      </c>
      <c r="J322" s="95">
        <v>52261.305536359825</v>
      </c>
      <c r="K322" s="95">
        <v>11569.496499999999</v>
      </c>
      <c r="L322" s="95">
        <v>21728.495200000001</v>
      </c>
      <c r="M322" s="95">
        <v>90808.634443525647</v>
      </c>
      <c r="N322" s="95">
        <f t="shared" si="20"/>
        <v>2.090452221454393</v>
      </c>
      <c r="O322" s="95">
        <f t="shared" si="21"/>
        <v>0.46277985999999999</v>
      </c>
      <c r="P322" s="95">
        <f t="shared" si="22"/>
        <v>0.86913980800000001</v>
      </c>
      <c r="Q322" s="95">
        <f t="shared" si="23"/>
        <v>1.3319196680000001</v>
      </c>
      <c r="R322" s="94" t="s">
        <v>543</v>
      </c>
    </row>
    <row r="323" spans="1:18" s="53" customFormat="1" ht="25.5" x14ac:dyDescent="0.2">
      <c r="A323" s="94" t="s">
        <v>337</v>
      </c>
      <c r="B323" s="94" t="s">
        <v>158</v>
      </c>
      <c r="C323" s="94">
        <v>1600831</v>
      </c>
      <c r="D323" s="94" t="s">
        <v>391</v>
      </c>
      <c r="E323" s="172">
        <v>6</v>
      </c>
      <c r="F323" s="172">
        <v>6</v>
      </c>
      <c r="G323" s="172">
        <v>6</v>
      </c>
      <c r="H323" s="94"/>
      <c r="I323" s="95">
        <v>5250</v>
      </c>
      <c r="J323" s="95">
        <v>57418.2</v>
      </c>
      <c r="K323" s="95">
        <v>10870.753612500001</v>
      </c>
      <c r="L323" s="95">
        <v>14520.557812485386</v>
      </c>
      <c r="M323" s="95">
        <v>92315.069111617631</v>
      </c>
      <c r="N323" s="95">
        <f t="shared" si="20"/>
        <v>3.4450919999999994</v>
      </c>
      <c r="O323" s="95">
        <f t="shared" si="21"/>
        <v>0.65224521675000002</v>
      </c>
      <c r="P323" s="95">
        <f t="shared" si="22"/>
        <v>0.87123346874912311</v>
      </c>
      <c r="Q323" s="95">
        <f t="shared" si="23"/>
        <v>1.5234786854991231</v>
      </c>
      <c r="R323" s="94" t="s">
        <v>543</v>
      </c>
    </row>
    <row r="324" spans="1:18" s="53" customFormat="1" x14ac:dyDescent="0.2">
      <c r="A324" s="94" t="s">
        <v>337</v>
      </c>
      <c r="B324" s="94" t="s">
        <v>158</v>
      </c>
      <c r="C324" s="94">
        <v>1600478</v>
      </c>
      <c r="D324" s="94" t="s">
        <v>132</v>
      </c>
      <c r="E324" s="172">
        <v>9</v>
      </c>
      <c r="F324" s="172">
        <v>9</v>
      </c>
      <c r="G324" s="172">
        <v>9</v>
      </c>
      <c r="H324" s="94"/>
      <c r="I324" s="95">
        <v>5250</v>
      </c>
      <c r="J324" s="95">
        <v>52261.305536359825</v>
      </c>
      <c r="K324" s="95">
        <v>11569.496499999999</v>
      </c>
      <c r="L324" s="95">
        <v>21728.495200000001</v>
      </c>
      <c r="M324" s="95">
        <v>90808.634443525647</v>
      </c>
      <c r="N324" s="95">
        <f t="shared" si="20"/>
        <v>4.703517498272384</v>
      </c>
      <c r="O324" s="95">
        <f t="shared" si="21"/>
        <v>1.041254685</v>
      </c>
      <c r="P324" s="95">
        <f t="shared" si="22"/>
        <v>1.9555645680000002</v>
      </c>
      <c r="Q324" s="95">
        <f t="shared" si="23"/>
        <v>2.996819253</v>
      </c>
      <c r="R324" s="94" t="s">
        <v>543</v>
      </c>
    </row>
    <row r="325" spans="1:18" s="53" customFormat="1" x14ac:dyDescent="0.2">
      <c r="A325" s="94" t="s">
        <v>337</v>
      </c>
      <c r="B325" s="94" t="s">
        <v>158</v>
      </c>
      <c r="C325" s="94">
        <v>1600085</v>
      </c>
      <c r="D325" s="94" t="s">
        <v>228</v>
      </c>
      <c r="E325" s="172">
        <v>5</v>
      </c>
      <c r="F325" s="172">
        <v>5</v>
      </c>
      <c r="G325" s="172">
        <v>5</v>
      </c>
      <c r="H325" s="94"/>
      <c r="I325" s="95">
        <v>5250</v>
      </c>
      <c r="J325" s="95">
        <v>52261.305536359825</v>
      </c>
      <c r="K325" s="95">
        <v>11569.496499999999</v>
      </c>
      <c r="L325" s="95">
        <v>20464.098700000002</v>
      </c>
      <c r="M325" s="95">
        <v>89544.237943525644</v>
      </c>
      <c r="N325" s="95">
        <f t="shared" si="20"/>
        <v>2.6130652768179914</v>
      </c>
      <c r="O325" s="95">
        <f t="shared" si="21"/>
        <v>0.57847482500000003</v>
      </c>
      <c r="P325" s="95">
        <f t="shared" si="22"/>
        <v>1.0232049350000001</v>
      </c>
      <c r="Q325" s="95">
        <f t="shared" si="23"/>
        <v>1.6016797600000001</v>
      </c>
      <c r="R325" s="94" t="s">
        <v>543</v>
      </c>
    </row>
    <row r="326" spans="1:18" s="53" customFormat="1" x14ac:dyDescent="0.2">
      <c r="A326" s="94" t="s">
        <v>337</v>
      </c>
      <c r="B326" s="94" t="s">
        <v>158</v>
      </c>
      <c r="C326" s="94">
        <v>1600836</v>
      </c>
      <c r="D326" s="94" t="s">
        <v>120</v>
      </c>
      <c r="E326" s="172">
        <v>10</v>
      </c>
      <c r="F326" s="172">
        <v>10</v>
      </c>
      <c r="G326" s="172">
        <v>10</v>
      </c>
      <c r="H326" s="94"/>
      <c r="I326" s="95">
        <v>5250</v>
      </c>
      <c r="J326" s="95">
        <v>40420.280926959873</v>
      </c>
      <c r="K326" s="95">
        <v>10242.58</v>
      </c>
      <c r="L326" s="95">
        <v>17283.869000000002</v>
      </c>
      <c r="M326" s="95">
        <v>73802.836658854198</v>
      </c>
      <c r="N326" s="95">
        <f t="shared" si="20"/>
        <v>4.0420280926959871</v>
      </c>
      <c r="O326" s="95">
        <f t="shared" si="21"/>
        <v>1.0242580000000001</v>
      </c>
      <c r="P326" s="95">
        <f t="shared" si="22"/>
        <v>1.7283869000000003</v>
      </c>
      <c r="Q326" s="95">
        <f t="shared" si="23"/>
        <v>2.7526449000000004</v>
      </c>
      <c r="R326" s="94" t="s">
        <v>543</v>
      </c>
    </row>
    <row r="327" spans="1:18" s="53" customFormat="1" x14ac:dyDescent="0.2">
      <c r="A327" s="94" t="s">
        <v>337</v>
      </c>
      <c r="B327" s="94" t="s">
        <v>158</v>
      </c>
      <c r="C327" s="94">
        <v>1600106</v>
      </c>
      <c r="D327" s="94" t="s">
        <v>119</v>
      </c>
      <c r="E327" s="172">
        <v>12</v>
      </c>
      <c r="F327" s="172">
        <v>12</v>
      </c>
      <c r="G327" s="172">
        <v>12</v>
      </c>
      <c r="H327" s="94"/>
      <c r="I327" s="95">
        <v>5250</v>
      </c>
      <c r="J327" s="95">
        <v>33856.044671955635</v>
      </c>
      <c r="K327" s="95">
        <v>13981.930000000002</v>
      </c>
      <c r="L327" s="95">
        <v>8242.0239999999994</v>
      </c>
      <c r="M327" s="95">
        <v>58829.065000557021</v>
      </c>
      <c r="N327" s="95">
        <f t="shared" si="20"/>
        <v>4.0627253606346763</v>
      </c>
      <c r="O327" s="95">
        <f t="shared" si="21"/>
        <v>1.6778316000000004</v>
      </c>
      <c r="P327" s="95">
        <f t="shared" si="22"/>
        <v>0.98904287999999996</v>
      </c>
      <c r="Q327" s="95">
        <f t="shared" si="23"/>
        <v>2.6668744800000006</v>
      </c>
      <c r="R327" s="94" t="s">
        <v>543</v>
      </c>
    </row>
    <row r="328" spans="1:18" s="53" customFormat="1" x14ac:dyDescent="0.2">
      <c r="A328" s="94" t="s">
        <v>337</v>
      </c>
      <c r="B328" s="94" t="s">
        <v>158</v>
      </c>
      <c r="C328" s="94">
        <v>1601105</v>
      </c>
      <c r="D328" s="94" t="s">
        <v>280</v>
      </c>
      <c r="E328" s="172">
        <v>8</v>
      </c>
      <c r="F328" s="172">
        <v>8</v>
      </c>
      <c r="G328" s="172">
        <v>8</v>
      </c>
      <c r="H328" s="94"/>
      <c r="I328" s="95">
        <v>5250</v>
      </c>
      <c r="J328" s="95">
        <v>36165.826806761681</v>
      </c>
      <c r="K328" s="95">
        <v>8874.6332000000002</v>
      </c>
      <c r="L328" s="95">
        <v>6001.3220000000001</v>
      </c>
      <c r="M328" s="95">
        <v>57051.166487208153</v>
      </c>
      <c r="N328" s="95">
        <f t="shared" si="20"/>
        <v>2.8932661445409344</v>
      </c>
      <c r="O328" s="95">
        <f t="shared" si="21"/>
        <v>0.70997065599999998</v>
      </c>
      <c r="P328" s="95">
        <f t="shared" si="22"/>
        <v>0.48010575999999999</v>
      </c>
      <c r="Q328" s="95">
        <f t="shared" si="23"/>
        <v>1.1900764159999999</v>
      </c>
      <c r="R328" s="94" t="s">
        <v>543</v>
      </c>
    </row>
    <row r="329" spans="1:18" s="53" customFormat="1" x14ac:dyDescent="0.2">
      <c r="A329" s="94" t="s">
        <v>337</v>
      </c>
      <c r="B329" s="94" t="s">
        <v>158</v>
      </c>
      <c r="C329" s="94">
        <v>1601103</v>
      </c>
      <c r="D329" s="94" t="s">
        <v>281</v>
      </c>
      <c r="E329" s="172">
        <v>10</v>
      </c>
      <c r="F329" s="172">
        <v>10</v>
      </c>
      <c r="G329" s="172">
        <v>10</v>
      </c>
      <c r="H329" s="94"/>
      <c r="I329" s="95">
        <v>5250</v>
      </c>
      <c r="J329" s="95">
        <v>36093.522900231073</v>
      </c>
      <c r="K329" s="95">
        <v>8100.6099999999988</v>
      </c>
      <c r="L329" s="95">
        <v>5939.9520000000002</v>
      </c>
      <c r="M329" s="95">
        <v>56044.036993488218</v>
      </c>
      <c r="N329" s="95">
        <f t="shared" si="20"/>
        <v>3.6093522900231072</v>
      </c>
      <c r="O329" s="95">
        <f t="shared" si="21"/>
        <v>0.81006099999999992</v>
      </c>
      <c r="P329" s="95">
        <f t="shared" si="22"/>
        <v>0.59399520000000006</v>
      </c>
      <c r="Q329" s="95">
        <f t="shared" si="23"/>
        <v>1.4040561999999999</v>
      </c>
      <c r="R329" s="94" t="s">
        <v>543</v>
      </c>
    </row>
    <row r="330" spans="1:18" s="53" customFormat="1" x14ac:dyDescent="0.2">
      <c r="A330" s="94" t="s">
        <v>337</v>
      </c>
      <c r="B330" s="94" t="s">
        <v>158</v>
      </c>
      <c r="C330" s="94">
        <v>1601102</v>
      </c>
      <c r="D330" s="94" t="s">
        <v>282</v>
      </c>
      <c r="E330" s="172">
        <v>8</v>
      </c>
      <c r="F330" s="172">
        <v>8</v>
      </c>
      <c r="G330" s="172">
        <v>8</v>
      </c>
      <c r="H330" s="94"/>
      <c r="I330" s="95">
        <v>5250</v>
      </c>
      <c r="J330" s="95">
        <v>36080.016383681184</v>
      </c>
      <c r="K330" s="95">
        <v>11301.4406</v>
      </c>
      <c r="L330" s="95">
        <v>5956.1020000000008</v>
      </c>
      <c r="M330" s="95">
        <v>59332.892868653507</v>
      </c>
      <c r="N330" s="95">
        <f t="shared" si="20"/>
        <v>2.8864013106944948</v>
      </c>
      <c r="O330" s="95">
        <f t="shared" si="21"/>
        <v>0.90411524799999998</v>
      </c>
      <c r="P330" s="95">
        <f t="shared" si="22"/>
        <v>0.47648816000000005</v>
      </c>
      <c r="Q330" s="95">
        <f t="shared" si="23"/>
        <v>1.380603408</v>
      </c>
      <c r="R330" s="94" t="s">
        <v>543</v>
      </c>
    </row>
    <row r="331" spans="1:18" s="53" customFormat="1" x14ac:dyDescent="0.2">
      <c r="A331" s="94" t="s">
        <v>337</v>
      </c>
      <c r="B331" s="94" t="s">
        <v>158</v>
      </c>
      <c r="C331" s="94">
        <v>1601059</v>
      </c>
      <c r="D331" s="94" t="s">
        <v>392</v>
      </c>
      <c r="E331" s="172">
        <v>10</v>
      </c>
      <c r="F331" s="172">
        <v>10</v>
      </c>
      <c r="G331" s="172">
        <v>10</v>
      </c>
      <c r="H331" s="94"/>
      <c r="I331" s="95">
        <v>5250</v>
      </c>
      <c r="J331" s="95">
        <v>36165.826806761681</v>
      </c>
      <c r="K331" s="95">
        <v>8874.6332000000002</v>
      </c>
      <c r="L331" s="95">
        <v>5224.0439999999999</v>
      </c>
      <c r="M331" s="95">
        <v>56186.295138976944</v>
      </c>
      <c r="N331" s="95">
        <f t="shared" si="20"/>
        <v>3.6165826806761681</v>
      </c>
      <c r="O331" s="95">
        <f t="shared" si="21"/>
        <v>0.88746331999999994</v>
      </c>
      <c r="P331" s="95">
        <f t="shared" si="22"/>
        <v>0.52240439999999999</v>
      </c>
      <c r="Q331" s="95">
        <f t="shared" si="23"/>
        <v>1.4098677199999998</v>
      </c>
      <c r="R331" s="94" t="s">
        <v>543</v>
      </c>
    </row>
    <row r="332" spans="1:18" s="53" customFormat="1" x14ac:dyDescent="0.2">
      <c r="A332" s="94" t="s">
        <v>337</v>
      </c>
      <c r="B332" s="94" t="s">
        <v>158</v>
      </c>
      <c r="C332" s="94">
        <v>1601058</v>
      </c>
      <c r="D332" s="94" t="s">
        <v>393</v>
      </c>
      <c r="E332" s="172">
        <v>20</v>
      </c>
      <c r="F332" s="172">
        <v>20</v>
      </c>
      <c r="G332" s="172">
        <v>20</v>
      </c>
      <c r="H332" s="94"/>
      <c r="I332" s="95">
        <v>5250</v>
      </c>
      <c r="J332" s="95">
        <v>36093.522900231073</v>
      </c>
      <c r="K332" s="95">
        <v>8100.6099999999988</v>
      </c>
      <c r="L332" s="95">
        <v>5270.5889999999999</v>
      </c>
      <c r="M332" s="95">
        <v>55374.673993488221</v>
      </c>
      <c r="N332" s="95">
        <f t="shared" si="20"/>
        <v>7.2187045800462144</v>
      </c>
      <c r="O332" s="95">
        <f t="shared" si="21"/>
        <v>1.6201219999999998</v>
      </c>
      <c r="P332" s="95">
        <f t="shared" si="22"/>
        <v>1.0541178</v>
      </c>
      <c r="Q332" s="95">
        <f t="shared" si="23"/>
        <v>2.6742397999999996</v>
      </c>
      <c r="R332" s="94" t="s">
        <v>543</v>
      </c>
    </row>
    <row r="333" spans="1:18" s="53" customFormat="1" x14ac:dyDescent="0.2">
      <c r="A333" s="94" t="s">
        <v>337</v>
      </c>
      <c r="B333" s="94" t="s">
        <v>158</v>
      </c>
      <c r="C333" s="94">
        <v>1601057</v>
      </c>
      <c r="D333" s="94" t="s">
        <v>279</v>
      </c>
      <c r="E333" s="172">
        <v>10</v>
      </c>
      <c r="F333" s="172">
        <v>10</v>
      </c>
      <c r="G333" s="172">
        <v>10</v>
      </c>
      <c r="H333" s="94"/>
      <c r="I333" s="95">
        <v>5250</v>
      </c>
      <c r="J333" s="95">
        <v>36080.016383681184</v>
      </c>
      <c r="K333" s="95">
        <v>11301.4406</v>
      </c>
      <c r="L333" s="95">
        <v>5230.2790000000005</v>
      </c>
      <c r="M333" s="95">
        <v>58607.069868653511</v>
      </c>
      <c r="N333" s="95">
        <f t="shared" si="20"/>
        <v>3.6080016383681186</v>
      </c>
      <c r="O333" s="95">
        <f t="shared" si="21"/>
        <v>1.1301440600000001</v>
      </c>
      <c r="P333" s="95">
        <f t="shared" si="22"/>
        <v>0.5230279000000001</v>
      </c>
      <c r="Q333" s="95">
        <f t="shared" si="23"/>
        <v>1.6531719600000003</v>
      </c>
      <c r="R333" s="94" t="s">
        <v>543</v>
      </c>
    </row>
    <row r="334" spans="1:18" s="53" customFormat="1" x14ac:dyDescent="0.2">
      <c r="A334" s="94" t="s">
        <v>337</v>
      </c>
      <c r="B334" s="94" t="s">
        <v>158</v>
      </c>
      <c r="C334" s="94">
        <v>1600892</v>
      </c>
      <c r="D334" s="94" t="s">
        <v>364</v>
      </c>
      <c r="E334" s="172">
        <v>5</v>
      </c>
      <c r="F334" s="172">
        <v>5</v>
      </c>
      <c r="G334" s="172">
        <v>5</v>
      </c>
      <c r="H334" s="94"/>
      <c r="I334" s="95"/>
      <c r="J334" s="95">
        <v>0</v>
      </c>
      <c r="K334" s="95">
        <v>86011.890172600004</v>
      </c>
      <c r="L334" s="95">
        <v>31278.8675</v>
      </c>
      <c r="M334" s="95">
        <v>117368.01828330188</v>
      </c>
      <c r="N334" s="95">
        <f t="shared" si="20"/>
        <v>0</v>
      </c>
      <c r="O334" s="95">
        <f t="shared" si="21"/>
        <v>4.3005945086299997</v>
      </c>
      <c r="P334" s="95">
        <f t="shared" si="22"/>
        <v>1.563943375</v>
      </c>
      <c r="Q334" s="95">
        <f t="shared" si="23"/>
        <v>5.8645378836299997</v>
      </c>
      <c r="R334" s="94" t="s">
        <v>543</v>
      </c>
    </row>
    <row r="335" spans="1:18" s="53" customFormat="1" x14ac:dyDescent="0.2">
      <c r="A335" s="94" t="s">
        <v>337</v>
      </c>
      <c r="B335" s="94" t="s">
        <v>158</v>
      </c>
      <c r="C335" s="94">
        <v>1600894</v>
      </c>
      <c r="D335" s="94" t="s">
        <v>394</v>
      </c>
      <c r="E335" s="172">
        <v>1</v>
      </c>
      <c r="F335" s="172">
        <v>1</v>
      </c>
      <c r="G335" s="172">
        <v>1</v>
      </c>
      <c r="H335" s="94"/>
      <c r="I335" s="95"/>
      <c r="J335" s="95">
        <v>0</v>
      </c>
      <c r="K335" s="95">
        <v>88041.733400000012</v>
      </c>
      <c r="L335" s="95">
        <v>25664.6201</v>
      </c>
      <c r="M335" s="95">
        <v>113783.61411070188</v>
      </c>
      <c r="N335" s="95">
        <f t="shared" si="20"/>
        <v>0</v>
      </c>
      <c r="O335" s="95">
        <f t="shared" si="21"/>
        <v>0.88041733400000011</v>
      </c>
      <c r="P335" s="95">
        <f t="shared" si="22"/>
        <v>0.25664620100000002</v>
      </c>
      <c r="Q335" s="95">
        <f t="shared" si="23"/>
        <v>1.1370635350000002</v>
      </c>
      <c r="R335" s="94" t="s">
        <v>543</v>
      </c>
    </row>
    <row r="336" spans="1:18" s="53" customFormat="1" x14ac:dyDescent="0.2">
      <c r="A336" s="94" t="s">
        <v>337</v>
      </c>
      <c r="B336" s="94" t="s">
        <v>158</v>
      </c>
      <c r="C336" s="94">
        <v>1600896</v>
      </c>
      <c r="D336" s="94" t="s">
        <v>395</v>
      </c>
      <c r="E336" s="172">
        <v>5</v>
      </c>
      <c r="F336" s="172">
        <v>5</v>
      </c>
      <c r="G336" s="172">
        <v>5</v>
      </c>
      <c r="H336" s="94"/>
      <c r="I336" s="95"/>
      <c r="J336" s="95">
        <v>0</v>
      </c>
      <c r="K336" s="95">
        <v>88041.733400000012</v>
      </c>
      <c r="L336" s="95">
        <v>31024.468099999998</v>
      </c>
      <c r="M336" s="95">
        <v>119066.20150000001</v>
      </c>
      <c r="N336" s="95">
        <f t="shared" si="20"/>
        <v>0</v>
      </c>
      <c r="O336" s="95">
        <f t="shared" si="21"/>
        <v>4.402086670000001</v>
      </c>
      <c r="P336" s="95">
        <f t="shared" si="22"/>
        <v>1.551223405</v>
      </c>
      <c r="Q336" s="95">
        <f t="shared" si="23"/>
        <v>5.953310075000001</v>
      </c>
      <c r="R336" s="94" t="s">
        <v>543</v>
      </c>
    </row>
    <row r="337" spans="1:18" s="53" customFormat="1" x14ac:dyDescent="0.2">
      <c r="A337" s="94" t="s">
        <v>337</v>
      </c>
      <c r="B337" s="94" t="s">
        <v>159</v>
      </c>
      <c r="C337" s="94">
        <v>1601207</v>
      </c>
      <c r="D337" s="94" t="s">
        <v>396</v>
      </c>
      <c r="E337" s="172">
        <v>36</v>
      </c>
      <c r="F337" s="172">
        <v>57</v>
      </c>
      <c r="G337" s="172">
        <v>57</v>
      </c>
      <c r="H337" s="94"/>
      <c r="I337" s="95"/>
      <c r="J337" s="95">
        <v>0</v>
      </c>
      <c r="K337" s="95">
        <v>19540.188479999997</v>
      </c>
      <c r="L337" s="95">
        <v>52210.154999999999</v>
      </c>
      <c r="M337" s="95">
        <v>83800.620235464434</v>
      </c>
      <c r="N337" s="95">
        <f t="shared" si="20"/>
        <v>0</v>
      </c>
      <c r="O337" s="95">
        <f t="shared" si="21"/>
        <v>11.137907433599997</v>
      </c>
      <c r="P337" s="95">
        <f t="shared" si="22"/>
        <v>29.759788350000001</v>
      </c>
      <c r="Q337" s="95">
        <f t="shared" si="23"/>
        <v>40.8976957836</v>
      </c>
      <c r="R337" s="94" t="s">
        <v>543</v>
      </c>
    </row>
    <row r="338" spans="1:18" s="53" customFormat="1" x14ac:dyDescent="0.2">
      <c r="A338" s="94" t="s">
        <v>337</v>
      </c>
      <c r="B338" s="94" t="s">
        <v>317</v>
      </c>
      <c r="C338" s="94">
        <v>1600520</v>
      </c>
      <c r="D338" s="94" t="s">
        <v>190</v>
      </c>
      <c r="E338" s="172">
        <v>62000</v>
      </c>
      <c r="F338" s="172">
        <v>62000</v>
      </c>
      <c r="G338" s="172">
        <v>62000</v>
      </c>
      <c r="H338" s="94"/>
      <c r="I338" s="95"/>
      <c r="J338" s="95">
        <v>0</v>
      </c>
      <c r="K338" s="95">
        <v>3.5726064069975365</v>
      </c>
      <c r="L338" s="95">
        <v>4.0343681802182321</v>
      </c>
      <c r="M338" s="95">
        <v>10.300137212282552</v>
      </c>
      <c r="N338" s="95">
        <f t="shared" ref="N338:N401" si="24">$F338*J338/100000</f>
        <v>0</v>
      </c>
      <c r="O338" s="95">
        <f t="shared" ref="O338:O401" si="25">F338*K338/100000</f>
        <v>2.2150159723384726</v>
      </c>
      <c r="P338" s="95">
        <f t="shared" ref="P338:P401" si="26">L338*G338/100000</f>
        <v>2.5013082717353039</v>
      </c>
      <c r="Q338" s="95">
        <f t="shared" ref="Q338:Q401" si="27">O338+P338</f>
        <v>4.7163242440737765</v>
      </c>
      <c r="R338" s="94" t="s">
        <v>543</v>
      </c>
    </row>
    <row r="339" spans="1:18" s="53" customFormat="1" x14ac:dyDescent="0.2">
      <c r="A339" s="94" t="s">
        <v>337</v>
      </c>
      <c r="B339" s="94" t="s">
        <v>317</v>
      </c>
      <c r="C339" s="94">
        <v>1600521</v>
      </c>
      <c r="D339" s="94" t="s">
        <v>325</v>
      </c>
      <c r="E339" s="172">
        <v>26000</v>
      </c>
      <c r="F339" s="172">
        <v>26000</v>
      </c>
      <c r="G339" s="172">
        <v>26000</v>
      </c>
      <c r="H339" s="94"/>
      <c r="I339" s="95"/>
      <c r="J339" s="95">
        <v>0</v>
      </c>
      <c r="K339" s="95">
        <v>14.300420500000001</v>
      </c>
      <c r="L339" s="95">
        <v>18.226042253521126</v>
      </c>
      <c r="M339" s="95">
        <v>36.706599447706637</v>
      </c>
      <c r="N339" s="95">
        <f t="shared" si="24"/>
        <v>0</v>
      </c>
      <c r="O339" s="95">
        <f t="shared" si="25"/>
        <v>3.7181093300000003</v>
      </c>
      <c r="P339" s="95">
        <f t="shared" si="26"/>
        <v>4.738770985915493</v>
      </c>
      <c r="Q339" s="95">
        <f t="shared" si="27"/>
        <v>8.4568803159154928</v>
      </c>
      <c r="R339" s="94" t="s">
        <v>543</v>
      </c>
    </row>
    <row r="340" spans="1:18" s="53" customFormat="1" x14ac:dyDescent="0.2">
      <c r="A340" s="94" t="s">
        <v>337</v>
      </c>
      <c r="B340" s="94" t="s">
        <v>158</v>
      </c>
      <c r="C340" s="94">
        <v>1600560</v>
      </c>
      <c r="D340" s="94" t="s">
        <v>218</v>
      </c>
      <c r="E340" s="172">
        <v>1.0743999999999998</v>
      </c>
      <c r="F340" s="172">
        <v>1.0743999999999998</v>
      </c>
      <c r="G340" s="172">
        <v>1.0743999999999998</v>
      </c>
      <c r="H340" s="94"/>
      <c r="I340" s="95"/>
      <c r="J340" s="95">
        <v>0</v>
      </c>
      <c r="K340" s="95">
        <v>31033.477899999994</v>
      </c>
      <c r="L340" s="95">
        <v>37311.389699999992</v>
      </c>
      <c r="M340" s="95">
        <v>84486.194557156559</v>
      </c>
      <c r="N340" s="95">
        <f t="shared" si="24"/>
        <v>0</v>
      </c>
      <c r="O340" s="95">
        <f t="shared" si="25"/>
        <v>0.33342368655759985</v>
      </c>
      <c r="P340" s="95">
        <f t="shared" si="26"/>
        <v>0.40087357093679987</v>
      </c>
      <c r="Q340" s="95">
        <f t="shared" si="27"/>
        <v>0.73429725749439978</v>
      </c>
      <c r="R340" s="94" t="s">
        <v>543</v>
      </c>
    </row>
    <row r="341" spans="1:18" s="53" customFormat="1" x14ac:dyDescent="0.2">
      <c r="A341" s="94" t="s">
        <v>337</v>
      </c>
      <c r="B341" s="94" t="s">
        <v>158</v>
      </c>
      <c r="C341" s="94">
        <v>1600742</v>
      </c>
      <c r="D341" s="94" t="s">
        <v>313</v>
      </c>
      <c r="E341" s="172">
        <v>2.9773200000000002</v>
      </c>
      <c r="F341" s="172">
        <v>2.9773200000000002</v>
      </c>
      <c r="G341" s="172">
        <v>2.9773200000000002</v>
      </c>
      <c r="H341" s="94"/>
      <c r="I341" s="95"/>
      <c r="J341" s="95">
        <v>0</v>
      </c>
      <c r="K341" s="95">
        <v>31033.477899999994</v>
      </c>
      <c r="L341" s="95">
        <v>54163.084999999999</v>
      </c>
      <c r="M341" s="95">
        <v>101334.10836825299</v>
      </c>
      <c r="N341" s="95">
        <f t="shared" si="24"/>
        <v>0</v>
      </c>
      <c r="O341" s="95">
        <f t="shared" si="25"/>
        <v>0.92396594421227984</v>
      </c>
      <c r="P341" s="95">
        <f t="shared" si="26"/>
        <v>1.612608362322</v>
      </c>
      <c r="Q341" s="95">
        <f t="shared" si="27"/>
        <v>2.5365743065342796</v>
      </c>
      <c r="R341" s="94" t="s">
        <v>543</v>
      </c>
    </row>
    <row r="342" spans="1:18" s="53" customFormat="1" x14ac:dyDescent="0.2">
      <c r="A342" s="94" t="s">
        <v>336</v>
      </c>
      <c r="B342" s="94" t="s">
        <v>157</v>
      </c>
      <c r="C342" s="94">
        <v>1600230</v>
      </c>
      <c r="D342" s="94" t="s">
        <v>111</v>
      </c>
      <c r="E342" s="94">
        <v>30</v>
      </c>
      <c r="F342" s="94">
        <v>30</v>
      </c>
      <c r="G342" s="94">
        <v>30</v>
      </c>
      <c r="H342" s="94" t="s">
        <v>368</v>
      </c>
      <c r="I342" s="95">
        <v>5250</v>
      </c>
      <c r="J342" s="95">
        <v>42156.867282561507</v>
      </c>
      <c r="K342" s="95">
        <v>10949.074999999999</v>
      </c>
      <c r="L342" s="95">
        <v>11869.240599999999</v>
      </c>
      <c r="M342" s="95">
        <v>83523.401882051781</v>
      </c>
      <c r="N342" s="95">
        <f t="shared" si="24"/>
        <v>12.647060184768453</v>
      </c>
      <c r="O342" s="95">
        <f t="shared" si="25"/>
        <v>3.2847224999999995</v>
      </c>
      <c r="P342" s="95">
        <f t="shared" si="26"/>
        <v>3.5607721799999998</v>
      </c>
      <c r="Q342" s="95">
        <f t="shared" si="27"/>
        <v>6.8454946799999998</v>
      </c>
      <c r="R342" s="94" t="s">
        <v>543</v>
      </c>
    </row>
    <row r="343" spans="1:18" s="53" customFormat="1" x14ac:dyDescent="0.2">
      <c r="A343" s="94" t="s">
        <v>336</v>
      </c>
      <c r="B343" s="94" t="s">
        <v>206</v>
      </c>
      <c r="C343" s="94">
        <v>1600854</v>
      </c>
      <c r="D343" s="94" t="s">
        <v>163</v>
      </c>
      <c r="E343" s="94">
        <v>7</v>
      </c>
      <c r="F343" s="94">
        <v>7</v>
      </c>
      <c r="G343" s="94">
        <v>7</v>
      </c>
      <c r="H343" s="94" t="s">
        <v>368</v>
      </c>
      <c r="I343" s="95">
        <v>5250</v>
      </c>
      <c r="J343" s="95">
        <v>37232.959806817904</v>
      </c>
      <c r="K343" s="95">
        <v>13251.681623200004</v>
      </c>
      <c r="L343" s="95">
        <v>6310.0995489899997</v>
      </c>
      <c r="M343" s="95">
        <v>67918.005491504504</v>
      </c>
      <c r="N343" s="95">
        <f t="shared" si="24"/>
        <v>2.6063071864772533</v>
      </c>
      <c r="O343" s="95">
        <f t="shared" si="25"/>
        <v>0.92761771362400036</v>
      </c>
      <c r="P343" s="95">
        <f t="shared" si="26"/>
        <v>0.44170696842929996</v>
      </c>
      <c r="Q343" s="95">
        <f t="shared" si="27"/>
        <v>1.3693246820533003</v>
      </c>
      <c r="R343" s="94" t="s">
        <v>543</v>
      </c>
    </row>
    <row r="344" spans="1:18" s="53" customFormat="1" ht="38.25" x14ac:dyDescent="0.2">
      <c r="A344" s="94" t="s">
        <v>336</v>
      </c>
      <c r="B344" s="94" t="s">
        <v>206</v>
      </c>
      <c r="C344" s="94" t="s">
        <v>298</v>
      </c>
      <c r="D344" s="94" t="s">
        <v>298</v>
      </c>
      <c r="E344" s="94">
        <v>9</v>
      </c>
      <c r="F344" s="94">
        <v>9</v>
      </c>
      <c r="G344" s="94">
        <v>9</v>
      </c>
      <c r="H344" s="94" t="s">
        <v>368</v>
      </c>
      <c r="I344" s="95">
        <v>5250</v>
      </c>
      <c r="J344" s="95">
        <v>37232.959806817904</v>
      </c>
      <c r="K344" s="95">
        <v>13251.681623200004</v>
      </c>
      <c r="L344" s="95">
        <v>6310.0995489899997</v>
      </c>
      <c r="M344" s="95">
        <v>67918.005491504504</v>
      </c>
      <c r="N344" s="95">
        <f t="shared" si="24"/>
        <v>3.3509663826136116</v>
      </c>
      <c r="O344" s="95">
        <f t="shared" si="25"/>
        <v>1.1926513460880004</v>
      </c>
      <c r="P344" s="95">
        <f t="shared" si="26"/>
        <v>0.56790895940910002</v>
      </c>
      <c r="Q344" s="95">
        <f t="shared" si="27"/>
        <v>1.7605603054971004</v>
      </c>
      <c r="R344" s="94" t="s">
        <v>543</v>
      </c>
    </row>
    <row r="345" spans="1:18" s="53" customFormat="1" ht="38.25" x14ac:dyDescent="0.2">
      <c r="A345" s="94" t="s">
        <v>336</v>
      </c>
      <c r="B345" s="94" t="s">
        <v>206</v>
      </c>
      <c r="C345" s="94" t="s">
        <v>299</v>
      </c>
      <c r="D345" s="94" t="s">
        <v>299</v>
      </c>
      <c r="E345" s="94">
        <v>12</v>
      </c>
      <c r="F345" s="94">
        <v>12</v>
      </c>
      <c r="G345" s="94">
        <v>0</v>
      </c>
      <c r="H345" s="94" t="s">
        <v>368</v>
      </c>
      <c r="I345" s="95">
        <v>5250</v>
      </c>
      <c r="J345" s="95">
        <v>37232.959806817904</v>
      </c>
      <c r="K345" s="95">
        <v>13251.681623200004</v>
      </c>
      <c r="L345" s="95">
        <v>6310.0995489899997</v>
      </c>
      <c r="M345" s="95">
        <v>67918.005491504504</v>
      </c>
      <c r="N345" s="95">
        <f t="shared" si="24"/>
        <v>4.4679551768181485</v>
      </c>
      <c r="O345" s="95">
        <f t="shared" si="25"/>
        <v>1.5902017947840004</v>
      </c>
      <c r="P345" s="95">
        <f t="shared" si="26"/>
        <v>0</v>
      </c>
      <c r="Q345" s="95">
        <f t="shared" si="27"/>
        <v>1.5902017947840004</v>
      </c>
      <c r="R345" s="94" t="s">
        <v>543</v>
      </c>
    </row>
    <row r="346" spans="1:18" s="53" customFormat="1" ht="38.25" x14ac:dyDescent="0.2">
      <c r="A346" s="94" t="s">
        <v>336</v>
      </c>
      <c r="B346" s="94" t="s">
        <v>315</v>
      </c>
      <c r="C346" s="94" t="s">
        <v>302</v>
      </c>
      <c r="D346" s="94" t="s">
        <v>302</v>
      </c>
      <c r="E346" s="94">
        <v>9</v>
      </c>
      <c r="F346" s="94">
        <v>9</v>
      </c>
      <c r="G346" s="94">
        <v>9</v>
      </c>
      <c r="H346" s="94" t="s">
        <v>368</v>
      </c>
      <c r="I346" s="95">
        <v>5250</v>
      </c>
      <c r="J346" s="95">
        <v>42156.867282561507</v>
      </c>
      <c r="K346" s="95">
        <v>10949.074999999999</v>
      </c>
      <c r="L346" s="95">
        <v>11869.240599999999</v>
      </c>
      <c r="M346" s="95">
        <v>83523.401882051781</v>
      </c>
      <c r="N346" s="95">
        <f t="shared" si="24"/>
        <v>3.7941180554305354</v>
      </c>
      <c r="O346" s="95">
        <f t="shared" si="25"/>
        <v>0.98541674999999984</v>
      </c>
      <c r="P346" s="95">
        <f t="shared" si="26"/>
        <v>1.0682316540000001</v>
      </c>
      <c r="Q346" s="95">
        <f t="shared" si="27"/>
        <v>2.053648404</v>
      </c>
      <c r="R346" s="94" t="s">
        <v>543</v>
      </c>
    </row>
    <row r="347" spans="1:18" s="53" customFormat="1" ht="38.25" x14ac:dyDescent="0.2">
      <c r="A347" s="94" t="s">
        <v>336</v>
      </c>
      <c r="B347" s="94" t="s">
        <v>315</v>
      </c>
      <c r="C347" s="94" t="s">
        <v>303</v>
      </c>
      <c r="D347" s="94" t="s">
        <v>303</v>
      </c>
      <c r="E347" s="94">
        <v>9</v>
      </c>
      <c r="F347" s="94">
        <v>9</v>
      </c>
      <c r="G347" s="94">
        <v>9</v>
      </c>
      <c r="H347" s="94" t="s">
        <v>368</v>
      </c>
      <c r="I347" s="95">
        <v>5250</v>
      </c>
      <c r="J347" s="95">
        <v>42156.867282561507</v>
      </c>
      <c r="K347" s="95">
        <v>10949.074999999999</v>
      </c>
      <c r="L347" s="95">
        <v>11869.240599999999</v>
      </c>
      <c r="M347" s="95">
        <v>83523.401882051781</v>
      </c>
      <c r="N347" s="95">
        <f t="shared" si="24"/>
        <v>3.7941180554305354</v>
      </c>
      <c r="O347" s="95">
        <f t="shared" si="25"/>
        <v>0.98541674999999984</v>
      </c>
      <c r="P347" s="95">
        <f t="shared" si="26"/>
        <v>1.0682316540000001</v>
      </c>
      <c r="Q347" s="95">
        <f t="shared" si="27"/>
        <v>2.053648404</v>
      </c>
      <c r="R347" s="94" t="s">
        <v>543</v>
      </c>
    </row>
    <row r="348" spans="1:18" s="53" customFormat="1" ht="38.25" x14ac:dyDescent="0.2">
      <c r="A348" s="94" t="s">
        <v>336</v>
      </c>
      <c r="B348" s="94" t="s">
        <v>315</v>
      </c>
      <c r="C348" s="94" t="s">
        <v>304</v>
      </c>
      <c r="D348" s="94" t="s">
        <v>304</v>
      </c>
      <c r="E348" s="94">
        <v>7</v>
      </c>
      <c r="F348" s="94">
        <v>7</v>
      </c>
      <c r="G348" s="94">
        <v>7</v>
      </c>
      <c r="H348" s="94" t="s">
        <v>369</v>
      </c>
      <c r="I348" s="95">
        <v>5250</v>
      </c>
      <c r="J348" s="95">
        <v>42156.867282561507</v>
      </c>
      <c r="K348" s="95">
        <v>10949.074999999999</v>
      </c>
      <c r="L348" s="95">
        <v>11869.240599999999</v>
      </c>
      <c r="M348" s="95">
        <v>83523.401882051781</v>
      </c>
      <c r="N348" s="95">
        <f t="shared" si="24"/>
        <v>2.9509807097793055</v>
      </c>
      <c r="O348" s="95">
        <f t="shared" si="25"/>
        <v>0.7664352499999999</v>
      </c>
      <c r="P348" s="95">
        <f t="shared" si="26"/>
        <v>0.83084684199999992</v>
      </c>
      <c r="Q348" s="95">
        <f t="shared" si="27"/>
        <v>1.5972820919999999</v>
      </c>
      <c r="R348" s="94" t="s">
        <v>543</v>
      </c>
    </row>
    <row r="349" spans="1:18" s="53" customFormat="1" x14ac:dyDescent="0.2">
      <c r="A349" s="94" t="s">
        <v>336</v>
      </c>
      <c r="B349" s="94" t="s">
        <v>158</v>
      </c>
      <c r="C349" s="94">
        <v>1600864</v>
      </c>
      <c r="D349" s="94" t="s">
        <v>274</v>
      </c>
      <c r="E349" s="94">
        <v>20</v>
      </c>
      <c r="F349" s="94">
        <v>20</v>
      </c>
      <c r="G349" s="94">
        <v>20</v>
      </c>
      <c r="H349" s="94" t="s">
        <v>370</v>
      </c>
      <c r="I349" s="95">
        <v>5250</v>
      </c>
      <c r="J349" s="95">
        <v>39664.868233284593</v>
      </c>
      <c r="K349" s="95">
        <v>7150.8424999999997</v>
      </c>
      <c r="L349" s="95">
        <v>5234.9908999999998</v>
      </c>
      <c r="M349" s="95">
        <v>55632.196657127817</v>
      </c>
      <c r="N349" s="95">
        <f t="shared" si="24"/>
        <v>7.9329736466569187</v>
      </c>
      <c r="O349" s="95">
        <f t="shared" si="25"/>
        <v>1.4301685</v>
      </c>
      <c r="P349" s="95">
        <f t="shared" si="26"/>
        <v>1.0469981799999999</v>
      </c>
      <c r="Q349" s="95">
        <f t="shared" si="27"/>
        <v>2.4771666799999998</v>
      </c>
      <c r="R349" s="94" t="s">
        <v>543</v>
      </c>
    </row>
    <row r="350" spans="1:18" s="53" customFormat="1" x14ac:dyDescent="0.2">
      <c r="A350" s="94" t="s">
        <v>336</v>
      </c>
      <c r="B350" s="94" t="s">
        <v>158</v>
      </c>
      <c r="C350" s="94">
        <v>1600924</v>
      </c>
      <c r="D350" s="94" t="s">
        <v>113</v>
      </c>
      <c r="E350" s="94">
        <v>52</v>
      </c>
      <c r="F350" s="94">
        <v>52</v>
      </c>
      <c r="G350" s="94">
        <v>52</v>
      </c>
      <c r="H350" s="94" t="s">
        <v>370</v>
      </c>
      <c r="I350" s="95">
        <v>5250</v>
      </c>
      <c r="J350" s="95">
        <v>39664.868233284593</v>
      </c>
      <c r="K350" s="95">
        <v>7150.8424999999997</v>
      </c>
      <c r="L350" s="95">
        <v>5703.3971999999994</v>
      </c>
      <c r="M350" s="95">
        <v>56100.60295712782</v>
      </c>
      <c r="N350" s="95">
        <f t="shared" si="24"/>
        <v>20.625731481307987</v>
      </c>
      <c r="O350" s="95">
        <f t="shared" si="25"/>
        <v>3.7184381000000002</v>
      </c>
      <c r="P350" s="95">
        <f t="shared" si="26"/>
        <v>2.9657665440000001</v>
      </c>
      <c r="Q350" s="95">
        <f t="shared" si="27"/>
        <v>6.6842046440000003</v>
      </c>
      <c r="R350" s="94" t="s">
        <v>543</v>
      </c>
    </row>
    <row r="351" spans="1:18" s="53" customFormat="1" x14ac:dyDescent="0.2">
      <c r="A351" s="94" t="s">
        <v>336</v>
      </c>
      <c r="B351" s="94" t="s">
        <v>158</v>
      </c>
      <c r="C351" s="94">
        <v>1600106</v>
      </c>
      <c r="D351" s="94" t="s">
        <v>119</v>
      </c>
      <c r="E351" s="94">
        <v>5</v>
      </c>
      <c r="F351" s="94">
        <v>5</v>
      </c>
      <c r="G351" s="94">
        <v>5</v>
      </c>
      <c r="H351" s="94" t="s">
        <v>370</v>
      </c>
      <c r="I351" s="95">
        <v>5250</v>
      </c>
      <c r="J351" s="95">
        <v>33856.044671955635</v>
      </c>
      <c r="K351" s="95">
        <v>13981.930000000002</v>
      </c>
      <c r="L351" s="95">
        <v>8242.0239999999994</v>
      </c>
      <c r="M351" s="95">
        <v>59148.307081796847</v>
      </c>
      <c r="N351" s="95">
        <f t="shared" si="24"/>
        <v>1.6928022335977817</v>
      </c>
      <c r="O351" s="95">
        <f t="shared" si="25"/>
        <v>0.69909650000000012</v>
      </c>
      <c r="P351" s="95">
        <f t="shared" si="26"/>
        <v>0.41210119999999995</v>
      </c>
      <c r="Q351" s="95">
        <f t="shared" si="27"/>
        <v>1.1111977</v>
      </c>
      <c r="R351" s="94" t="s">
        <v>543</v>
      </c>
    </row>
    <row r="352" spans="1:18" s="53" customFormat="1" x14ac:dyDescent="0.2">
      <c r="A352" s="94" t="s">
        <v>336</v>
      </c>
      <c r="B352" s="94" t="s">
        <v>158</v>
      </c>
      <c r="C352" s="94">
        <v>1600892</v>
      </c>
      <c r="D352" s="94" t="s">
        <v>364</v>
      </c>
      <c r="E352" s="94">
        <v>4</v>
      </c>
      <c r="F352" s="94">
        <v>4</v>
      </c>
      <c r="G352" s="94">
        <v>4</v>
      </c>
      <c r="H352" s="94" t="s">
        <v>371</v>
      </c>
      <c r="I352" s="95">
        <v>5250</v>
      </c>
      <c r="J352" s="95">
        <v>0</v>
      </c>
      <c r="K352" s="95">
        <v>86383.978938999993</v>
      </c>
      <c r="L352" s="95">
        <v>31285.534100000004</v>
      </c>
      <c r="M352" s="95">
        <v>117757.10638723121</v>
      </c>
      <c r="N352" s="95">
        <f t="shared" si="24"/>
        <v>0</v>
      </c>
      <c r="O352" s="95">
        <f t="shared" si="25"/>
        <v>3.4553591575599998</v>
      </c>
      <c r="P352" s="95">
        <f t="shared" si="26"/>
        <v>1.2514213640000003</v>
      </c>
      <c r="Q352" s="95">
        <f t="shared" si="27"/>
        <v>4.7067805215599998</v>
      </c>
      <c r="R352" s="94" t="s">
        <v>543</v>
      </c>
    </row>
    <row r="353" spans="1:18" s="53" customFormat="1" x14ac:dyDescent="0.2">
      <c r="A353" s="94" t="s">
        <v>336</v>
      </c>
      <c r="B353" s="94" t="s">
        <v>159</v>
      </c>
      <c r="C353" s="94">
        <v>1600990</v>
      </c>
      <c r="D353" s="94" t="s">
        <v>365</v>
      </c>
      <c r="E353" s="94">
        <v>9</v>
      </c>
      <c r="F353" s="94">
        <v>9</v>
      </c>
      <c r="G353" s="94">
        <v>9</v>
      </c>
      <c r="H353" s="94" t="s">
        <v>372</v>
      </c>
      <c r="I353" s="95"/>
      <c r="J353" s="95">
        <v>0</v>
      </c>
      <c r="K353" s="95">
        <v>19540.188479999997</v>
      </c>
      <c r="L353" s="95">
        <v>78273.900699999998</v>
      </c>
      <c r="M353" s="95">
        <v>116832.80647779537</v>
      </c>
      <c r="N353" s="95">
        <f t="shared" si="24"/>
        <v>0</v>
      </c>
      <c r="O353" s="95">
        <f t="shared" si="25"/>
        <v>1.7586169631999999</v>
      </c>
      <c r="P353" s="95">
        <f t="shared" si="26"/>
        <v>7.0446510629999999</v>
      </c>
      <c r="Q353" s="95">
        <f t="shared" si="27"/>
        <v>8.8032680261999996</v>
      </c>
      <c r="R353" s="94" t="s">
        <v>543</v>
      </c>
    </row>
    <row r="354" spans="1:18" s="53" customFormat="1" x14ac:dyDescent="0.2">
      <c r="A354" s="94" t="s">
        <v>336</v>
      </c>
      <c r="B354" s="94" t="s">
        <v>317</v>
      </c>
      <c r="C354" s="94">
        <v>1600518</v>
      </c>
      <c r="D354" s="94" t="s">
        <v>366</v>
      </c>
      <c r="E354" s="94">
        <v>1509216</v>
      </c>
      <c r="F354" s="94">
        <v>1509216</v>
      </c>
      <c r="G354" s="94">
        <v>1509216</v>
      </c>
      <c r="H354" s="94" t="s">
        <v>370</v>
      </c>
      <c r="I354" s="95"/>
      <c r="J354" s="95">
        <v>0</v>
      </c>
      <c r="K354" s="95">
        <v>3.6189730956000008</v>
      </c>
      <c r="L354" s="95">
        <v>2.7179470000000001</v>
      </c>
      <c r="M354" s="95">
        <v>9.1750707467964769</v>
      </c>
      <c r="N354" s="95">
        <f t="shared" si="24"/>
        <v>0</v>
      </c>
      <c r="O354" s="95">
        <f t="shared" si="25"/>
        <v>54.618120994490504</v>
      </c>
      <c r="P354" s="95">
        <f t="shared" si="26"/>
        <v>41.019690995520001</v>
      </c>
      <c r="Q354" s="95">
        <f t="shared" si="27"/>
        <v>95.637811990010505</v>
      </c>
      <c r="R354" s="94" t="s">
        <v>543</v>
      </c>
    </row>
    <row r="355" spans="1:18" s="53" customFormat="1" x14ac:dyDescent="0.2">
      <c r="A355" s="94" t="s">
        <v>336</v>
      </c>
      <c r="B355" s="94" t="s">
        <v>158</v>
      </c>
      <c r="C355" s="94">
        <v>1600927</v>
      </c>
      <c r="D355" s="94" t="s">
        <v>176</v>
      </c>
      <c r="E355" s="94">
        <v>28</v>
      </c>
      <c r="F355" s="94">
        <v>28</v>
      </c>
      <c r="G355" s="94">
        <v>28</v>
      </c>
      <c r="H355" s="94" t="s">
        <v>370</v>
      </c>
      <c r="I355" s="95">
        <v>5250</v>
      </c>
      <c r="J355" s="95">
        <v>37513.808053094799</v>
      </c>
      <c r="K355" s="95">
        <v>11010.993329999999</v>
      </c>
      <c r="L355" s="95">
        <v>5468.3885</v>
      </c>
      <c r="M355" s="95">
        <v>57384.647237738514</v>
      </c>
      <c r="N355" s="95">
        <f t="shared" si="24"/>
        <v>10.503866254866544</v>
      </c>
      <c r="O355" s="95">
        <f t="shared" si="25"/>
        <v>3.0830781323999998</v>
      </c>
      <c r="P355" s="95">
        <f t="shared" si="26"/>
        <v>1.5311487799999999</v>
      </c>
      <c r="Q355" s="95">
        <f t="shared" si="27"/>
        <v>4.6142269123999995</v>
      </c>
      <c r="R355" s="94" t="s">
        <v>543</v>
      </c>
    </row>
    <row r="356" spans="1:18" s="53" customFormat="1" x14ac:dyDescent="0.2">
      <c r="A356" s="94" t="s">
        <v>336</v>
      </c>
      <c r="B356" s="94" t="s">
        <v>158</v>
      </c>
      <c r="C356" s="94">
        <v>1600928</v>
      </c>
      <c r="D356" s="94" t="s">
        <v>367</v>
      </c>
      <c r="E356" s="94">
        <v>21</v>
      </c>
      <c r="F356" s="94">
        <v>21</v>
      </c>
      <c r="G356" s="94">
        <v>21</v>
      </c>
      <c r="H356" s="94" t="s">
        <v>370</v>
      </c>
      <c r="I356" s="95">
        <v>5250</v>
      </c>
      <c r="J356" s="95">
        <v>36894.87587127251</v>
      </c>
      <c r="K356" s="95">
        <v>13265.367430000002</v>
      </c>
      <c r="L356" s="95">
        <v>5468.3885000000009</v>
      </c>
      <c r="M356" s="95">
        <v>58965.408942731439</v>
      </c>
      <c r="N356" s="95">
        <f t="shared" si="24"/>
        <v>7.7479239329672271</v>
      </c>
      <c r="O356" s="95">
        <f t="shared" si="25"/>
        <v>2.7857271603000009</v>
      </c>
      <c r="P356" s="95">
        <f t="shared" si="26"/>
        <v>1.1483615850000002</v>
      </c>
      <c r="Q356" s="95">
        <f t="shared" si="27"/>
        <v>3.9340887453000013</v>
      </c>
      <c r="R356" s="94" t="s">
        <v>543</v>
      </c>
    </row>
    <row r="357" spans="1:18" s="53" customFormat="1" x14ac:dyDescent="0.2">
      <c r="A357" s="94" t="s">
        <v>20</v>
      </c>
      <c r="B357" s="94" t="s">
        <v>157</v>
      </c>
      <c r="C357" s="94">
        <v>1600230</v>
      </c>
      <c r="D357" s="94" t="s">
        <v>111</v>
      </c>
      <c r="E357" s="94">
        <v>30</v>
      </c>
      <c r="F357" s="94">
        <v>30</v>
      </c>
      <c r="G357" s="94">
        <v>30</v>
      </c>
      <c r="H357" s="94" t="s">
        <v>331</v>
      </c>
      <c r="I357" s="95">
        <v>5250</v>
      </c>
      <c r="J357" s="95">
        <v>39919.730828088934</v>
      </c>
      <c r="K357" s="95">
        <v>10929.884999999998</v>
      </c>
      <c r="L357" s="95">
        <v>11869.240599999999</v>
      </c>
      <c r="M357" s="95">
        <v>84344.695473265456</v>
      </c>
      <c r="N357" s="95">
        <f t="shared" si="24"/>
        <v>11.975919248426679</v>
      </c>
      <c r="O357" s="95">
        <f t="shared" si="25"/>
        <v>3.2789654999999991</v>
      </c>
      <c r="P357" s="95">
        <f t="shared" si="26"/>
        <v>3.5607721799999998</v>
      </c>
      <c r="Q357" s="95">
        <f t="shared" si="27"/>
        <v>6.8397376799999989</v>
      </c>
      <c r="R357" s="94" t="s">
        <v>543</v>
      </c>
    </row>
    <row r="358" spans="1:18" s="53" customFormat="1" x14ac:dyDescent="0.2">
      <c r="A358" s="94" t="s">
        <v>20</v>
      </c>
      <c r="B358" s="94" t="s">
        <v>206</v>
      </c>
      <c r="C358" s="94">
        <v>1601098</v>
      </c>
      <c r="D358" s="94" t="s">
        <v>148</v>
      </c>
      <c r="E358" s="94">
        <v>37</v>
      </c>
      <c r="F358" s="94">
        <v>37</v>
      </c>
      <c r="G358" s="94">
        <v>37</v>
      </c>
      <c r="H358" s="94" t="s">
        <v>332</v>
      </c>
      <c r="I358" s="95">
        <v>5250</v>
      </c>
      <c r="J358" s="95">
        <v>38928.275583649134</v>
      </c>
      <c r="K358" s="95">
        <v>22041.834500000001</v>
      </c>
      <c r="L358" s="95">
        <v>12684.0146</v>
      </c>
      <c r="M358" s="95">
        <v>83302.810131100763</v>
      </c>
      <c r="N358" s="95">
        <f t="shared" si="24"/>
        <v>14.40346196595018</v>
      </c>
      <c r="O358" s="95">
        <f t="shared" si="25"/>
        <v>8.1554787649999998</v>
      </c>
      <c r="P358" s="95">
        <f t="shared" si="26"/>
        <v>4.6930854019999995</v>
      </c>
      <c r="Q358" s="95">
        <f t="shared" si="27"/>
        <v>12.848564166999999</v>
      </c>
      <c r="R358" s="94" t="s">
        <v>543</v>
      </c>
    </row>
    <row r="359" spans="1:18" s="53" customFormat="1" ht="38.25" x14ac:dyDescent="0.2">
      <c r="A359" s="94" t="s">
        <v>20</v>
      </c>
      <c r="B359" s="94" t="s">
        <v>206</v>
      </c>
      <c r="C359" s="94" t="s">
        <v>298</v>
      </c>
      <c r="D359" s="94" t="s">
        <v>298</v>
      </c>
      <c r="E359" s="94">
        <v>9</v>
      </c>
      <c r="F359" s="94">
        <v>9</v>
      </c>
      <c r="G359" s="94"/>
      <c r="H359" s="94" t="s">
        <v>331</v>
      </c>
      <c r="I359" s="95">
        <v>5250</v>
      </c>
      <c r="J359" s="95">
        <v>2871.7244548807853</v>
      </c>
      <c r="K359" s="95">
        <v>15028.90092539</v>
      </c>
      <c r="L359" s="95">
        <v>6310.0995489899997</v>
      </c>
      <c r="M359" s="95">
        <v>24487</v>
      </c>
      <c r="N359" s="95">
        <f t="shared" si="24"/>
        <v>0.25845520093927071</v>
      </c>
      <c r="O359" s="95">
        <f t="shared" si="25"/>
        <v>1.3526010832851001</v>
      </c>
      <c r="P359" s="95">
        <f t="shared" si="26"/>
        <v>0</v>
      </c>
      <c r="Q359" s="95">
        <f t="shared" si="27"/>
        <v>1.3526010832851001</v>
      </c>
      <c r="R359" s="94" t="s">
        <v>543</v>
      </c>
    </row>
    <row r="360" spans="1:18" s="53" customFormat="1" ht="38.25" x14ac:dyDescent="0.2">
      <c r="A360" s="94" t="s">
        <v>20</v>
      </c>
      <c r="B360" s="94" t="s">
        <v>206</v>
      </c>
      <c r="C360" s="94" t="s">
        <v>299</v>
      </c>
      <c r="D360" s="94" t="s">
        <v>299</v>
      </c>
      <c r="E360" s="94">
        <v>12</v>
      </c>
      <c r="F360" s="94">
        <v>12</v>
      </c>
      <c r="G360" s="94"/>
      <c r="H360" s="94" t="s">
        <v>333</v>
      </c>
      <c r="I360" s="95">
        <v>5250</v>
      </c>
      <c r="J360" s="95">
        <v>2871.7244548807853</v>
      </c>
      <c r="K360" s="95">
        <v>15028.90092539</v>
      </c>
      <c r="L360" s="95">
        <v>6310.0995489899997</v>
      </c>
      <c r="M360" s="95">
        <v>24487</v>
      </c>
      <c r="N360" s="95">
        <f t="shared" si="24"/>
        <v>0.34460693458569425</v>
      </c>
      <c r="O360" s="95">
        <f t="shared" si="25"/>
        <v>1.8034681110468</v>
      </c>
      <c r="P360" s="95">
        <f t="shared" si="26"/>
        <v>0</v>
      </c>
      <c r="Q360" s="95">
        <f t="shared" si="27"/>
        <v>1.8034681110468</v>
      </c>
      <c r="R360" s="94" t="s">
        <v>543</v>
      </c>
    </row>
    <row r="361" spans="1:18" s="53" customFormat="1" ht="76.5" x14ac:dyDescent="0.2">
      <c r="A361" s="94" t="s">
        <v>20</v>
      </c>
      <c r="B361" s="94" t="s">
        <v>315</v>
      </c>
      <c r="C361" s="94" t="s">
        <v>300</v>
      </c>
      <c r="D361" s="94" t="s">
        <v>300</v>
      </c>
      <c r="E361" s="94">
        <v>14</v>
      </c>
      <c r="F361" s="94">
        <v>14</v>
      </c>
      <c r="G361" s="94"/>
      <c r="H361" s="94" t="s">
        <v>331</v>
      </c>
      <c r="I361" s="95">
        <v>5250</v>
      </c>
      <c r="J361" s="95">
        <v>0</v>
      </c>
      <c r="K361" s="95">
        <v>95339.855469999995</v>
      </c>
      <c r="L361" s="95">
        <v>20014.285405892304</v>
      </c>
      <c r="M361" s="95">
        <v>121120</v>
      </c>
      <c r="N361" s="95">
        <f t="shared" si="24"/>
        <v>0</v>
      </c>
      <c r="O361" s="95">
        <f t="shared" si="25"/>
        <v>13.347579765800001</v>
      </c>
      <c r="P361" s="95">
        <f t="shared" si="26"/>
        <v>0</v>
      </c>
      <c r="Q361" s="95">
        <f t="shared" si="27"/>
        <v>13.347579765800001</v>
      </c>
      <c r="R361" s="94" t="s">
        <v>543</v>
      </c>
    </row>
    <row r="362" spans="1:18" s="53" customFormat="1" ht="114.75" x14ac:dyDescent="0.2">
      <c r="A362" s="94" t="s">
        <v>20</v>
      </c>
      <c r="B362" s="94" t="s">
        <v>316</v>
      </c>
      <c r="C362" s="94" t="s">
        <v>301</v>
      </c>
      <c r="D362" s="94" t="s">
        <v>301</v>
      </c>
      <c r="E362" s="94">
        <v>10</v>
      </c>
      <c r="F362" s="94">
        <v>10</v>
      </c>
      <c r="G362" s="94"/>
      <c r="H362" s="94" t="s">
        <v>331</v>
      </c>
      <c r="I362" s="95">
        <v>5250</v>
      </c>
      <c r="J362" s="95">
        <v>0</v>
      </c>
      <c r="K362" s="95">
        <v>95339.855469999995</v>
      </c>
      <c r="L362" s="95">
        <v>20014.285405892304</v>
      </c>
      <c r="M362" s="95">
        <v>121120</v>
      </c>
      <c r="N362" s="95">
        <f t="shared" si="24"/>
        <v>0</v>
      </c>
      <c r="O362" s="95">
        <f t="shared" si="25"/>
        <v>9.5339855470000003</v>
      </c>
      <c r="P362" s="95">
        <f t="shared" si="26"/>
        <v>0</v>
      </c>
      <c r="Q362" s="95">
        <f t="shared" si="27"/>
        <v>9.5339855470000003</v>
      </c>
      <c r="R362" s="94" t="s">
        <v>543</v>
      </c>
    </row>
    <row r="363" spans="1:18" s="53" customFormat="1" ht="38.25" x14ac:dyDescent="0.2">
      <c r="A363" s="94" t="s">
        <v>20</v>
      </c>
      <c r="B363" s="94" t="s">
        <v>315</v>
      </c>
      <c r="C363" s="94" t="s">
        <v>302</v>
      </c>
      <c r="D363" s="94" t="s">
        <v>302</v>
      </c>
      <c r="E363" s="94">
        <v>9</v>
      </c>
      <c r="F363" s="94">
        <v>9</v>
      </c>
      <c r="G363" s="94"/>
      <c r="H363" s="94" t="s">
        <v>333</v>
      </c>
      <c r="I363" s="95">
        <v>5250</v>
      </c>
      <c r="J363" s="95">
        <v>2871.7244548807853</v>
      </c>
      <c r="K363" s="95">
        <v>15028.90092539</v>
      </c>
      <c r="L363" s="95">
        <v>6310.0995489899997</v>
      </c>
      <c r="M363" s="95">
        <v>24487</v>
      </c>
      <c r="N363" s="95">
        <f t="shared" si="24"/>
        <v>0.25845520093927071</v>
      </c>
      <c r="O363" s="95">
        <f t="shared" si="25"/>
        <v>1.3526010832851001</v>
      </c>
      <c r="P363" s="95">
        <f t="shared" si="26"/>
        <v>0</v>
      </c>
      <c r="Q363" s="95">
        <f t="shared" si="27"/>
        <v>1.3526010832851001</v>
      </c>
      <c r="R363" s="94" t="s">
        <v>543</v>
      </c>
    </row>
    <row r="364" spans="1:18" s="53" customFormat="1" ht="38.25" x14ac:dyDescent="0.2">
      <c r="A364" s="94" t="s">
        <v>20</v>
      </c>
      <c r="B364" s="94" t="s">
        <v>315</v>
      </c>
      <c r="C364" s="94" t="s">
        <v>303</v>
      </c>
      <c r="D364" s="94" t="s">
        <v>303</v>
      </c>
      <c r="E364" s="94">
        <v>9</v>
      </c>
      <c r="F364" s="94">
        <v>9</v>
      </c>
      <c r="G364" s="94"/>
      <c r="H364" s="94" t="s">
        <v>333</v>
      </c>
      <c r="I364" s="95">
        <v>5250</v>
      </c>
      <c r="J364" s="95">
        <v>2871.7244548807853</v>
      </c>
      <c r="K364" s="95">
        <v>15028.90092539</v>
      </c>
      <c r="L364" s="95">
        <v>6310.0995489899997</v>
      </c>
      <c r="M364" s="95">
        <v>24487</v>
      </c>
      <c r="N364" s="95">
        <f t="shared" si="24"/>
        <v>0.25845520093927071</v>
      </c>
      <c r="O364" s="95">
        <f t="shared" si="25"/>
        <v>1.3526010832851001</v>
      </c>
      <c r="P364" s="95">
        <f t="shared" si="26"/>
        <v>0</v>
      </c>
      <c r="Q364" s="95">
        <f t="shared" si="27"/>
        <v>1.3526010832851001</v>
      </c>
      <c r="R364" s="94" t="s">
        <v>543</v>
      </c>
    </row>
    <row r="365" spans="1:18" s="53" customFormat="1" ht="38.25" x14ac:dyDescent="0.2">
      <c r="A365" s="94" t="s">
        <v>20</v>
      </c>
      <c r="B365" s="94" t="s">
        <v>315</v>
      </c>
      <c r="C365" s="94" t="s">
        <v>304</v>
      </c>
      <c r="D365" s="94" t="s">
        <v>304</v>
      </c>
      <c r="E365" s="94">
        <v>7</v>
      </c>
      <c r="F365" s="94">
        <v>7</v>
      </c>
      <c r="G365" s="94"/>
      <c r="H365" s="94" t="s">
        <v>333</v>
      </c>
      <c r="I365" s="95">
        <v>5250</v>
      </c>
      <c r="J365" s="95">
        <v>2871.7244548807853</v>
      </c>
      <c r="K365" s="95">
        <v>15028.90092539</v>
      </c>
      <c r="L365" s="95">
        <v>6310.0995489899997</v>
      </c>
      <c r="M365" s="95">
        <v>24487</v>
      </c>
      <c r="N365" s="95">
        <f t="shared" si="24"/>
        <v>0.20102071184165496</v>
      </c>
      <c r="O365" s="95">
        <f t="shared" si="25"/>
        <v>1.0520230647773001</v>
      </c>
      <c r="P365" s="95">
        <f t="shared" si="26"/>
        <v>0</v>
      </c>
      <c r="Q365" s="95">
        <f t="shared" si="27"/>
        <v>1.0520230647773001</v>
      </c>
      <c r="R365" s="94" t="s">
        <v>543</v>
      </c>
    </row>
    <row r="366" spans="1:18" s="53" customFormat="1" x14ac:dyDescent="0.2">
      <c r="A366" s="94" t="s">
        <v>20</v>
      </c>
      <c r="B366" s="94" t="s">
        <v>158</v>
      </c>
      <c r="C366" s="94">
        <v>1600932</v>
      </c>
      <c r="D366" s="94" t="s">
        <v>171</v>
      </c>
      <c r="E366" s="94">
        <v>20</v>
      </c>
      <c r="F366" s="94">
        <v>0</v>
      </c>
      <c r="G366" s="94">
        <v>20</v>
      </c>
      <c r="H366" s="94" t="s">
        <v>331</v>
      </c>
      <c r="I366" s="95">
        <v>5250</v>
      </c>
      <c r="J366" s="95">
        <v>36057.172273076336</v>
      </c>
      <c r="K366" s="95">
        <v>8026.5294999999996</v>
      </c>
      <c r="L366" s="95">
        <v>6383.5685999999996</v>
      </c>
      <c r="M366" s="95">
        <v>54839.009723199357</v>
      </c>
      <c r="N366" s="95">
        <f t="shared" si="24"/>
        <v>0</v>
      </c>
      <c r="O366" s="95">
        <f t="shared" si="25"/>
        <v>0</v>
      </c>
      <c r="P366" s="95">
        <f t="shared" si="26"/>
        <v>1.2767137199999998</v>
      </c>
      <c r="Q366" s="95">
        <f t="shared" si="27"/>
        <v>1.2767137199999998</v>
      </c>
      <c r="R366" s="94" t="s">
        <v>543</v>
      </c>
    </row>
    <row r="367" spans="1:18" s="53" customFormat="1" x14ac:dyDescent="0.2">
      <c r="A367" s="94" t="s">
        <v>20</v>
      </c>
      <c r="B367" s="94" t="s">
        <v>158</v>
      </c>
      <c r="C367" s="94">
        <v>1600492</v>
      </c>
      <c r="D367" s="94" t="s">
        <v>324</v>
      </c>
      <c r="E367" s="94">
        <v>10</v>
      </c>
      <c r="F367" s="94">
        <v>0</v>
      </c>
      <c r="G367" s="94">
        <v>10</v>
      </c>
      <c r="H367" s="94" t="s">
        <v>334</v>
      </c>
      <c r="I367" s="95">
        <v>5250</v>
      </c>
      <c r="J367" s="95">
        <v>35027.4511301639</v>
      </c>
      <c r="K367" s="95">
        <v>11010.387080000002</v>
      </c>
      <c r="L367" s="95">
        <v>9196.8667999999998</v>
      </c>
      <c r="M367" s="95">
        <v>60087.762330465288</v>
      </c>
      <c r="N367" s="95">
        <f t="shared" si="24"/>
        <v>0</v>
      </c>
      <c r="O367" s="95">
        <f t="shared" si="25"/>
        <v>0</v>
      </c>
      <c r="P367" s="95">
        <f t="shared" si="26"/>
        <v>0.91968668000000009</v>
      </c>
      <c r="Q367" s="95">
        <f t="shared" si="27"/>
        <v>0.91968668000000009</v>
      </c>
      <c r="R367" s="94" t="s">
        <v>543</v>
      </c>
    </row>
    <row r="368" spans="1:18" s="53" customFormat="1" x14ac:dyDescent="0.2">
      <c r="A368" s="94" t="s">
        <v>20</v>
      </c>
      <c r="B368" s="94" t="s">
        <v>158</v>
      </c>
      <c r="C368" s="94">
        <v>1600860</v>
      </c>
      <c r="D368" s="94" t="s">
        <v>152</v>
      </c>
      <c r="E368" s="94">
        <v>10</v>
      </c>
      <c r="F368" s="94">
        <v>39</v>
      </c>
      <c r="G368" s="94">
        <v>10</v>
      </c>
      <c r="H368" s="94" t="s">
        <v>331</v>
      </c>
      <c r="I368" s="95">
        <v>5250</v>
      </c>
      <c r="J368" s="95">
        <v>37557.195626852772</v>
      </c>
      <c r="K368" s="95">
        <v>6872.7102000000004</v>
      </c>
      <c r="L368" s="95">
        <v>6322.9692000000005</v>
      </c>
      <c r="M368" s="95">
        <v>55956.42873361762</v>
      </c>
      <c r="N368" s="95">
        <f t="shared" si="24"/>
        <v>14.64730629447258</v>
      </c>
      <c r="O368" s="95">
        <f t="shared" si="25"/>
        <v>2.6803569780000003</v>
      </c>
      <c r="P368" s="95">
        <f t="shared" si="26"/>
        <v>0.63229692000000004</v>
      </c>
      <c r="Q368" s="95">
        <f t="shared" si="27"/>
        <v>3.3126538980000002</v>
      </c>
      <c r="R368" s="94" t="s">
        <v>543</v>
      </c>
    </row>
    <row r="369" spans="1:18" s="53" customFormat="1" x14ac:dyDescent="0.2">
      <c r="A369" s="94" t="s">
        <v>20</v>
      </c>
      <c r="B369" s="94" t="s">
        <v>158</v>
      </c>
      <c r="C369" s="94">
        <v>1600840</v>
      </c>
      <c r="D369" s="94" t="s">
        <v>278</v>
      </c>
      <c r="E369" s="94">
        <v>30</v>
      </c>
      <c r="F369" s="94">
        <v>0</v>
      </c>
      <c r="G369" s="94">
        <v>30</v>
      </c>
      <c r="H369" s="94" t="s">
        <v>334</v>
      </c>
      <c r="I369" s="95">
        <v>5250</v>
      </c>
      <c r="J369" s="95">
        <v>37391.516672145837</v>
      </c>
      <c r="K369" s="95">
        <v>11089.007890000001</v>
      </c>
      <c r="L369" s="95">
        <v>7698.3045599999996</v>
      </c>
      <c r="M369" s="95">
        <v>61460.381143142411</v>
      </c>
      <c r="N369" s="95">
        <f t="shared" si="24"/>
        <v>0</v>
      </c>
      <c r="O369" s="95">
        <f t="shared" si="25"/>
        <v>0</v>
      </c>
      <c r="P369" s="95">
        <f t="shared" si="26"/>
        <v>2.3094913679999998</v>
      </c>
      <c r="Q369" s="95">
        <f t="shared" si="27"/>
        <v>2.3094913679999998</v>
      </c>
      <c r="R369" s="94" t="s">
        <v>543</v>
      </c>
    </row>
    <row r="370" spans="1:18" s="53" customFormat="1" x14ac:dyDescent="0.2">
      <c r="A370" s="94" t="s">
        <v>20</v>
      </c>
      <c r="B370" s="94" t="s">
        <v>158</v>
      </c>
      <c r="C370" s="94">
        <v>1601108</v>
      </c>
      <c r="D370" s="94" t="s">
        <v>123</v>
      </c>
      <c r="E370" s="94">
        <v>24</v>
      </c>
      <c r="F370" s="94">
        <v>0</v>
      </c>
      <c r="G370" s="94">
        <v>24</v>
      </c>
      <c r="H370" s="94" t="s">
        <v>331</v>
      </c>
      <c r="I370" s="95">
        <v>5250</v>
      </c>
      <c r="J370" s="95">
        <v>35437.52784606412</v>
      </c>
      <c r="K370" s="95">
        <v>7173.8431</v>
      </c>
      <c r="L370" s="95">
        <v>5410.4082000000008</v>
      </c>
      <c r="M370" s="95">
        <v>52537.567422647619</v>
      </c>
      <c r="N370" s="95">
        <f t="shared" si="24"/>
        <v>0</v>
      </c>
      <c r="O370" s="95">
        <f t="shared" si="25"/>
        <v>0</v>
      </c>
      <c r="P370" s="95">
        <f t="shared" si="26"/>
        <v>1.2984979680000002</v>
      </c>
      <c r="Q370" s="95">
        <f t="shared" si="27"/>
        <v>1.2984979680000002</v>
      </c>
      <c r="R370" s="94" t="s">
        <v>543</v>
      </c>
    </row>
    <row r="371" spans="1:18" s="53" customFormat="1" x14ac:dyDescent="0.2">
      <c r="A371" s="94" t="s">
        <v>20</v>
      </c>
      <c r="B371" s="94" t="s">
        <v>158</v>
      </c>
      <c r="C371" s="94">
        <v>1601187</v>
      </c>
      <c r="D371" s="94" t="s">
        <v>310</v>
      </c>
      <c r="E371" s="94">
        <v>15</v>
      </c>
      <c r="F371" s="94">
        <v>0</v>
      </c>
      <c r="G371" s="94">
        <v>15</v>
      </c>
      <c r="H371" s="94" t="s">
        <v>334</v>
      </c>
      <c r="I371" s="95">
        <v>5250</v>
      </c>
      <c r="J371" s="95">
        <v>35721.232582908997</v>
      </c>
      <c r="K371" s="95">
        <v>8025.4789999999994</v>
      </c>
      <c r="L371" s="95">
        <v>5892.3717999999999</v>
      </c>
      <c r="M371" s="95">
        <v>54044.026253799631</v>
      </c>
      <c r="N371" s="95">
        <f t="shared" si="24"/>
        <v>0</v>
      </c>
      <c r="O371" s="95">
        <f t="shared" si="25"/>
        <v>0</v>
      </c>
      <c r="P371" s="95">
        <f t="shared" si="26"/>
        <v>0.88385577000000004</v>
      </c>
      <c r="Q371" s="95">
        <f t="shared" si="27"/>
        <v>0.88385577000000004</v>
      </c>
      <c r="R371" s="94" t="s">
        <v>543</v>
      </c>
    </row>
    <row r="372" spans="1:18" s="53" customFormat="1" x14ac:dyDescent="0.2">
      <c r="A372" s="94" t="s">
        <v>20</v>
      </c>
      <c r="B372" s="94" t="s">
        <v>158</v>
      </c>
      <c r="C372" s="94">
        <v>1600578</v>
      </c>
      <c r="D372" s="94" t="s">
        <v>153</v>
      </c>
      <c r="E372" s="94">
        <v>12</v>
      </c>
      <c r="F372" s="94">
        <v>0</v>
      </c>
      <c r="G372" s="94">
        <v>12</v>
      </c>
      <c r="H372" s="94" t="s">
        <v>331</v>
      </c>
      <c r="I372" s="95">
        <v>5250</v>
      </c>
      <c r="J372" s="95">
        <v>31612.118623871324</v>
      </c>
      <c r="K372" s="95">
        <v>14058.308999999999</v>
      </c>
      <c r="L372" s="95">
        <v>5985.5981999999995</v>
      </c>
      <c r="M372" s="95">
        <v>56123.48178693324</v>
      </c>
      <c r="N372" s="95">
        <f t="shared" si="24"/>
        <v>0</v>
      </c>
      <c r="O372" s="95">
        <f t="shared" si="25"/>
        <v>0</v>
      </c>
      <c r="P372" s="95">
        <f t="shared" si="26"/>
        <v>0.71827178399999991</v>
      </c>
      <c r="Q372" s="95">
        <f t="shared" si="27"/>
        <v>0.71827178399999991</v>
      </c>
      <c r="R372" s="94" t="s">
        <v>543</v>
      </c>
    </row>
    <row r="373" spans="1:18" s="53" customFormat="1" x14ac:dyDescent="0.2">
      <c r="A373" s="94" t="s">
        <v>20</v>
      </c>
      <c r="B373" s="94" t="s">
        <v>317</v>
      </c>
      <c r="C373" s="94">
        <v>1600520</v>
      </c>
      <c r="D373" s="94" t="s">
        <v>190</v>
      </c>
      <c r="E373" s="94">
        <v>48000</v>
      </c>
      <c r="F373" s="94">
        <v>48000</v>
      </c>
      <c r="G373" s="94">
        <v>48000</v>
      </c>
      <c r="H373" s="94" t="s">
        <v>335</v>
      </c>
      <c r="I373" s="95"/>
      <c r="J373" s="95">
        <v>0</v>
      </c>
      <c r="K373" s="95">
        <v>3.5716182549384019</v>
      </c>
      <c r="L373" s="95">
        <v>3.6443681802182328</v>
      </c>
      <c r="M373" s="95">
        <v>9.9039872302449581</v>
      </c>
      <c r="N373" s="95">
        <f t="shared" si="24"/>
        <v>0</v>
      </c>
      <c r="O373" s="95">
        <f t="shared" si="25"/>
        <v>1.7143767623704329</v>
      </c>
      <c r="P373" s="95">
        <f t="shared" si="26"/>
        <v>1.7492967265047517</v>
      </c>
      <c r="Q373" s="95">
        <f t="shared" si="27"/>
        <v>3.4636734888751848</v>
      </c>
      <c r="R373" s="94" t="s">
        <v>543</v>
      </c>
    </row>
    <row r="374" spans="1:18" s="53" customFormat="1" x14ac:dyDescent="0.2">
      <c r="A374" s="94" t="s">
        <v>20</v>
      </c>
      <c r="B374" s="94" t="s">
        <v>317</v>
      </c>
      <c r="C374" s="94">
        <v>1600521</v>
      </c>
      <c r="D374" s="94" t="s">
        <v>325</v>
      </c>
      <c r="E374" s="94">
        <v>7200</v>
      </c>
      <c r="F374" s="94">
        <v>7200</v>
      </c>
      <c r="G374" s="94">
        <v>7200</v>
      </c>
      <c r="H374" s="94" t="s">
        <v>331</v>
      </c>
      <c r="I374" s="95"/>
      <c r="J374" s="95">
        <v>0</v>
      </c>
      <c r="K374" s="95">
        <v>14.296466500000001</v>
      </c>
      <c r="L374" s="95">
        <v>18.176042253521128</v>
      </c>
      <c r="M374" s="95">
        <v>35.499648141604361</v>
      </c>
      <c r="N374" s="95">
        <f t="shared" si="24"/>
        <v>0</v>
      </c>
      <c r="O374" s="95">
        <f t="shared" si="25"/>
        <v>1.0293455880000002</v>
      </c>
      <c r="P374" s="95">
        <f t="shared" si="26"/>
        <v>1.3086750422535212</v>
      </c>
      <c r="Q374" s="95">
        <f t="shared" si="27"/>
        <v>2.3380206302535216</v>
      </c>
      <c r="R374" s="94" t="s">
        <v>543</v>
      </c>
    </row>
    <row r="375" spans="1:18" s="53" customFormat="1" x14ac:dyDescent="0.2">
      <c r="A375" s="94" t="s">
        <v>20</v>
      </c>
      <c r="B375" s="94" t="s">
        <v>317</v>
      </c>
      <c r="C375" s="94">
        <v>1601052</v>
      </c>
      <c r="D375" s="94" t="s">
        <v>326</v>
      </c>
      <c r="E375" s="94">
        <v>60000</v>
      </c>
      <c r="F375" s="94">
        <v>60000</v>
      </c>
      <c r="G375" s="94">
        <v>60000</v>
      </c>
      <c r="H375" s="94" t="s">
        <v>335</v>
      </c>
      <c r="I375" s="95"/>
      <c r="J375" s="95">
        <v>0</v>
      </c>
      <c r="K375" s="95">
        <v>8.1338203523784429</v>
      </c>
      <c r="L375" s="95">
        <v>3.6795796758695611</v>
      </c>
      <c r="M375" s="95">
        <v>14.259739900724073</v>
      </c>
      <c r="N375" s="95">
        <f t="shared" si="24"/>
        <v>0</v>
      </c>
      <c r="O375" s="95">
        <f t="shared" si="25"/>
        <v>4.8802922114270659</v>
      </c>
      <c r="P375" s="95">
        <f t="shared" si="26"/>
        <v>2.2077478055217368</v>
      </c>
      <c r="Q375" s="95">
        <f t="shared" si="27"/>
        <v>7.0880400169488027</v>
      </c>
      <c r="R375" s="94" t="s">
        <v>543</v>
      </c>
    </row>
    <row r="376" spans="1:18" s="53" customFormat="1" x14ac:dyDescent="0.2">
      <c r="A376" s="94" t="s">
        <v>20</v>
      </c>
      <c r="B376" s="94" t="s">
        <v>317</v>
      </c>
      <c r="C376" s="94">
        <v>1601050</v>
      </c>
      <c r="D376" s="94" t="s">
        <v>327</v>
      </c>
      <c r="E376" s="94">
        <v>60000</v>
      </c>
      <c r="F376" s="94">
        <v>60000</v>
      </c>
      <c r="G376" s="94">
        <v>60000</v>
      </c>
      <c r="H376" s="94" t="s">
        <v>335</v>
      </c>
      <c r="I376" s="95"/>
      <c r="J376" s="95">
        <v>0</v>
      </c>
      <c r="K376" s="95">
        <v>7.9231544947545407</v>
      </c>
      <c r="L376" s="95">
        <v>3.6795796758695611</v>
      </c>
      <c r="M376" s="95">
        <v>14.04907404310017</v>
      </c>
      <c r="N376" s="95">
        <f t="shared" si="24"/>
        <v>0</v>
      </c>
      <c r="O376" s="95">
        <f t="shared" si="25"/>
        <v>4.7538926968527244</v>
      </c>
      <c r="P376" s="95">
        <f t="shared" si="26"/>
        <v>2.2077478055217368</v>
      </c>
      <c r="Q376" s="95">
        <f t="shared" si="27"/>
        <v>6.9616405023744612</v>
      </c>
      <c r="R376" s="94" t="s">
        <v>543</v>
      </c>
    </row>
    <row r="377" spans="1:18" s="53" customFormat="1" x14ac:dyDescent="0.2">
      <c r="A377" s="94" t="s">
        <v>20</v>
      </c>
      <c r="B377" s="94" t="s">
        <v>158</v>
      </c>
      <c r="C377" s="94" t="s">
        <v>143</v>
      </c>
      <c r="D377" s="94" t="s">
        <v>328</v>
      </c>
      <c r="E377" s="94">
        <f>30000*0.5/1000</f>
        <v>15</v>
      </c>
      <c r="F377" s="94">
        <v>15</v>
      </c>
      <c r="G377" s="94">
        <v>15</v>
      </c>
      <c r="H377" s="94" t="s">
        <v>333</v>
      </c>
      <c r="I377" s="95"/>
      <c r="J377" s="95">
        <v>42613.249360000002</v>
      </c>
      <c r="K377" s="95">
        <v>42012.794339999993</v>
      </c>
      <c r="L377" s="95">
        <v>36835.59301728</v>
      </c>
      <c r="M377" s="95">
        <v>134461.63671727999</v>
      </c>
      <c r="N377" s="95">
        <f t="shared" si="24"/>
        <v>6.391987404</v>
      </c>
      <c r="O377" s="95">
        <f t="shared" si="25"/>
        <v>6.301919150999999</v>
      </c>
      <c r="P377" s="95">
        <f t="shared" si="26"/>
        <v>5.5253389525920005</v>
      </c>
      <c r="Q377" s="95">
        <f t="shared" si="27"/>
        <v>11.827258103591999</v>
      </c>
      <c r="R377" s="94" t="s">
        <v>543</v>
      </c>
    </row>
    <row r="378" spans="1:18" s="53" customFormat="1" x14ac:dyDescent="0.2">
      <c r="A378" s="94" t="s">
        <v>20</v>
      </c>
      <c r="B378" s="94" t="s">
        <v>158</v>
      </c>
      <c r="C378" s="94" t="s">
        <v>143</v>
      </c>
      <c r="D378" s="94" t="s">
        <v>329</v>
      </c>
      <c r="E378" s="94">
        <f>30000*0.1/1000</f>
        <v>3</v>
      </c>
      <c r="F378" s="94">
        <v>3</v>
      </c>
      <c r="G378" s="94">
        <v>3</v>
      </c>
      <c r="H378" s="94" t="s">
        <v>333</v>
      </c>
      <c r="I378" s="95"/>
      <c r="J378" s="95">
        <v>42613.249360000002</v>
      </c>
      <c r="K378" s="95">
        <v>42012.794339999993</v>
      </c>
      <c r="L378" s="95">
        <v>36835.59301728</v>
      </c>
      <c r="M378" s="95">
        <v>134461.63671727999</v>
      </c>
      <c r="N378" s="95">
        <f t="shared" si="24"/>
        <v>1.2783974808</v>
      </c>
      <c r="O378" s="95">
        <f t="shared" si="25"/>
        <v>1.2603838301999999</v>
      </c>
      <c r="P378" s="95">
        <f t="shared" si="26"/>
        <v>1.1050677905184001</v>
      </c>
      <c r="Q378" s="95">
        <f t="shared" si="27"/>
        <v>2.3654516207184</v>
      </c>
      <c r="R378" s="94" t="s">
        <v>543</v>
      </c>
    </row>
    <row r="379" spans="1:18" s="53" customFormat="1" x14ac:dyDescent="0.2">
      <c r="A379" s="94" t="s">
        <v>20</v>
      </c>
      <c r="B379" s="94" t="s">
        <v>158</v>
      </c>
      <c r="C379" s="94" t="s">
        <v>143</v>
      </c>
      <c r="D379" s="94" t="s">
        <v>330</v>
      </c>
      <c r="E379" s="94">
        <v>20</v>
      </c>
      <c r="F379" s="94">
        <v>20</v>
      </c>
      <c r="G379" s="94">
        <v>20</v>
      </c>
      <c r="H379" s="94" t="s">
        <v>333</v>
      </c>
      <c r="I379" s="95"/>
      <c r="J379" s="95">
        <v>42613.249360000002</v>
      </c>
      <c r="K379" s="95">
        <v>42012.794339999993</v>
      </c>
      <c r="L379" s="95">
        <v>36835.59301728</v>
      </c>
      <c r="M379" s="95">
        <v>134461.63671727999</v>
      </c>
      <c r="N379" s="95">
        <f t="shared" si="24"/>
        <v>8.5226498720000006</v>
      </c>
      <c r="O379" s="95">
        <f t="shared" si="25"/>
        <v>8.4025588679999981</v>
      </c>
      <c r="P379" s="95">
        <f t="shared" si="26"/>
        <v>7.3671186034559994</v>
      </c>
      <c r="Q379" s="95">
        <f t="shared" si="27"/>
        <v>15.769677471455998</v>
      </c>
      <c r="R379" s="94" t="s">
        <v>543</v>
      </c>
    </row>
    <row r="380" spans="1:18" s="53" customFormat="1" x14ac:dyDescent="0.2">
      <c r="A380" s="94" t="s">
        <v>20</v>
      </c>
      <c r="B380" s="94" t="s">
        <v>158</v>
      </c>
      <c r="C380" s="94">
        <v>1600806</v>
      </c>
      <c r="D380" s="94" t="s">
        <v>220</v>
      </c>
      <c r="E380" s="94">
        <f>4004*0.185/1000</f>
        <v>0.74073999999999995</v>
      </c>
      <c r="F380" s="94">
        <v>0.74073999999999995</v>
      </c>
      <c r="G380" s="94">
        <v>0.74073999999999995</v>
      </c>
      <c r="H380" s="94" t="s">
        <v>331</v>
      </c>
      <c r="I380" s="95"/>
      <c r="J380" s="95">
        <v>0</v>
      </c>
      <c r="K380" s="95">
        <v>33598.229959999997</v>
      </c>
      <c r="L380" s="95">
        <v>13437.9413</v>
      </c>
      <c r="M380" s="95">
        <v>58945.06811229077</v>
      </c>
      <c r="N380" s="95">
        <f t="shared" si="24"/>
        <v>0</v>
      </c>
      <c r="O380" s="95">
        <f t="shared" si="25"/>
        <v>0.24887552860570394</v>
      </c>
      <c r="P380" s="95">
        <f t="shared" si="26"/>
        <v>9.954020638562E-2</v>
      </c>
      <c r="Q380" s="95">
        <f t="shared" si="27"/>
        <v>0.34841573499132394</v>
      </c>
      <c r="R380" s="94" t="s">
        <v>543</v>
      </c>
    </row>
    <row r="381" spans="1:18" x14ac:dyDescent="0.2">
      <c r="A381" s="77" t="s">
        <v>19</v>
      </c>
      <c r="B381" s="77" t="s">
        <v>159</v>
      </c>
      <c r="C381" s="77">
        <v>1600555</v>
      </c>
      <c r="D381" s="77" t="s">
        <v>124</v>
      </c>
      <c r="E381" s="77">
        <v>101</v>
      </c>
      <c r="F381" s="75">
        <v>108</v>
      </c>
      <c r="G381" s="75">
        <v>108</v>
      </c>
      <c r="H381" s="75" t="s">
        <v>318</v>
      </c>
      <c r="I381" s="78">
        <v>5250</v>
      </c>
      <c r="J381" s="78">
        <v>44244.126197516489</v>
      </c>
      <c r="K381" s="78">
        <v>18359.545599999998</v>
      </c>
      <c r="L381" s="78">
        <v>34267.877999999997</v>
      </c>
      <c r="M381" s="78"/>
      <c r="N381" s="95">
        <f t="shared" si="24"/>
        <v>47.783656293317804</v>
      </c>
      <c r="O381" s="95">
        <f t="shared" si="25"/>
        <v>19.828309247999997</v>
      </c>
      <c r="P381" s="95">
        <f t="shared" si="26"/>
        <v>37.009308239999996</v>
      </c>
      <c r="Q381" s="95">
        <f t="shared" si="27"/>
        <v>56.837617487999992</v>
      </c>
      <c r="R381" s="94" t="s">
        <v>543</v>
      </c>
    </row>
    <row r="382" spans="1:18" x14ac:dyDescent="0.2">
      <c r="A382" s="77" t="s">
        <v>19</v>
      </c>
      <c r="B382" s="77" t="s">
        <v>159</v>
      </c>
      <c r="C382" s="77">
        <v>1600199</v>
      </c>
      <c r="D382" s="77" t="s">
        <v>141</v>
      </c>
      <c r="E382" s="77">
        <v>32</v>
      </c>
      <c r="F382" s="75">
        <v>32</v>
      </c>
      <c r="G382" s="75">
        <v>32</v>
      </c>
      <c r="H382" s="75" t="s">
        <v>318</v>
      </c>
      <c r="I382" s="78">
        <v>5250</v>
      </c>
      <c r="J382" s="78">
        <v>44244.126197516489</v>
      </c>
      <c r="K382" s="78">
        <v>18359.545599999998</v>
      </c>
      <c r="L382" s="78">
        <v>19160.861000000001</v>
      </c>
      <c r="M382" s="78"/>
      <c r="N382" s="95">
        <f t="shared" si="24"/>
        <v>14.158120383205276</v>
      </c>
      <c r="O382" s="95">
        <f t="shared" si="25"/>
        <v>5.8750545919999997</v>
      </c>
      <c r="P382" s="95">
        <f t="shared" si="26"/>
        <v>6.1314755200000004</v>
      </c>
      <c r="Q382" s="95">
        <f t="shared" si="27"/>
        <v>12.006530112</v>
      </c>
      <c r="R382" s="94" t="s">
        <v>543</v>
      </c>
    </row>
    <row r="383" spans="1:18" x14ac:dyDescent="0.2">
      <c r="A383" s="77" t="s">
        <v>19</v>
      </c>
      <c r="B383" s="77" t="s">
        <v>159</v>
      </c>
      <c r="C383" s="77">
        <v>1600205</v>
      </c>
      <c r="D383" s="77" t="s">
        <v>287</v>
      </c>
      <c r="E383" s="77">
        <v>5</v>
      </c>
      <c r="F383" s="75">
        <v>5</v>
      </c>
      <c r="G383" s="75">
        <v>5</v>
      </c>
      <c r="H383" s="75" t="s">
        <v>318</v>
      </c>
      <c r="I383" s="78">
        <v>5250</v>
      </c>
      <c r="J383" s="78">
        <v>44244.126197516489</v>
      </c>
      <c r="K383" s="78">
        <v>18359.545599999998</v>
      </c>
      <c r="L383" s="78">
        <v>7824.9618</v>
      </c>
      <c r="M383" s="78"/>
      <c r="N383" s="95">
        <f t="shared" si="24"/>
        <v>2.2122063098758242</v>
      </c>
      <c r="O383" s="95">
        <f t="shared" si="25"/>
        <v>0.9179772799999999</v>
      </c>
      <c r="P383" s="95">
        <f t="shared" si="26"/>
        <v>0.39124808999999999</v>
      </c>
      <c r="Q383" s="95">
        <f t="shared" si="27"/>
        <v>1.3092253699999998</v>
      </c>
      <c r="R383" s="94" t="s">
        <v>543</v>
      </c>
    </row>
    <row r="384" spans="1:18" x14ac:dyDescent="0.2">
      <c r="A384" s="77" t="s">
        <v>19</v>
      </c>
      <c r="B384" s="77" t="s">
        <v>159</v>
      </c>
      <c r="C384" s="77">
        <v>1600208</v>
      </c>
      <c r="D384" s="77" t="s">
        <v>288</v>
      </c>
      <c r="E384" s="77">
        <v>35</v>
      </c>
      <c r="F384" s="75">
        <v>35</v>
      </c>
      <c r="G384" s="75">
        <v>35</v>
      </c>
      <c r="H384" s="75" t="s">
        <v>318</v>
      </c>
      <c r="I384" s="78">
        <v>5250</v>
      </c>
      <c r="J384" s="78">
        <v>44244.126197516489</v>
      </c>
      <c r="K384" s="78">
        <v>18359.545599999998</v>
      </c>
      <c r="L384" s="78">
        <v>11869.704600000001</v>
      </c>
      <c r="M384" s="78"/>
      <c r="N384" s="95">
        <f t="shared" si="24"/>
        <v>15.485444169130769</v>
      </c>
      <c r="O384" s="95">
        <f t="shared" si="25"/>
        <v>6.4258409599999986</v>
      </c>
      <c r="P384" s="95">
        <f t="shared" si="26"/>
        <v>4.15439661</v>
      </c>
      <c r="Q384" s="95">
        <f t="shared" si="27"/>
        <v>10.580237569999998</v>
      </c>
      <c r="R384" s="94" t="s">
        <v>543</v>
      </c>
    </row>
    <row r="385" spans="1:18" x14ac:dyDescent="0.2">
      <c r="A385" s="77" t="s">
        <v>19</v>
      </c>
      <c r="B385" s="77" t="s">
        <v>159</v>
      </c>
      <c r="C385" s="77">
        <v>1600201</v>
      </c>
      <c r="D385" s="77" t="s">
        <v>289</v>
      </c>
      <c r="E385" s="77">
        <v>29</v>
      </c>
      <c r="F385" s="75">
        <v>29</v>
      </c>
      <c r="G385" s="75">
        <v>29</v>
      </c>
      <c r="H385" s="75" t="s">
        <v>318</v>
      </c>
      <c r="I385" s="78">
        <v>5250</v>
      </c>
      <c r="J385" s="78">
        <v>44244.126197516489</v>
      </c>
      <c r="K385" s="78">
        <v>18359.545599999998</v>
      </c>
      <c r="L385" s="78">
        <v>16742.304319999999</v>
      </c>
      <c r="M385" s="78"/>
      <c r="N385" s="95">
        <f t="shared" si="24"/>
        <v>12.830796597279782</v>
      </c>
      <c r="O385" s="95">
        <f t="shared" si="25"/>
        <v>5.3242682239999999</v>
      </c>
      <c r="P385" s="95">
        <f t="shared" si="26"/>
        <v>4.8552682528000002</v>
      </c>
      <c r="Q385" s="95">
        <f t="shared" si="27"/>
        <v>10.179536476799999</v>
      </c>
      <c r="R385" s="94" t="s">
        <v>543</v>
      </c>
    </row>
    <row r="386" spans="1:18" x14ac:dyDescent="0.2">
      <c r="A386" s="77" t="s">
        <v>19</v>
      </c>
      <c r="B386" s="77" t="s">
        <v>159</v>
      </c>
      <c r="C386" s="77">
        <v>1601002</v>
      </c>
      <c r="D386" s="77" t="s">
        <v>290</v>
      </c>
      <c r="E386" s="77">
        <v>18</v>
      </c>
      <c r="F386" s="75">
        <v>18</v>
      </c>
      <c r="G386" s="75">
        <v>18</v>
      </c>
      <c r="H386" s="75" t="s">
        <v>319</v>
      </c>
      <c r="I386" s="78">
        <v>5250</v>
      </c>
      <c r="J386" s="78">
        <v>44244.126197516489</v>
      </c>
      <c r="K386" s="78">
        <v>18359.545599999998</v>
      </c>
      <c r="L386" s="78">
        <v>16394.915699999998</v>
      </c>
      <c r="M386" s="78"/>
      <c r="N386" s="95">
        <f t="shared" si="24"/>
        <v>7.9639427155529683</v>
      </c>
      <c r="O386" s="95">
        <f t="shared" si="25"/>
        <v>3.3047182079999997</v>
      </c>
      <c r="P386" s="95">
        <f t="shared" si="26"/>
        <v>2.9510848259999998</v>
      </c>
      <c r="Q386" s="95">
        <f t="shared" si="27"/>
        <v>6.2558030339999995</v>
      </c>
      <c r="R386" s="94" t="s">
        <v>543</v>
      </c>
    </row>
    <row r="387" spans="1:18" x14ac:dyDescent="0.2">
      <c r="A387" s="77" t="s">
        <v>19</v>
      </c>
      <c r="B387" s="77" t="s">
        <v>159</v>
      </c>
      <c r="C387" s="77">
        <v>1601000</v>
      </c>
      <c r="D387" s="77" t="s">
        <v>291</v>
      </c>
      <c r="E387" s="77">
        <v>45</v>
      </c>
      <c r="F387" s="75">
        <v>45</v>
      </c>
      <c r="G387" s="75">
        <v>45</v>
      </c>
      <c r="H387" s="75" t="s">
        <v>319</v>
      </c>
      <c r="I387" s="78">
        <v>5250</v>
      </c>
      <c r="J387" s="78">
        <v>44244.126197516489</v>
      </c>
      <c r="K387" s="78">
        <v>33823.141000000003</v>
      </c>
      <c r="L387" s="78">
        <v>16445.61</v>
      </c>
      <c r="M387" s="78"/>
      <c r="N387" s="95">
        <f t="shared" si="24"/>
        <v>19.909856788882418</v>
      </c>
      <c r="O387" s="95">
        <f t="shared" si="25"/>
        <v>15.220413450000002</v>
      </c>
      <c r="P387" s="95">
        <f t="shared" si="26"/>
        <v>7.4005245000000004</v>
      </c>
      <c r="Q387" s="95">
        <f t="shared" si="27"/>
        <v>22.620937950000002</v>
      </c>
      <c r="R387" s="94" t="s">
        <v>543</v>
      </c>
    </row>
    <row r="388" spans="1:18" x14ac:dyDescent="0.2">
      <c r="A388" s="77" t="s">
        <v>19</v>
      </c>
      <c r="B388" s="77" t="s">
        <v>156</v>
      </c>
      <c r="C388" s="77" t="s">
        <v>143</v>
      </c>
      <c r="D388" s="77" t="s">
        <v>292</v>
      </c>
      <c r="E388" s="77">
        <v>0.69</v>
      </c>
      <c r="F388" s="75">
        <v>0.69</v>
      </c>
      <c r="G388" s="75">
        <v>0.69</v>
      </c>
      <c r="H388" s="75" t="s">
        <v>318</v>
      </c>
      <c r="I388" s="78">
        <v>5250</v>
      </c>
      <c r="J388" s="78">
        <v>33837.634199487635</v>
      </c>
      <c r="K388" s="78">
        <v>26982.363999999998</v>
      </c>
      <c r="L388" s="78">
        <v>14616.6911</v>
      </c>
      <c r="M388" s="78"/>
      <c r="N388" s="95">
        <f t="shared" si="24"/>
        <v>0.23347967597646468</v>
      </c>
      <c r="O388" s="95">
        <f t="shared" si="25"/>
        <v>0.18617831159999998</v>
      </c>
      <c r="P388" s="95">
        <f t="shared" si="26"/>
        <v>0.10085516858999999</v>
      </c>
      <c r="Q388" s="95">
        <f t="shared" si="27"/>
        <v>0.28703348018999997</v>
      </c>
      <c r="R388" s="94" t="s">
        <v>543</v>
      </c>
    </row>
    <row r="389" spans="1:18" x14ac:dyDescent="0.2">
      <c r="A389" s="77" t="s">
        <v>19</v>
      </c>
      <c r="B389" s="77" t="s">
        <v>156</v>
      </c>
      <c r="C389" s="77" t="s">
        <v>143</v>
      </c>
      <c r="D389" s="77" t="s">
        <v>293</v>
      </c>
      <c r="E389" s="77">
        <v>3.75</v>
      </c>
      <c r="F389" s="75">
        <v>3.75</v>
      </c>
      <c r="G389" s="75">
        <v>3.75</v>
      </c>
      <c r="H389" s="75" t="s">
        <v>318</v>
      </c>
      <c r="I389" s="78">
        <v>5250</v>
      </c>
      <c r="J389" s="78">
        <v>33837.634199487635</v>
      </c>
      <c r="K389" s="78">
        <v>26982.363999999998</v>
      </c>
      <c r="L389" s="78">
        <v>25253.7405</v>
      </c>
      <c r="M389" s="78"/>
      <c r="N389" s="95">
        <f t="shared" si="24"/>
        <v>1.2689112824807862</v>
      </c>
      <c r="O389" s="95">
        <f t="shared" si="25"/>
        <v>1.0118386499999998</v>
      </c>
      <c r="P389" s="95">
        <f t="shared" si="26"/>
        <v>0.94701526874999997</v>
      </c>
      <c r="Q389" s="95">
        <f t="shared" si="27"/>
        <v>1.9588539187499998</v>
      </c>
      <c r="R389" s="94" t="s">
        <v>543</v>
      </c>
    </row>
    <row r="390" spans="1:18" x14ac:dyDescent="0.2">
      <c r="A390" s="77" t="s">
        <v>19</v>
      </c>
      <c r="B390" s="77" t="s">
        <v>156</v>
      </c>
      <c r="C390" s="77" t="s">
        <v>143</v>
      </c>
      <c r="D390" s="77" t="s">
        <v>294</v>
      </c>
      <c r="E390" s="77">
        <v>15</v>
      </c>
      <c r="F390" s="75">
        <v>15</v>
      </c>
      <c r="G390" s="75">
        <v>15</v>
      </c>
      <c r="H390" s="75" t="s">
        <v>318</v>
      </c>
      <c r="I390" s="78">
        <v>5250</v>
      </c>
      <c r="J390" s="78">
        <v>33837.634199487635</v>
      </c>
      <c r="K390" s="78">
        <v>26982.363999999998</v>
      </c>
      <c r="L390" s="78">
        <v>25005.913099999998</v>
      </c>
      <c r="M390" s="78"/>
      <c r="N390" s="95">
        <f t="shared" si="24"/>
        <v>5.0756451299231449</v>
      </c>
      <c r="O390" s="95">
        <f t="shared" si="25"/>
        <v>4.0473545999999994</v>
      </c>
      <c r="P390" s="95">
        <f t="shared" si="26"/>
        <v>3.7508869649999994</v>
      </c>
      <c r="Q390" s="95">
        <f t="shared" si="27"/>
        <v>7.7982415649999988</v>
      </c>
      <c r="R390" s="94" t="s">
        <v>543</v>
      </c>
    </row>
    <row r="391" spans="1:18" x14ac:dyDescent="0.2">
      <c r="A391" s="77" t="s">
        <v>19</v>
      </c>
      <c r="B391" s="77" t="s">
        <v>156</v>
      </c>
      <c r="C391" s="77" t="s">
        <v>143</v>
      </c>
      <c r="D391" s="77" t="s">
        <v>295</v>
      </c>
      <c r="E391" s="77">
        <v>1.05</v>
      </c>
      <c r="F391" s="75">
        <v>1.05</v>
      </c>
      <c r="G391" s="75">
        <v>1.05</v>
      </c>
      <c r="H391" s="75" t="s">
        <v>318</v>
      </c>
      <c r="I391" s="78">
        <v>5250</v>
      </c>
      <c r="J391" s="78">
        <v>33837.634199487635</v>
      </c>
      <c r="K391" s="78">
        <v>26982.363999999998</v>
      </c>
      <c r="L391" s="78">
        <v>21732.363999999998</v>
      </c>
      <c r="M391" s="78"/>
      <c r="N391" s="95">
        <f t="shared" si="24"/>
        <v>0.35529515909462017</v>
      </c>
      <c r="O391" s="95">
        <f t="shared" si="25"/>
        <v>0.28331482199999997</v>
      </c>
      <c r="P391" s="95">
        <f t="shared" si="26"/>
        <v>0.22818982199999999</v>
      </c>
      <c r="Q391" s="95">
        <f t="shared" si="27"/>
        <v>0.51150464399999995</v>
      </c>
      <c r="R391" s="94" t="s">
        <v>543</v>
      </c>
    </row>
    <row r="392" spans="1:18" x14ac:dyDescent="0.2">
      <c r="A392" s="77" t="s">
        <v>19</v>
      </c>
      <c r="B392" s="77" t="s">
        <v>156</v>
      </c>
      <c r="C392" s="77" t="s">
        <v>143</v>
      </c>
      <c r="D392" s="77" t="s">
        <v>296</v>
      </c>
      <c r="E392" s="77">
        <v>3.15</v>
      </c>
      <c r="F392" s="75">
        <v>3.15</v>
      </c>
      <c r="G392" s="75">
        <v>3.15</v>
      </c>
      <c r="H392" s="75" t="s">
        <v>318</v>
      </c>
      <c r="I392" s="78">
        <v>5250</v>
      </c>
      <c r="J392" s="78">
        <v>33837.634199487635</v>
      </c>
      <c r="K392" s="78">
        <v>26982.363999999998</v>
      </c>
      <c r="L392" s="78">
        <v>21732.363999999998</v>
      </c>
      <c r="M392" s="78"/>
      <c r="N392" s="95">
        <f t="shared" si="24"/>
        <v>1.0658854772838606</v>
      </c>
      <c r="O392" s="95">
        <f t="shared" si="25"/>
        <v>0.84994446599999995</v>
      </c>
      <c r="P392" s="95">
        <f t="shared" si="26"/>
        <v>0.6845694659999999</v>
      </c>
      <c r="Q392" s="95">
        <f t="shared" si="27"/>
        <v>1.5345139319999999</v>
      </c>
      <c r="R392" s="94" t="s">
        <v>543</v>
      </c>
    </row>
    <row r="393" spans="1:18" x14ac:dyDescent="0.2">
      <c r="A393" s="77" t="s">
        <v>19</v>
      </c>
      <c r="B393" s="77" t="s">
        <v>156</v>
      </c>
      <c r="C393" s="77" t="s">
        <v>143</v>
      </c>
      <c r="D393" s="77" t="s">
        <v>297</v>
      </c>
      <c r="E393" s="77">
        <v>10.5</v>
      </c>
      <c r="F393" s="75">
        <v>10.5</v>
      </c>
      <c r="G393" s="75">
        <v>10.5</v>
      </c>
      <c r="H393" s="75" t="s">
        <v>318</v>
      </c>
      <c r="I393" s="78">
        <v>5250</v>
      </c>
      <c r="J393" s="78">
        <v>33837.634199487635</v>
      </c>
      <c r="K393" s="78">
        <v>26982.363999999998</v>
      </c>
      <c r="L393" s="78">
        <v>21732.363999999998</v>
      </c>
      <c r="M393" s="78"/>
      <c r="N393" s="95">
        <f t="shared" si="24"/>
        <v>3.5529515909462015</v>
      </c>
      <c r="O393" s="95">
        <f t="shared" si="25"/>
        <v>2.83314822</v>
      </c>
      <c r="P393" s="95">
        <f t="shared" si="26"/>
        <v>2.28189822</v>
      </c>
      <c r="Q393" s="95">
        <f t="shared" si="27"/>
        <v>5.1150464400000004</v>
      </c>
      <c r="R393" s="94" t="s">
        <v>543</v>
      </c>
    </row>
    <row r="394" spans="1:18" x14ac:dyDescent="0.2">
      <c r="A394" s="77" t="s">
        <v>19</v>
      </c>
      <c r="B394" s="77" t="s">
        <v>206</v>
      </c>
      <c r="C394" s="77" t="s">
        <v>143</v>
      </c>
      <c r="D394" s="77" t="s">
        <v>148</v>
      </c>
      <c r="E394" s="77">
        <v>27</v>
      </c>
      <c r="F394" s="75">
        <v>27</v>
      </c>
      <c r="G394" s="75">
        <v>27</v>
      </c>
      <c r="H394" s="75" t="s">
        <v>319</v>
      </c>
      <c r="I394" s="78">
        <v>5250</v>
      </c>
      <c r="J394" s="78">
        <v>37363.249360000002</v>
      </c>
      <c r="K394" s="78">
        <v>47262.794339999993</v>
      </c>
      <c r="L394" s="78">
        <v>36835.59301728</v>
      </c>
      <c r="M394" s="78"/>
      <c r="N394" s="95">
        <f t="shared" si="24"/>
        <v>10.088077327200001</v>
      </c>
      <c r="O394" s="95">
        <f t="shared" si="25"/>
        <v>12.7609544718</v>
      </c>
      <c r="P394" s="95">
        <f t="shared" si="26"/>
        <v>9.9456101146656</v>
      </c>
      <c r="Q394" s="95">
        <f t="shared" si="27"/>
        <v>22.7065645864656</v>
      </c>
      <c r="R394" s="94" t="s">
        <v>543</v>
      </c>
    </row>
    <row r="395" spans="1:18" x14ac:dyDescent="0.2">
      <c r="A395" s="77" t="s">
        <v>19</v>
      </c>
      <c r="B395" s="77" t="s">
        <v>206</v>
      </c>
      <c r="C395" s="77" t="s">
        <v>143</v>
      </c>
      <c r="D395" s="77" t="s">
        <v>298</v>
      </c>
      <c r="E395" s="77">
        <v>9</v>
      </c>
      <c r="F395" s="75">
        <v>9</v>
      </c>
      <c r="G395" s="75">
        <v>0</v>
      </c>
      <c r="H395" s="75" t="s">
        <v>320</v>
      </c>
      <c r="I395" s="78">
        <v>5250</v>
      </c>
      <c r="J395" s="78">
        <v>37363.249360000002</v>
      </c>
      <c r="K395" s="78">
        <v>47262.794339999993</v>
      </c>
      <c r="L395" s="78">
        <v>36835.59301728</v>
      </c>
      <c r="M395" s="78"/>
      <c r="N395" s="95">
        <f t="shared" si="24"/>
        <v>3.3626924424000002</v>
      </c>
      <c r="O395" s="95">
        <f t="shared" si="25"/>
        <v>4.2536514905999994</v>
      </c>
      <c r="P395" s="95">
        <f t="shared" si="26"/>
        <v>0</v>
      </c>
      <c r="Q395" s="95">
        <f t="shared" si="27"/>
        <v>4.2536514905999994</v>
      </c>
      <c r="R395" s="94" t="s">
        <v>543</v>
      </c>
    </row>
    <row r="396" spans="1:18" x14ac:dyDescent="0.2">
      <c r="A396" s="77" t="s">
        <v>19</v>
      </c>
      <c r="B396" s="77" t="s">
        <v>206</v>
      </c>
      <c r="C396" s="77" t="s">
        <v>143</v>
      </c>
      <c r="D396" s="77" t="s">
        <v>299</v>
      </c>
      <c r="E396" s="77">
        <v>12</v>
      </c>
      <c r="F396" s="75">
        <v>12</v>
      </c>
      <c r="G396" s="75">
        <v>0</v>
      </c>
      <c r="H396" s="75" t="s">
        <v>320</v>
      </c>
      <c r="I396" s="78">
        <v>5250</v>
      </c>
      <c r="J396" s="78">
        <v>37363.249360000002</v>
      </c>
      <c r="K396" s="78">
        <v>47262.794339999993</v>
      </c>
      <c r="L396" s="78">
        <v>36835.59301728</v>
      </c>
      <c r="M396" s="78"/>
      <c r="N396" s="95">
        <f t="shared" si="24"/>
        <v>4.4835899232000003</v>
      </c>
      <c r="O396" s="95">
        <f t="shared" si="25"/>
        <v>5.6715353207999994</v>
      </c>
      <c r="P396" s="95">
        <f t="shared" si="26"/>
        <v>0</v>
      </c>
      <c r="Q396" s="95">
        <f t="shared" si="27"/>
        <v>5.6715353207999994</v>
      </c>
      <c r="R396" s="94" t="s">
        <v>543</v>
      </c>
    </row>
    <row r="397" spans="1:18" ht="25.5" x14ac:dyDescent="0.2">
      <c r="A397" s="77" t="s">
        <v>19</v>
      </c>
      <c r="B397" s="77" t="s">
        <v>315</v>
      </c>
      <c r="C397" s="77" t="s">
        <v>143</v>
      </c>
      <c r="D397" s="77" t="s">
        <v>300</v>
      </c>
      <c r="E397" s="77">
        <v>14</v>
      </c>
      <c r="F397" s="75">
        <v>14</v>
      </c>
      <c r="G397" s="75">
        <v>0</v>
      </c>
      <c r="H397" s="75" t="s">
        <v>320</v>
      </c>
      <c r="I397" s="78">
        <v>5250</v>
      </c>
      <c r="J397" s="78">
        <v>-5250</v>
      </c>
      <c r="K397" s="78">
        <v>94039.574399999983</v>
      </c>
      <c r="L397" s="78">
        <v>31121.314299999998</v>
      </c>
      <c r="M397" s="78"/>
      <c r="N397" s="95">
        <f t="shared" si="24"/>
        <v>-0.73499999999999999</v>
      </c>
      <c r="O397" s="95">
        <f t="shared" si="25"/>
        <v>13.165540415999997</v>
      </c>
      <c r="P397" s="95">
        <f t="shared" si="26"/>
        <v>0</v>
      </c>
      <c r="Q397" s="95">
        <f t="shared" si="27"/>
        <v>13.165540415999997</v>
      </c>
      <c r="R397" s="94" t="s">
        <v>543</v>
      </c>
    </row>
    <row r="398" spans="1:18" ht="25.5" x14ac:dyDescent="0.2">
      <c r="A398" s="77" t="s">
        <v>19</v>
      </c>
      <c r="B398" s="77" t="s">
        <v>316</v>
      </c>
      <c r="C398" s="77" t="s">
        <v>143</v>
      </c>
      <c r="D398" s="77" t="s">
        <v>301</v>
      </c>
      <c r="E398" s="77">
        <v>10</v>
      </c>
      <c r="F398" s="75">
        <v>10</v>
      </c>
      <c r="G398" s="75">
        <v>0</v>
      </c>
      <c r="H398" s="75" t="s">
        <v>320</v>
      </c>
      <c r="I398" s="78">
        <v>5250</v>
      </c>
      <c r="J398" s="78">
        <v>-5250</v>
      </c>
      <c r="K398" s="78">
        <v>94039.574399999983</v>
      </c>
      <c r="L398" s="78">
        <v>31121.314299999998</v>
      </c>
      <c r="M398" s="78"/>
      <c r="N398" s="95">
        <f t="shared" si="24"/>
        <v>-0.52500000000000002</v>
      </c>
      <c r="O398" s="95">
        <f t="shared" si="25"/>
        <v>9.4039574399999974</v>
      </c>
      <c r="P398" s="95">
        <f t="shared" si="26"/>
        <v>0</v>
      </c>
      <c r="Q398" s="95">
        <f t="shared" si="27"/>
        <v>9.4039574399999974</v>
      </c>
      <c r="R398" s="94" t="s">
        <v>543</v>
      </c>
    </row>
    <row r="399" spans="1:18" ht="25.5" x14ac:dyDescent="0.2">
      <c r="A399" s="77" t="s">
        <v>19</v>
      </c>
      <c r="B399" s="77" t="s">
        <v>315</v>
      </c>
      <c r="C399" s="77" t="s">
        <v>143</v>
      </c>
      <c r="D399" s="77" t="s">
        <v>302</v>
      </c>
      <c r="E399" s="77">
        <v>9</v>
      </c>
      <c r="F399" s="75">
        <v>9</v>
      </c>
      <c r="G399" s="75">
        <v>0</v>
      </c>
      <c r="H399" s="75" t="s">
        <v>320</v>
      </c>
      <c r="I399" s="78">
        <v>5250</v>
      </c>
      <c r="J399" s="78">
        <v>37363.249360000002</v>
      </c>
      <c r="K399" s="78">
        <v>47262.794339999993</v>
      </c>
      <c r="L399" s="78">
        <v>36835.59301728</v>
      </c>
      <c r="M399" s="78"/>
      <c r="N399" s="95">
        <f t="shared" si="24"/>
        <v>3.3626924424000002</v>
      </c>
      <c r="O399" s="95">
        <f t="shared" si="25"/>
        <v>4.2536514905999994</v>
      </c>
      <c r="P399" s="95">
        <f t="shared" si="26"/>
        <v>0</v>
      </c>
      <c r="Q399" s="95">
        <f t="shared" si="27"/>
        <v>4.2536514905999994</v>
      </c>
      <c r="R399" s="94" t="s">
        <v>543</v>
      </c>
    </row>
    <row r="400" spans="1:18" ht="25.5" x14ac:dyDescent="0.2">
      <c r="A400" s="77" t="s">
        <v>19</v>
      </c>
      <c r="B400" s="77" t="s">
        <v>315</v>
      </c>
      <c r="C400" s="77" t="s">
        <v>143</v>
      </c>
      <c r="D400" s="77" t="s">
        <v>303</v>
      </c>
      <c r="E400" s="77">
        <v>9</v>
      </c>
      <c r="F400" s="75">
        <v>9</v>
      </c>
      <c r="G400" s="75">
        <v>0</v>
      </c>
      <c r="H400" s="75" t="s">
        <v>320</v>
      </c>
      <c r="I400" s="78">
        <v>5250</v>
      </c>
      <c r="J400" s="78">
        <v>37363.249360000002</v>
      </c>
      <c r="K400" s="78">
        <v>47262.794339999993</v>
      </c>
      <c r="L400" s="78">
        <v>36835.59301728</v>
      </c>
      <c r="M400" s="78"/>
      <c r="N400" s="95">
        <f t="shared" si="24"/>
        <v>3.3626924424000002</v>
      </c>
      <c r="O400" s="95">
        <f t="shared" si="25"/>
        <v>4.2536514905999994</v>
      </c>
      <c r="P400" s="95">
        <f t="shared" si="26"/>
        <v>0</v>
      </c>
      <c r="Q400" s="95">
        <f t="shared" si="27"/>
        <v>4.2536514905999994</v>
      </c>
      <c r="R400" s="94" t="s">
        <v>543</v>
      </c>
    </row>
    <row r="401" spans="1:18" ht="25.5" x14ac:dyDescent="0.2">
      <c r="A401" s="77" t="s">
        <v>19</v>
      </c>
      <c r="B401" s="77" t="s">
        <v>315</v>
      </c>
      <c r="C401" s="77" t="s">
        <v>143</v>
      </c>
      <c r="D401" s="77" t="s">
        <v>304</v>
      </c>
      <c r="E401" s="77">
        <v>7</v>
      </c>
      <c r="F401" s="75">
        <v>7</v>
      </c>
      <c r="G401" s="75">
        <v>0</v>
      </c>
      <c r="H401" s="75" t="s">
        <v>320</v>
      </c>
      <c r="I401" s="78">
        <v>5250</v>
      </c>
      <c r="J401" s="78">
        <v>37363.249360000002</v>
      </c>
      <c r="K401" s="78">
        <v>47262.794339999993</v>
      </c>
      <c r="L401" s="78">
        <v>36835.59301728</v>
      </c>
      <c r="M401" s="78"/>
      <c r="N401" s="95">
        <f t="shared" si="24"/>
        <v>2.6154274551999999</v>
      </c>
      <c r="O401" s="95">
        <f t="shared" si="25"/>
        <v>3.3083956037999993</v>
      </c>
      <c r="P401" s="95">
        <f t="shared" si="26"/>
        <v>0</v>
      </c>
      <c r="Q401" s="95">
        <f t="shared" si="27"/>
        <v>3.3083956037999993</v>
      </c>
      <c r="R401" s="94" t="s">
        <v>543</v>
      </c>
    </row>
    <row r="402" spans="1:18" x14ac:dyDescent="0.2">
      <c r="A402" s="77" t="s">
        <v>19</v>
      </c>
      <c r="B402" s="77" t="s">
        <v>158</v>
      </c>
      <c r="C402" s="77" t="s">
        <v>143</v>
      </c>
      <c r="D402" s="77" t="s">
        <v>164</v>
      </c>
      <c r="E402" s="77">
        <v>10</v>
      </c>
      <c r="F402" s="75">
        <v>0</v>
      </c>
      <c r="G402" s="75">
        <v>10</v>
      </c>
      <c r="H402" s="75" t="s">
        <v>318</v>
      </c>
      <c r="I402" s="78">
        <v>5250</v>
      </c>
      <c r="J402" s="78">
        <v>32634.634440206071</v>
      </c>
      <c r="K402" s="78">
        <v>12423.8431</v>
      </c>
      <c r="L402" s="78">
        <v>8419.2416000000012</v>
      </c>
      <c r="M402" s="78"/>
      <c r="N402" s="95">
        <f t="shared" ref="N402:N465" si="28">$F402*J402/100000</f>
        <v>0</v>
      </c>
      <c r="O402" s="95">
        <f t="shared" ref="O402:O465" si="29">F402*K402/100000</f>
        <v>0</v>
      </c>
      <c r="P402" s="95">
        <f t="shared" ref="P402:P465" si="30">L402*G402/100000</f>
        <v>0.84192416000000014</v>
      </c>
      <c r="Q402" s="95">
        <f t="shared" ref="Q402:Q465" si="31">O402+P402</f>
        <v>0.84192416000000014</v>
      </c>
      <c r="R402" s="94" t="s">
        <v>543</v>
      </c>
    </row>
    <row r="403" spans="1:18" x14ac:dyDescent="0.2">
      <c r="A403" s="77" t="s">
        <v>19</v>
      </c>
      <c r="B403" s="77" t="s">
        <v>158</v>
      </c>
      <c r="C403" s="77">
        <v>1600767</v>
      </c>
      <c r="D403" s="77" t="s">
        <v>262</v>
      </c>
      <c r="E403" s="77">
        <v>10</v>
      </c>
      <c r="F403" s="75">
        <v>0</v>
      </c>
      <c r="G403" s="75">
        <v>10</v>
      </c>
      <c r="H403" s="75" t="s">
        <v>318</v>
      </c>
      <c r="I403" s="78">
        <v>5250</v>
      </c>
      <c r="J403" s="78">
        <v>32634.634440206071</v>
      </c>
      <c r="K403" s="78">
        <v>12425.700499999999</v>
      </c>
      <c r="L403" s="78">
        <v>6492.7096000000001</v>
      </c>
      <c r="M403" s="78"/>
      <c r="N403" s="95">
        <f t="shared" si="28"/>
        <v>0</v>
      </c>
      <c r="O403" s="95">
        <f t="shared" si="29"/>
        <v>0</v>
      </c>
      <c r="P403" s="95">
        <f t="shared" si="30"/>
        <v>0.64927096000000006</v>
      </c>
      <c r="Q403" s="95">
        <f t="shared" si="31"/>
        <v>0.64927096000000006</v>
      </c>
      <c r="R403" s="94" t="s">
        <v>543</v>
      </c>
    </row>
    <row r="404" spans="1:18" x14ac:dyDescent="0.2">
      <c r="A404" s="77" t="s">
        <v>19</v>
      </c>
      <c r="B404" s="77" t="s">
        <v>158</v>
      </c>
      <c r="C404" s="77">
        <v>1600859</v>
      </c>
      <c r="D404" s="77" t="s">
        <v>213</v>
      </c>
      <c r="E404" s="77">
        <v>20</v>
      </c>
      <c r="F404" s="75">
        <v>0</v>
      </c>
      <c r="G404" s="75">
        <v>10</v>
      </c>
      <c r="H404" s="75" t="s">
        <v>318</v>
      </c>
      <c r="I404" s="78">
        <v>5250</v>
      </c>
      <c r="J404" s="78">
        <v>32634.634440206071</v>
      </c>
      <c r="K404" s="78">
        <v>12122.366599999999</v>
      </c>
      <c r="L404" s="78">
        <v>6389.6835999999994</v>
      </c>
      <c r="M404" s="78"/>
      <c r="N404" s="95">
        <f t="shared" si="28"/>
        <v>0</v>
      </c>
      <c r="O404" s="95">
        <f t="shared" si="29"/>
        <v>0</v>
      </c>
      <c r="P404" s="95">
        <f t="shared" si="30"/>
        <v>0.6389683599999999</v>
      </c>
      <c r="Q404" s="95">
        <f t="shared" si="31"/>
        <v>0.6389683599999999</v>
      </c>
      <c r="R404" s="94" t="s">
        <v>543</v>
      </c>
    </row>
    <row r="405" spans="1:18" x14ac:dyDescent="0.2">
      <c r="A405" s="77" t="s">
        <v>19</v>
      </c>
      <c r="B405" s="77" t="s">
        <v>158</v>
      </c>
      <c r="C405" s="77">
        <v>1601161</v>
      </c>
      <c r="D405" s="77" t="s">
        <v>305</v>
      </c>
      <c r="E405" s="77">
        <v>125</v>
      </c>
      <c r="F405" s="75">
        <v>0</v>
      </c>
      <c r="G405" s="75">
        <v>125</v>
      </c>
      <c r="H405" s="75" t="s">
        <v>321</v>
      </c>
      <c r="I405" s="78">
        <v>5250</v>
      </c>
      <c r="J405" s="78">
        <v>32634.634440206071</v>
      </c>
      <c r="K405" s="78">
        <v>16609.290970000002</v>
      </c>
      <c r="L405" s="78">
        <v>7701.8455799999992</v>
      </c>
      <c r="M405" s="78"/>
      <c r="N405" s="95">
        <f t="shared" si="28"/>
        <v>0</v>
      </c>
      <c r="O405" s="95">
        <f t="shared" si="29"/>
        <v>0</v>
      </c>
      <c r="P405" s="95">
        <f t="shared" si="30"/>
        <v>9.6273069749999998</v>
      </c>
      <c r="Q405" s="95">
        <f t="shared" si="31"/>
        <v>9.6273069749999998</v>
      </c>
      <c r="R405" s="94" t="s">
        <v>543</v>
      </c>
    </row>
    <row r="406" spans="1:18" x14ac:dyDescent="0.2">
      <c r="A406" s="77" t="s">
        <v>19</v>
      </c>
      <c r="B406" s="77" t="s">
        <v>158</v>
      </c>
      <c r="C406" s="77">
        <v>1600926</v>
      </c>
      <c r="D406" s="77" t="s">
        <v>263</v>
      </c>
      <c r="E406" s="77">
        <v>7</v>
      </c>
      <c r="F406" s="75">
        <v>0</v>
      </c>
      <c r="G406" s="75">
        <v>7</v>
      </c>
      <c r="H406" s="75" t="s">
        <v>318</v>
      </c>
      <c r="I406" s="78">
        <v>5250</v>
      </c>
      <c r="J406" s="78">
        <v>32634.634440206071</v>
      </c>
      <c r="K406" s="78">
        <v>12423.8431</v>
      </c>
      <c r="L406" s="78">
        <v>5649.1628999999994</v>
      </c>
      <c r="M406" s="78"/>
      <c r="N406" s="95">
        <f t="shared" si="28"/>
        <v>0</v>
      </c>
      <c r="O406" s="95">
        <f t="shared" si="29"/>
        <v>0</v>
      </c>
      <c r="P406" s="95">
        <f t="shared" si="30"/>
        <v>0.39544140299999997</v>
      </c>
      <c r="Q406" s="95">
        <f t="shared" si="31"/>
        <v>0.39544140299999997</v>
      </c>
      <c r="R406" s="94" t="s">
        <v>543</v>
      </c>
    </row>
    <row r="407" spans="1:18" x14ac:dyDescent="0.2">
      <c r="A407" s="77" t="s">
        <v>19</v>
      </c>
      <c r="B407" s="77" t="s">
        <v>158</v>
      </c>
      <c r="C407" s="77">
        <v>1601007</v>
      </c>
      <c r="D407" s="77" t="s">
        <v>169</v>
      </c>
      <c r="E407" s="77">
        <v>32</v>
      </c>
      <c r="F407" s="75">
        <v>32</v>
      </c>
      <c r="G407" s="75">
        <v>32</v>
      </c>
      <c r="H407" s="75" t="s">
        <v>319</v>
      </c>
      <c r="I407" s="78">
        <v>5250</v>
      </c>
      <c r="J407" s="78">
        <v>28144.438010369544</v>
      </c>
      <c r="K407" s="78">
        <v>14395.869999999999</v>
      </c>
      <c r="L407" s="78">
        <v>8997.2065000000002</v>
      </c>
      <c r="M407" s="78"/>
      <c r="N407" s="95">
        <f t="shared" si="28"/>
        <v>9.0062201633182539</v>
      </c>
      <c r="O407" s="95">
        <f t="shared" si="29"/>
        <v>4.6066783999999998</v>
      </c>
      <c r="P407" s="95">
        <f t="shared" si="30"/>
        <v>2.8791060800000001</v>
      </c>
      <c r="Q407" s="95">
        <f t="shared" si="31"/>
        <v>7.4857844799999995</v>
      </c>
      <c r="R407" s="94" t="s">
        <v>543</v>
      </c>
    </row>
    <row r="408" spans="1:18" x14ac:dyDescent="0.2">
      <c r="A408" s="77" t="s">
        <v>19</v>
      </c>
      <c r="B408" s="77" t="s">
        <v>158</v>
      </c>
      <c r="C408" s="77">
        <v>1601165</v>
      </c>
      <c r="D408" s="77" t="s">
        <v>306</v>
      </c>
      <c r="E408" s="77">
        <v>27</v>
      </c>
      <c r="F408" s="75">
        <v>27</v>
      </c>
      <c r="G408" s="75">
        <v>27</v>
      </c>
      <c r="H408" s="75" t="s">
        <v>321</v>
      </c>
      <c r="I408" s="78">
        <v>5250</v>
      </c>
      <c r="J408" s="78">
        <v>28144.438010369544</v>
      </c>
      <c r="K408" s="78">
        <v>17372.676319999999</v>
      </c>
      <c r="L408" s="78">
        <v>7666.4611299999988</v>
      </c>
      <c r="M408" s="78"/>
      <c r="N408" s="95">
        <f t="shared" si="28"/>
        <v>7.5989982627997765</v>
      </c>
      <c r="O408" s="95">
        <f t="shared" si="29"/>
        <v>4.6906226063999998</v>
      </c>
      <c r="P408" s="95">
        <f t="shared" si="30"/>
        <v>2.0699445050999996</v>
      </c>
      <c r="Q408" s="95">
        <f t="shared" si="31"/>
        <v>6.7605671114999994</v>
      </c>
      <c r="R408" s="94" t="s">
        <v>543</v>
      </c>
    </row>
    <row r="409" spans="1:18" x14ac:dyDescent="0.2">
      <c r="A409" s="77" t="s">
        <v>19</v>
      </c>
      <c r="B409" s="77" t="s">
        <v>158</v>
      </c>
      <c r="C409" s="77">
        <v>1601006</v>
      </c>
      <c r="D409" s="77" t="s">
        <v>173</v>
      </c>
      <c r="E409" s="77">
        <v>8</v>
      </c>
      <c r="F409" s="75">
        <v>8</v>
      </c>
      <c r="G409" s="75">
        <v>8</v>
      </c>
      <c r="H409" s="75" t="s">
        <v>322</v>
      </c>
      <c r="I409" s="78">
        <v>5250</v>
      </c>
      <c r="J409" s="78">
        <v>28144.438010369544</v>
      </c>
      <c r="K409" s="78">
        <v>17609.772500000003</v>
      </c>
      <c r="L409" s="78">
        <v>9058.8513000000003</v>
      </c>
      <c r="M409" s="78"/>
      <c r="N409" s="95">
        <f t="shared" si="28"/>
        <v>2.2515550408295635</v>
      </c>
      <c r="O409" s="95">
        <f t="shared" si="29"/>
        <v>1.4087818000000003</v>
      </c>
      <c r="P409" s="95">
        <f t="shared" si="30"/>
        <v>0.72470810400000008</v>
      </c>
      <c r="Q409" s="95">
        <f t="shared" si="31"/>
        <v>2.1334899040000002</v>
      </c>
      <c r="R409" s="94" t="s">
        <v>543</v>
      </c>
    </row>
    <row r="410" spans="1:18" x14ac:dyDescent="0.2">
      <c r="A410" s="77" t="s">
        <v>19</v>
      </c>
      <c r="B410" s="77" t="s">
        <v>158</v>
      </c>
      <c r="C410" s="77">
        <v>1600768</v>
      </c>
      <c r="D410" s="77" t="s">
        <v>174</v>
      </c>
      <c r="E410" s="77">
        <v>20</v>
      </c>
      <c r="F410" s="75">
        <v>6</v>
      </c>
      <c r="G410" s="75">
        <v>20</v>
      </c>
      <c r="H410" s="75" t="s">
        <v>322</v>
      </c>
      <c r="I410" s="78">
        <v>5250</v>
      </c>
      <c r="J410" s="78">
        <v>32634.634440206071</v>
      </c>
      <c r="K410" s="78">
        <v>16055.94339</v>
      </c>
      <c r="L410" s="78">
        <v>6484.5568000000003</v>
      </c>
      <c r="M410" s="78"/>
      <c r="N410" s="95">
        <f t="shared" si="28"/>
        <v>1.958078066412364</v>
      </c>
      <c r="O410" s="95">
        <f t="shared" si="29"/>
        <v>0.96335660340000007</v>
      </c>
      <c r="P410" s="95">
        <f t="shared" si="30"/>
        <v>1.29691136</v>
      </c>
      <c r="Q410" s="95">
        <f t="shared" si="31"/>
        <v>2.2602679634</v>
      </c>
      <c r="R410" s="94" t="s">
        <v>543</v>
      </c>
    </row>
    <row r="411" spans="1:18" x14ac:dyDescent="0.2">
      <c r="A411" s="77" t="s">
        <v>19</v>
      </c>
      <c r="B411" s="77" t="s">
        <v>158</v>
      </c>
      <c r="C411" s="77">
        <v>1601162</v>
      </c>
      <c r="D411" s="77" t="s">
        <v>307</v>
      </c>
      <c r="E411" s="77">
        <v>80</v>
      </c>
      <c r="F411" s="75"/>
      <c r="G411" s="75">
        <v>80</v>
      </c>
      <c r="H411" s="75" t="s">
        <v>321</v>
      </c>
      <c r="I411" s="78">
        <v>5250</v>
      </c>
      <c r="J411" s="78">
        <v>28403.154095441365</v>
      </c>
      <c r="K411" s="78">
        <v>16244.624470000001</v>
      </c>
      <c r="L411" s="78">
        <v>5611.4222</v>
      </c>
      <c r="M411" s="78"/>
      <c r="N411" s="95">
        <f t="shared" si="28"/>
        <v>0</v>
      </c>
      <c r="O411" s="95">
        <f t="shared" si="29"/>
        <v>0</v>
      </c>
      <c r="P411" s="95">
        <f t="shared" si="30"/>
        <v>4.4891377600000002</v>
      </c>
      <c r="Q411" s="95">
        <f t="shared" si="31"/>
        <v>4.4891377600000002</v>
      </c>
      <c r="R411" s="94" t="s">
        <v>543</v>
      </c>
    </row>
    <row r="412" spans="1:18" x14ac:dyDescent="0.2">
      <c r="A412" s="77" t="s">
        <v>19</v>
      </c>
      <c r="B412" s="77" t="s">
        <v>158</v>
      </c>
      <c r="C412" s="77">
        <v>1600927</v>
      </c>
      <c r="D412" s="77" t="s">
        <v>176</v>
      </c>
      <c r="E412" s="77">
        <v>15</v>
      </c>
      <c r="F412" s="75">
        <v>0</v>
      </c>
      <c r="G412" s="75">
        <v>15</v>
      </c>
      <c r="H412" s="75" t="s">
        <v>319</v>
      </c>
      <c r="I412" s="78">
        <v>5250</v>
      </c>
      <c r="J412" s="78">
        <v>32634.634440206071</v>
      </c>
      <c r="K412" s="78">
        <v>16055.94339</v>
      </c>
      <c r="L412" s="78">
        <v>5583.6938999999993</v>
      </c>
      <c r="M412" s="78"/>
      <c r="N412" s="95">
        <f t="shared" si="28"/>
        <v>0</v>
      </c>
      <c r="O412" s="95">
        <f t="shared" si="29"/>
        <v>0</v>
      </c>
      <c r="P412" s="95">
        <f t="shared" si="30"/>
        <v>0.83755408499999995</v>
      </c>
      <c r="Q412" s="95">
        <f t="shared" si="31"/>
        <v>0.83755408499999995</v>
      </c>
      <c r="R412" s="94" t="s">
        <v>543</v>
      </c>
    </row>
    <row r="413" spans="1:18" x14ac:dyDescent="0.2">
      <c r="A413" s="77" t="s">
        <v>19</v>
      </c>
      <c r="B413" s="77" t="s">
        <v>158</v>
      </c>
      <c r="C413" s="77">
        <v>1600062</v>
      </c>
      <c r="D413" s="77" t="s">
        <v>129</v>
      </c>
      <c r="E413" s="77">
        <v>10</v>
      </c>
      <c r="F413" s="75">
        <v>10</v>
      </c>
      <c r="G413" s="75">
        <v>10</v>
      </c>
      <c r="H413" s="75" t="s">
        <v>318</v>
      </c>
      <c r="I413" s="78">
        <v>5250</v>
      </c>
      <c r="J413" s="78">
        <v>32634.634440206071</v>
      </c>
      <c r="K413" s="78">
        <v>12130.012200000001</v>
      </c>
      <c r="L413" s="78">
        <v>6818.7945</v>
      </c>
      <c r="M413" s="78"/>
      <c r="N413" s="95">
        <f t="shared" si="28"/>
        <v>3.2634634440206072</v>
      </c>
      <c r="O413" s="95">
        <f t="shared" si="29"/>
        <v>1.21300122</v>
      </c>
      <c r="P413" s="95">
        <f t="shared" si="30"/>
        <v>0.68187945000000005</v>
      </c>
      <c r="Q413" s="95">
        <f t="shared" si="31"/>
        <v>1.89488067</v>
      </c>
      <c r="R413" s="94" t="s">
        <v>543</v>
      </c>
    </row>
    <row r="414" spans="1:18" x14ac:dyDescent="0.2">
      <c r="A414" s="77" t="s">
        <v>19</v>
      </c>
      <c r="B414" s="77" t="s">
        <v>158</v>
      </c>
      <c r="C414" s="77">
        <v>1600491</v>
      </c>
      <c r="D414" s="77" t="s">
        <v>308</v>
      </c>
      <c r="E414" s="77">
        <v>10</v>
      </c>
      <c r="F414" s="75">
        <v>10</v>
      </c>
      <c r="G414" s="75">
        <v>10</v>
      </c>
      <c r="H414" s="75" t="s">
        <v>319</v>
      </c>
      <c r="I414" s="78">
        <v>5250</v>
      </c>
      <c r="J414" s="78">
        <v>32634.634440206071</v>
      </c>
      <c r="K414" s="78">
        <v>12775.462520000001</v>
      </c>
      <c r="L414" s="78">
        <v>9415.9971999999998</v>
      </c>
      <c r="M414" s="78"/>
      <c r="N414" s="95">
        <f t="shared" si="28"/>
        <v>3.2634634440206072</v>
      </c>
      <c r="O414" s="95">
        <f t="shared" si="29"/>
        <v>1.277546252</v>
      </c>
      <c r="P414" s="95">
        <f t="shared" si="30"/>
        <v>0.94159971999999992</v>
      </c>
      <c r="Q414" s="95">
        <f t="shared" si="31"/>
        <v>2.2191459719999997</v>
      </c>
      <c r="R414" s="94" t="s">
        <v>543</v>
      </c>
    </row>
    <row r="415" spans="1:18" x14ac:dyDescent="0.2">
      <c r="A415" s="77" t="s">
        <v>19</v>
      </c>
      <c r="B415" s="77" t="s">
        <v>158</v>
      </c>
      <c r="C415" s="77">
        <v>1601163</v>
      </c>
      <c r="D415" s="77" t="s">
        <v>309</v>
      </c>
      <c r="E415" s="77">
        <v>60</v>
      </c>
      <c r="F415" s="75">
        <v>0</v>
      </c>
      <c r="G415" s="75">
        <v>60</v>
      </c>
      <c r="H415" s="75" t="s">
        <v>321</v>
      </c>
      <c r="I415" s="78">
        <v>5250</v>
      </c>
      <c r="J415" s="78">
        <v>32634.634440206071</v>
      </c>
      <c r="K415" s="78">
        <v>12775.462520000001</v>
      </c>
      <c r="L415" s="78">
        <v>9415.9971999999998</v>
      </c>
      <c r="M415" s="78"/>
      <c r="N415" s="95">
        <f t="shared" si="28"/>
        <v>0</v>
      </c>
      <c r="O415" s="95">
        <f t="shared" si="29"/>
        <v>0</v>
      </c>
      <c r="P415" s="95">
        <f t="shared" si="30"/>
        <v>5.6495983199999991</v>
      </c>
      <c r="Q415" s="95">
        <f t="shared" si="31"/>
        <v>5.6495983199999991</v>
      </c>
      <c r="R415" s="94" t="s">
        <v>543</v>
      </c>
    </row>
    <row r="416" spans="1:18" x14ac:dyDescent="0.2">
      <c r="A416" s="77" t="s">
        <v>19</v>
      </c>
      <c r="B416" s="77" t="s">
        <v>158</v>
      </c>
      <c r="C416" s="77">
        <v>1600578</v>
      </c>
      <c r="D416" s="77" t="s">
        <v>153</v>
      </c>
      <c r="E416" s="77">
        <v>10</v>
      </c>
      <c r="F416" s="75">
        <v>13</v>
      </c>
      <c r="G416" s="75">
        <v>10</v>
      </c>
      <c r="H416" s="75" t="s">
        <v>319</v>
      </c>
      <c r="I416" s="78">
        <v>5250</v>
      </c>
      <c r="J416" s="78">
        <v>32634.634440206071</v>
      </c>
      <c r="K416" s="78">
        <v>19231.932499999999</v>
      </c>
      <c r="L416" s="78">
        <v>6035.1826000000001</v>
      </c>
      <c r="M416" s="78"/>
      <c r="N416" s="95">
        <f t="shared" si="28"/>
        <v>4.2425024772267896</v>
      </c>
      <c r="O416" s="95">
        <f t="shared" si="29"/>
        <v>2.5001512249999998</v>
      </c>
      <c r="P416" s="95">
        <f t="shared" si="30"/>
        <v>0.60351825999999997</v>
      </c>
      <c r="Q416" s="95">
        <f t="shared" si="31"/>
        <v>3.1036694849999997</v>
      </c>
      <c r="R416" s="94" t="s">
        <v>543</v>
      </c>
    </row>
    <row r="417" spans="1:18" x14ac:dyDescent="0.2">
      <c r="A417" s="77" t="s">
        <v>19</v>
      </c>
      <c r="B417" s="77" t="s">
        <v>158</v>
      </c>
      <c r="C417" s="77">
        <v>1600110</v>
      </c>
      <c r="D417" s="77" t="s">
        <v>188</v>
      </c>
      <c r="E417" s="77">
        <v>8</v>
      </c>
      <c r="F417" s="75">
        <v>0</v>
      </c>
      <c r="G417" s="75">
        <v>8</v>
      </c>
      <c r="H417" s="75" t="s">
        <v>319</v>
      </c>
      <c r="I417" s="78">
        <v>5250</v>
      </c>
      <c r="J417" s="78">
        <v>32634.634440206071</v>
      </c>
      <c r="K417" s="78">
        <v>19231.932499999999</v>
      </c>
      <c r="L417" s="78">
        <v>5183.8510000000006</v>
      </c>
      <c r="M417" s="78"/>
      <c r="N417" s="95">
        <f t="shared" si="28"/>
        <v>0</v>
      </c>
      <c r="O417" s="95">
        <f t="shared" si="29"/>
        <v>0</v>
      </c>
      <c r="P417" s="95">
        <f t="shared" si="30"/>
        <v>0.41470808000000003</v>
      </c>
      <c r="Q417" s="95">
        <f t="shared" si="31"/>
        <v>0.41470808000000003</v>
      </c>
      <c r="R417" s="94" t="s">
        <v>543</v>
      </c>
    </row>
    <row r="418" spans="1:18" x14ac:dyDescent="0.2">
      <c r="A418" s="77" t="s">
        <v>19</v>
      </c>
      <c r="B418" s="77" t="s">
        <v>158</v>
      </c>
      <c r="C418" s="77">
        <v>1601057</v>
      </c>
      <c r="D418" s="77" t="s">
        <v>279</v>
      </c>
      <c r="E418" s="77">
        <v>5</v>
      </c>
      <c r="F418" s="75">
        <v>0</v>
      </c>
      <c r="G418" s="75">
        <v>5</v>
      </c>
      <c r="H418" s="75" t="s">
        <v>318</v>
      </c>
      <c r="I418" s="78">
        <v>5250</v>
      </c>
      <c r="J418" s="78">
        <v>32634.634440206071</v>
      </c>
      <c r="K418" s="78">
        <v>19231.932499999999</v>
      </c>
      <c r="L418" s="78">
        <v>5183.8510000000006</v>
      </c>
      <c r="M418" s="78"/>
      <c r="N418" s="95">
        <f t="shared" si="28"/>
        <v>0</v>
      </c>
      <c r="O418" s="95">
        <f t="shared" si="29"/>
        <v>0</v>
      </c>
      <c r="P418" s="95">
        <f t="shared" si="30"/>
        <v>0.25919255000000002</v>
      </c>
      <c r="Q418" s="95">
        <f t="shared" si="31"/>
        <v>0.25919255000000002</v>
      </c>
      <c r="R418" s="94" t="s">
        <v>543</v>
      </c>
    </row>
    <row r="419" spans="1:18" x14ac:dyDescent="0.2">
      <c r="A419" s="77" t="s">
        <v>19</v>
      </c>
      <c r="B419" s="77" t="s">
        <v>158</v>
      </c>
      <c r="C419" s="77">
        <v>1601102</v>
      </c>
      <c r="D419" s="77" t="s">
        <v>282</v>
      </c>
      <c r="E419" s="77">
        <v>17</v>
      </c>
      <c r="F419" s="75">
        <v>0</v>
      </c>
      <c r="G419" s="75">
        <v>17</v>
      </c>
      <c r="H419" s="75" t="s">
        <v>318</v>
      </c>
      <c r="I419" s="78">
        <v>5250</v>
      </c>
      <c r="J419" s="78">
        <v>33496.349238301031</v>
      </c>
      <c r="K419" s="78">
        <v>16554.873200000002</v>
      </c>
      <c r="L419" s="78">
        <v>5845.9780000000001</v>
      </c>
      <c r="M419" s="78"/>
      <c r="N419" s="95">
        <f t="shared" si="28"/>
        <v>0</v>
      </c>
      <c r="O419" s="95">
        <f t="shared" si="29"/>
        <v>0</v>
      </c>
      <c r="P419" s="95">
        <f t="shared" si="30"/>
        <v>0.99381626000000001</v>
      </c>
      <c r="Q419" s="95">
        <f t="shared" si="31"/>
        <v>0.99381626000000001</v>
      </c>
      <c r="R419" s="94" t="s">
        <v>543</v>
      </c>
    </row>
    <row r="420" spans="1:18" x14ac:dyDescent="0.2">
      <c r="A420" s="77" t="s">
        <v>19</v>
      </c>
      <c r="B420" s="77" t="s">
        <v>158</v>
      </c>
      <c r="C420" s="77">
        <v>1601187</v>
      </c>
      <c r="D420" s="77" t="s">
        <v>310</v>
      </c>
      <c r="E420" s="77">
        <v>20</v>
      </c>
      <c r="F420" s="75">
        <v>0</v>
      </c>
      <c r="G420" s="75">
        <v>20</v>
      </c>
      <c r="H420" s="75" t="s">
        <v>321</v>
      </c>
      <c r="I420" s="78">
        <v>5250</v>
      </c>
      <c r="J420" s="78">
        <v>32634.634440206071</v>
      </c>
      <c r="K420" s="78">
        <v>13275.478999999999</v>
      </c>
      <c r="L420" s="78">
        <v>5892.3717999999999</v>
      </c>
      <c r="M420" s="78"/>
      <c r="N420" s="95">
        <f t="shared" si="28"/>
        <v>0</v>
      </c>
      <c r="O420" s="95">
        <f t="shared" si="29"/>
        <v>0</v>
      </c>
      <c r="P420" s="95">
        <f t="shared" si="30"/>
        <v>1.1784743600000001</v>
      </c>
      <c r="Q420" s="95">
        <f t="shared" si="31"/>
        <v>1.1784743600000001</v>
      </c>
      <c r="R420" s="94" t="s">
        <v>543</v>
      </c>
    </row>
    <row r="421" spans="1:18" x14ac:dyDescent="0.2">
      <c r="A421" s="77" t="s">
        <v>19</v>
      </c>
      <c r="B421" s="77" t="s">
        <v>317</v>
      </c>
      <c r="C421" s="77">
        <v>1600589</v>
      </c>
      <c r="D421" s="77" t="s">
        <v>311</v>
      </c>
      <c r="E421" s="77">
        <v>31.64</v>
      </c>
      <c r="F421" s="75">
        <v>0.15819999999999998</v>
      </c>
      <c r="G421" s="75">
        <v>31.64</v>
      </c>
      <c r="H421" s="75"/>
      <c r="I421" s="78"/>
      <c r="J421" s="78"/>
      <c r="K421" s="78">
        <v>289.62688113559318</v>
      </c>
      <c r="L421" s="78">
        <v>46.717169999999996</v>
      </c>
      <c r="M421" s="78"/>
      <c r="N421" s="95">
        <f t="shared" si="28"/>
        <v>0</v>
      </c>
      <c r="O421" s="95">
        <f t="shared" si="29"/>
        <v>4.5818972595650835E-4</v>
      </c>
      <c r="P421" s="95">
        <f t="shared" si="30"/>
        <v>1.4781312587999999E-2</v>
      </c>
      <c r="Q421" s="95">
        <f t="shared" si="31"/>
        <v>1.5239502313956507E-2</v>
      </c>
      <c r="R421" s="94" t="s">
        <v>543</v>
      </c>
    </row>
    <row r="422" spans="1:18" x14ac:dyDescent="0.2">
      <c r="A422" s="77" t="s">
        <v>19</v>
      </c>
      <c r="B422" s="77" t="s">
        <v>317</v>
      </c>
      <c r="C422" s="77">
        <v>1600520</v>
      </c>
      <c r="D422" s="77" t="s">
        <v>190</v>
      </c>
      <c r="E422" s="77">
        <v>1.8747</v>
      </c>
      <c r="F422" s="75">
        <v>9.373500000000001E-5</v>
      </c>
      <c r="G422" s="75">
        <v>1.8747</v>
      </c>
      <c r="H422" s="75" t="s">
        <v>319</v>
      </c>
      <c r="I422" s="78"/>
      <c r="J422" s="78"/>
      <c r="K422" s="78">
        <v>3.5646729504681449</v>
      </c>
      <c r="L422" s="78">
        <v>6.4743681802182325</v>
      </c>
      <c r="M422" s="78"/>
      <c r="N422" s="95">
        <f t="shared" si="28"/>
        <v>0</v>
      </c>
      <c r="O422" s="95">
        <f t="shared" si="29"/>
        <v>3.3413461901213156E-9</v>
      </c>
      <c r="P422" s="95">
        <f t="shared" si="30"/>
        <v>1.213749802745512E-4</v>
      </c>
      <c r="Q422" s="95">
        <f t="shared" si="31"/>
        <v>1.2137832162074131E-4</v>
      </c>
      <c r="R422" s="94" t="s">
        <v>543</v>
      </c>
    </row>
    <row r="423" spans="1:18" x14ac:dyDescent="0.2">
      <c r="A423" s="77" t="s">
        <v>19</v>
      </c>
      <c r="B423" s="77" t="s">
        <v>158</v>
      </c>
      <c r="C423" s="77">
        <v>1600560</v>
      </c>
      <c r="D423" s="77" t="s">
        <v>218</v>
      </c>
      <c r="E423" s="77">
        <v>0.67252000000000001</v>
      </c>
      <c r="F423" s="75">
        <v>1.4459179999999999E-4</v>
      </c>
      <c r="G423" s="75">
        <v>0.67252000000000001</v>
      </c>
      <c r="H423" s="75" t="s">
        <v>322</v>
      </c>
      <c r="I423" s="78"/>
      <c r="J423" s="78"/>
      <c r="K423" s="78">
        <v>31677.835599999999</v>
      </c>
      <c r="L423" s="78">
        <v>37403.982099999994</v>
      </c>
      <c r="M423" s="78"/>
      <c r="N423" s="95">
        <f t="shared" si="28"/>
        <v>0</v>
      </c>
      <c r="O423" s="95">
        <f t="shared" si="29"/>
        <v>4.5803552695080798E-5</v>
      </c>
      <c r="P423" s="95">
        <f t="shared" si="30"/>
        <v>0.25154926041891995</v>
      </c>
      <c r="Q423" s="95">
        <f t="shared" si="31"/>
        <v>0.25159506397161502</v>
      </c>
      <c r="R423" s="94" t="s">
        <v>543</v>
      </c>
    </row>
    <row r="424" spans="1:18" x14ac:dyDescent="0.2">
      <c r="A424" s="77" t="s">
        <v>19</v>
      </c>
      <c r="B424" s="77" t="s">
        <v>158</v>
      </c>
      <c r="C424" s="77">
        <v>1600561</v>
      </c>
      <c r="D424" s="77" t="s">
        <v>312</v>
      </c>
      <c r="E424" s="77">
        <v>0.75387499999999996</v>
      </c>
      <c r="F424" s="75">
        <v>1.3946687499999998E-4</v>
      </c>
      <c r="G424" s="75">
        <v>0.75387499999999996</v>
      </c>
      <c r="H424" s="75" t="s">
        <v>322</v>
      </c>
      <c r="I424" s="78"/>
      <c r="J424" s="78"/>
      <c r="K424" s="78">
        <v>31677.835599999999</v>
      </c>
      <c r="L424" s="78">
        <v>13460.4501</v>
      </c>
      <c r="M424" s="78"/>
      <c r="N424" s="95">
        <f t="shared" si="28"/>
        <v>0</v>
      </c>
      <c r="O424" s="95">
        <f t="shared" si="29"/>
        <v>4.4180087378957491E-5</v>
      </c>
      <c r="P424" s="95">
        <f t="shared" si="30"/>
        <v>0.101474968191375</v>
      </c>
      <c r="Q424" s="95">
        <f t="shared" si="31"/>
        <v>0.10151914827875395</v>
      </c>
      <c r="R424" s="94" t="s">
        <v>543</v>
      </c>
    </row>
    <row r="425" spans="1:18" x14ac:dyDescent="0.2">
      <c r="A425" s="77" t="s">
        <v>19</v>
      </c>
      <c r="B425" s="77" t="s">
        <v>158</v>
      </c>
      <c r="C425" s="77">
        <v>1600742</v>
      </c>
      <c r="D425" s="77" t="s">
        <v>313</v>
      </c>
      <c r="E425" s="77">
        <v>0.43</v>
      </c>
      <c r="F425" s="75">
        <v>9.2449999999999984E-5</v>
      </c>
      <c r="G425" s="75">
        <v>0.43</v>
      </c>
      <c r="H425" s="75" t="s">
        <v>322</v>
      </c>
      <c r="I425" s="78"/>
      <c r="J425" s="78"/>
      <c r="K425" s="78">
        <v>31677.835599999999</v>
      </c>
      <c r="L425" s="78">
        <v>54336.594800000006</v>
      </c>
      <c r="M425" s="78"/>
      <c r="N425" s="95">
        <f t="shared" si="28"/>
        <v>0</v>
      </c>
      <c r="O425" s="95">
        <f t="shared" si="29"/>
        <v>2.9286159012199994E-5</v>
      </c>
      <c r="P425" s="95">
        <f t="shared" si="30"/>
        <v>0.23364735764</v>
      </c>
      <c r="Q425" s="95">
        <f t="shared" si="31"/>
        <v>0.23367664379901221</v>
      </c>
      <c r="R425" s="94" t="s">
        <v>543</v>
      </c>
    </row>
    <row r="426" spans="1:18" x14ac:dyDescent="0.2">
      <c r="A426" s="77" t="s">
        <v>19</v>
      </c>
      <c r="B426" s="77" t="s">
        <v>158</v>
      </c>
      <c r="C426" s="77">
        <v>1600807</v>
      </c>
      <c r="D426" s="77" t="s">
        <v>195</v>
      </c>
      <c r="E426" s="77">
        <v>2.7774000000000001</v>
      </c>
      <c r="F426" s="75">
        <v>2.4996599999999999E-3</v>
      </c>
      <c r="G426" s="75">
        <v>2.7774000000000001</v>
      </c>
      <c r="H426" s="75" t="s">
        <v>322</v>
      </c>
      <c r="I426" s="78"/>
      <c r="J426" s="78"/>
      <c r="K426" s="78">
        <v>0</v>
      </c>
      <c r="L426" s="78"/>
      <c r="M426" s="78"/>
      <c r="N426" s="95">
        <f t="shared" si="28"/>
        <v>0</v>
      </c>
      <c r="O426" s="95">
        <f t="shared" si="29"/>
        <v>0</v>
      </c>
      <c r="P426" s="95">
        <f t="shared" si="30"/>
        <v>0</v>
      </c>
      <c r="Q426" s="95">
        <f t="shared" si="31"/>
        <v>0</v>
      </c>
      <c r="R426" s="94" t="s">
        <v>543</v>
      </c>
    </row>
    <row r="427" spans="1:18" x14ac:dyDescent="0.2">
      <c r="A427" s="77" t="s">
        <v>19</v>
      </c>
      <c r="B427" s="77" t="s">
        <v>158</v>
      </c>
      <c r="C427" s="77">
        <v>1600621</v>
      </c>
      <c r="D427" s="77" t="s">
        <v>314</v>
      </c>
      <c r="E427" s="77">
        <v>0.97084999999999999</v>
      </c>
      <c r="F427" s="75">
        <v>4.8542500000000005E-5</v>
      </c>
      <c r="G427" s="75">
        <v>0.97084999999999999</v>
      </c>
      <c r="H427" s="75" t="s">
        <v>319</v>
      </c>
      <c r="I427" s="78"/>
      <c r="J427" s="78"/>
      <c r="K427" s="78">
        <v>88733.599799999982</v>
      </c>
      <c r="L427" s="78">
        <v>144465.35429999998</v>
      </c>
      <c r="M427" s="78"/>
      <c r="N427" s="95">
        <f t="shared" si="28"/>
        <v>0</v>
      </c>
      <c r="O427" s="95">
        <f t="shared" si="29"/>
        <v>4.3073507682914994E-5</v>
      </c>
      <c r="P427" s="95">
        <f t="shared" si="30"/>
        <v>1.4025418922215496</v>
      </c>
      <c r="Q427" s="95">
        <f t="shared" si="31"/>
        <v>1.4025849657292324</v>
      </c>
      <c r="R427" s="94" t="s">
        <v>543</v>
      </c>
    </row>
    <row r="428" spans="1:18" x14ac:dyDescent="0.2">
      <c r="A428" s="77" t="s">
        <v>18</v>
      </c>
      <c r="B428" s="77" t="s">
        <v>159</v>
      </c>
      <c r="C428" s="77">
        <v>1600199</v>
      </c>
      <c r="D428" s="77" t="s">
        <v>141</v>
      </c>
      <c r="E428" s="77">
        <v>16.292999999999999</v>
      </c>
      <c r="F428" s="75">
        <v>0</v>
      </c>
      <c r="G428" s="75">
        <v>16.292999999999999</v>
      </c>
      <c r="H428" s="75" t="s">
        <v>322</v>
      </c>
      <c r="I428" s="78">
        <v>5250</v>
      </c>
      <c r="J428" s="78">
        <v>42824.311332593497</v>
      </c>
      <c r="K428" s="78">
        <v>18386.28183</v>
      </c>
      <c r="L428" s="78">
        <v>19205.305799999998</v>
      </c>
      <c r="M428" s="78">
        <v>118184.72679842671</v>
      </c>
      <c r="N428" s="95">
        <f t="shared" si="28"/>
        <v>0</v>
      </c>
      <c r="O428" s="95">
        <f t="shared" si="29"/>
        <v>0</v>
      </c>
      <c r="P428" s="95">
        <f t="shared" si="30"/>
        <v>3.129120473994</v>
      </c>
      <c r="Q428" s="95">
        <f t="shared" si="31"/>
        <v>3.129120473994</v>
      </c>
      <c r="R428" s="94" t="s">
        <v>543</v>
      </c>
    </row>
    <row r="429" spans="1:18" x14ac:dyDescent="0.2">
      <c r="A429" s="77" t="s">
        <v>18</v>
      </c>
      <c r="B429" s="77" t="s">
        <v>159</v>
      </c>
      <c r="C429" s="77">
        <v>1601003</v>
      </c>
      <c r="D429" s="77" t="s">
        <v>272</v>
      </c>
      <c r="E429" s="77">
        <v>21.6</v>
      </c>
      <c r="F429" s="75">
        <v>21.6</v>
      </c>
      <c r="G429" s="75">
        <v>21.6</v>
      </c>
      <c r="H429" s="75" t="s">
        <v>283</v>
      </c>
      <c r="I429" s="78">
        <v>5250</v>
      </c>
      <c r="J429" s="78">
        <v>43362.765996855247</v>
      </c>
      <c r="K429" s="78">
        <v>17321.091799999998</v>
      </c>
      <c r="L429" s="78">
        <v>16398.518499999998</v>
      </c>
      <c r="M429" s="78">
        <v>103118.52010587619</v>
      </c>
      <c r="N429" s="95">
        <f t="shared" si="28"/>
        <v>9.3663574553207347</v>
      </c>
      <c r="O429" s="95">
        <f t="shared" si="29"/>
        <v>3.7413558288000002</v>
      </c>
      <c r="P429" s="95">
        <f t="shared" si="30"/>
        <v>3.542079996</v>
      </c>
      <c r="Q429" s="95">
        <f t="shared" si="31"/>
        <v>7.2834358247999997</v>
      </c>
      <c r="R429" s="94" t="s">
        <v>543</v>
      </c>
    </row>
    <row r="430" spans="1:18" x14ac:dyDescent="0.2">
      <c r="A430" s="77" t="s">
        <v>18</v>
      </c>
      <c r="B430" s="77" t="s">
        <v>206</v>
      </c>
      <c r="C430" s="77">
        <v>1601098</v>
      </c>
      <c r="D430" s="77" t="s">
        <v>148</v>
      </c>
      <c r="E430" s="77">
        <v>26</v>
      </c>
      <c r="F430" s="75">
        <v>26</v>
      </c>
      <c r="G430" s="75">
        <v>26</v>
      </c>
      <c r="H430" s="75" t="s">
        <v>284</v>
      </c>
      <c r="I430" s="78">
        <v>5250</v>
      </c>
      <c r="J430" s="78">
        <v>37363.249360000002</v>
      </c>
      <c r="K430" s="78">
        <v>47262.794339999993</v>
      </c>
      <c r="L430" s="78">
        <v>36835.59301728</v>
      </c>
      <c r="M430" s="78">
        <v>134461.63671727999</v>
      </c>
      <c r="N430" s="95">
        <f t="shared" si="28"/>
        <v>9.7144448336</v>
      </c>
      <c r="O430" s="95">
        <f t="shared" si="29"/>
        <v>12.288326528399999</v>
      </c>
      <c r="P430" s="95">
        <f t="shared" si="30"/>
        <v>9.5772541844927996</v>
      </c>
      <c r="Q430" s="95">
        <f t="shared" si="31"/>
        <v>21.8655807128928</v>
      </c>
      <c r="R430" s="94" t="s">
        <v>543</v>
      </c>
    </row>
    <row r="431" spans="1:18" x14ac:dyDescent="0.2">
      <c r="A431" s="77" t="s">
        <v>18</v>
      </c>
      <c r="B431" s="77" t="s">
        <v>158</v>
      </c>
      <c r="C431" s="77">
        <v>1601005</v>
      </c>
      <c r="D431" s="77" t="s">
        <v>164</v>
      </c>
      <c r="E431" s="77">
        <v>15</v>
      </c>
      <c r="F431" s="75">
        <v>245</v>
      </c>
      <c r="G431" s="75">
        <v>15</v>
      </c>
      <c r="H431" s="75" t="s">
        <v>283</v>
      </c>
      <c r="I431" s="78">
        <v>5250</v>
      </c>
      <c r="J431" s="78">
        <v>23570.249541380723</v>
      </c>
      <c r="K431" s="78">
        <v>13471.285</v>
      </c>
      <c r="L431" s="78">
        <v>9242.8091000000004</v>
      </c>
      <c r="M431" s="78">
        <v>53044.417400767146</v>
      </c>
      <c r="N431" s="95">
        <f t="shared" si="28"/>
        <v>57.747111376382776</v>
      </c>
      <c r="O431" s="95">
        <f t="shared" si="29"/>
        <v>33.004648250000002</v>
      </c>
      <c r="P431" s="95">
        <f t="shared" si="30"/>
        <v>1.3864213649999999</v>
      </c>
      <c r="Q431" s="95">
        <f t="shared" si="31"/>
        <v>34.391069614999999</v>
      </c>
      <c r="R431" s="94" t="s">
        <v>543</v>
      </c>
    </row>
    <row r="432" spans="1:18" x14ac:dyDescent="0.2">
      <c r="A432" s="77" t="s">
        <v>18</v>
      </c>
      <c r="B432" s="77" t="s">
        <v>158</v>
      </c>
      <c r="C432" s="77">
        <v>1600859</v>
      </c>
      <c r="D432" s="77" t="s">
        <v>213</v>
      </c>
      <c r="E432" s="77">
        <v>50</v>
      </c>
      <c r="F432" s="75">
        <v>0</v>
      </c>
      <c r="G432" s="75">
        <v>50</v>
      </c>
      <c r="H432" s="75" t="s">
        <v>283</v>
      </c>
      <c r="I432" s="78">
        <v>5250</v>
      </c>
      <c r="J432" s="78">
        <v>26446.970448371925</v>
      </c>
      <c r="K432" s="78">
        <v>12425.700499999999</v>
      </c>
      <c r="L432" s="78">
        <v>6949.9565000000002</v>
      </c>
      <c r="M432" s="78">
        <v>54308.464356548779</v>
      </c>
      <c r="N432" s="95">
        <f t="shared" si="28"/>
        <v>0</v>
      </c>
      <c r="O432" s="95">
        <f t="shared" si="29"/>
        <v>0</v>
      </c>
      <c r="P432" s="95">
        <f t="shared" si="30"/>
        <v>3.4749782499999999</v>
      </c>
      <c r="Q432" s="95">
        <f t="shared" si="31"/>
        <v>3.4749782499999999</v>
      </c>
      <c r="R432" s="94" t="s">
        <v>543</v>
      </c>
    </row>
    <row r="433" spans="1:18" x14ac:dyDescent="0.2">
      <c r="A433" s="77" t="s">
        <v>18</v>
      </c>
      <c r="B433" s="77" t="s">
        <v>158</v>
      </c>
      <c r="C433" s="77">
        <v>1600029</v>
      </c>
      <c r="D433" s="77" t="s">
        <v>149</v>
      </c>
      <c r="E433" s="77">
        <v>8</v>
      </c>
      <c r="F433" s="75">
        <v>0</v>
      </c>
      <c r="G433" s="75">
        <v>8</v>
      </c>
      <c r="H433" s="75" t="s">
        <v>283</v>
      </c>
      <c r="I433" s="78">
        <v>5250</v>
      </c>
      <c r="J433" s="78">
        <v>30332.842481382853</v>
      </c>
      <c r="K433" s="78">
        <v>12425.700499999999</v>
      </c>
      <c r="L433" s="78">
        <v>6039.8929000000007</v>
      </c>
      <c r="M433" s="78">
        <v>53486.440984594097</v>
      </c>
      <c r="N433" s="95">
        <f t="shared" si="28"/>
        <v>0</v>
      </c>
      <c r="O433" s="95">
        <f t="shared" si="29"/>
        <v>0</v>
      </c>
      <c r="P433" s="95">
        <f t="shared" si="30"/>
        <v>0.48319143200000003</v>
      </c>
      <c r="Q433" s="95">
        <f t="shared" si="31"/>
        <v>0.48319143200000003</v>
      </c>
      <c r="R433" s="94" t="s">
        <v>543</v>
      </c>
    </row>
    <row r="434" spans="1:18" x14ac:dyDescent="0.2">
      <c r="A434" s="77" t="s">
        <v>18</v>
      </c>
      <c r="B434" s="77" t="s">
        <v>158</v>
      </c>
      <c r="C434" s="77">
        <v>1600027</v>
      </c>
      <c r="D434" s="77" t="s">
        <v>165</v>
      </c>
      <c r="E434" s="77">
        <v>37</v>
      </c>
      <c r="F434" s="75">
        <v>0</v>
      </c>
      <c r="G434" s="75">
        <v>37</v>
      </c>
      <c r="H434" s="75" t="s">
        <v>283</v>
      </c>
      <c r="I434" s="78">
        <v>5250</v>
      </c>
      <c r="J434" s="78">
        <v>30332.842481382853</v>
      </c>
      <c r="K434" s="78">
        <v>12425.700499999999</v>
      </c>
      <c r="L434" s="78">
        <v>7022.7060999999994</v>
      </c>
      <c r="M434" s="78">
        <v>54469.254184594101</v>
      </c>
      <c r="N434" s="95">
        <f t="shared" si="28"/>
        <v>0</v>
      </c>
      <c r="O434" s="95">
        <f t="shared" si="29"/>
        <v>0</v>
      </c>
      <c r="P434" s="95">
        <f t="shared" si="30"/>
        <v>2.5984012569999999</v>
      </c>
      <c r="Q434" s="95">
        <f t="shared" si="31"/>
        <v>2.5984012569999999</v>
      </c>
      <c r="R434" s="94" t="s">
        <v>543</v>
      </c>
    </row>
    <row r="435" spans="1:18" x14ac:dyDescent="0.2">
      <c r="A435" s="77" t="s">
        <v>18</v>
      </c>
      <c r="B435" s="77" t="s">
        <v>158</v>
      </c>
      <c r="C435" s="77">
        <v>1600837</v>
      </c>
      <c r="D435" s="77" t="s">
        <v>273</v>
      </c>
      <c r="E435" s="77">
        <v>110</v>
      </c>
      <c r="F435" s="75">
        <v>0</v>
      </c>
      <c r="G435" s="75">
        <v>110</v>
      </c>
      <c r="H435" s="75" t="s">
        <v>284</v>
      </c>
      <c r="I435" s="78">
        <v>5250</v>
      </c>
      <c r="J435" s="78">
        <v>30080.775956233061</v>
      </c>
      <c r="K435" s="78">
        <v>12924.64813</v>
      </c>
      <c r="L435" s="78">
        <v>6566.3464000000004</v>
      </c>
      <c r="M435" s="78">
        <v>54139.149511561372</v>
      </c>
      <c r="N435" s="95">
        <f t="shared" si="28"/>
        <v>0</v>
      </c>
      <c r="O435" s="95">
        <f t="shared" si="29"/>
        <v>0</v>
      </c>
      <c r="P435" s="95">
        <f t="shared" si="30"/>
        <v>7.2229810400000005</v>
      </c>
      <c r="Q435" s="95">
        <f t="shared" si="31"/>
        <v>7.2229810400000005</v>
      </c>
      <c r="R435" s="94" t="s">
        <v>543</v>
      </c>
    </row>
    <row r="436" spans="1:18" x14ac:dyDescent="0.2">
      <c r="A436" s="77" t="s">
        <v>18</v>
      </c>
      <c r="B436" s="77" t="s">
        <v>158</v>
      </c>
      <c r="C436" s="77">
        <v>1600864</v>
      </c>
      <c r="D436" s="77" t="s">
        <v>274</v>
      </c>
      <c r="E436" s="77">
        <v>50</v>
      </c>
      <c r="F436" s="75">
        <v>0</v>
      </c>
      <c r="G436" s="75">
        <v>50</v>
      </c>
      <c r="H436" s="75" t="s">
        <v>283</v>
      </c>
      <c r="I436" s="78">
        <v>5250</v>
      </c>
      <c r="J436" s="78">
        <v>30332.842481382853</v>
      </c>
      <c r="K436" s="78">
        <v>12425.700499999999</v>
      </c>
      <c r="L436" s="78">
        <v>5452.3422</v>
      </c>
      <c r="M436" s="78">
        <v>52898.890284594097</v>
      </c>
      <c r="N436" s="95">
        <f t="shared" si="28"/>
        <v>0</v>
      </c>
      <c r="O436" s="95">
        <f t="shared" si="29"/>
        <v>0</v>
      </c>
      <c r="P436" s="95">
        <f t="shared" si="30"/>
        <v>2.7261710999999997</v>
      </c>
      <c r="Q436" s="95">
        <f t="shared" si="31"/>
        <v>2.7261710999999997</v>
      </c>
      <c r="R436" s="94" t="s">
        <v>543</v>
      </c>
    </row>
    <row r="437" spans="1:18" x14ac:dyDescent="0.2">
      <c r="A437" s="77" t="s">
        <v>18</v>
      </c>
      <c r="B437" s="77" t="s">
        <v>158</v>
      </c>
      <c r="C437" s="77">
        <v>1601007</v>
      </c>
      <c r="D437" s="77" t="s">
        <v>169</v>
      </c>
      <c r="E437" s="77">
        <v>30</v>
      </c>
      <c r="F437" s="75">
        <v>30</v>
      </c>
      <c r="G437" s="75">
        <v>30</v>
      </c>
      <c r="H437" s="75" t="s">
        <v>284</v>
      </c>
      <c r="I437" s="78">
        <v>5250</v>
      </c>
      <c r="J437" s="78">
        <v>30617.71057393786</v>
      </c>
      <c r="K437" s="78">
        <v>13284.871999999999</v>
      </c>
      <c r="L437" s="78">
        <v>5905.1215999999995</v>
      </c>
      <c r="M437" s="78">
        <v>54532.535543080339</v>
      </c>
      <c r="N437" s="95">
        <f t="shared" si="28"/>
        <v>9.1853131721813579</v>
      </c>
      <c r="O437" s="95">
        <f t="shared" si="29"/>
        <v>3.9854615999999998</v>
      </c>
      <c r="P437" s="95">
        <f t="shared" si="30"/>
        <v>1.77153648</v>
      </c>
      <c r="Q437" s="95">
        <f t="shared" si="31"/>
        <v>5.7569980799999998</v>
      </c>
      <c r="R437" s="94" t="s">
        <v>543</v>
      </c>
    </row>
    <row r="438" spans="1:18" x14ac:dyDescent="0.2">
      <c r="A438" s="77" t="s">
        <v>18</v>
      </c>
      <c r="B438" s="77" t="s">
        <v>158</v>
      </c>
      <c r="C438" s="77">
        <v>1600932</v>
      </c>
      <c r="D438" s="77" t="s">
        <v>171</v>
      </c>
      <c r="E438" s="77">
        <v>10</v>
      </c>
      <c r="F438" s="75">
        <v>10</v>
      </c>
      <c r="G438" s="75">
        <v>10</v>
      </c>
      <c r="H438" s="75" t="s">
        <v>284</v>
      </c>
      <c r="I438" s="78">
        <v>5250</v>
      </c>
      <c r="J438" s="78">
        <v>30617.71057393786</v>
      </c>
      <c r="K438" s="78">
        <v>13284.893</v>
      </c>
      <c r="L438" s="78">
        <v>6907.7049000000006</v>
      </c>
      <c r="M438" s="78">
        <v>55447.099615035011</v>
      </c>
      <c r="N438" s="95">
        <f t="shared" si="28"/>
        <v>3.061771057393786</v>
      </c>
      <c r="O438" s="95">
        <f t="shared" si="29"/>
        <v>1.3284893</v>
      </c>
      <c r="P438" s="95">
        <f t="shared" si="30"/>
        <v>0.69077049000000001</v>
      </c>
      <c r="Q438" s="95">
        <f t="shared" si="31"/>
        <v>2.01925979</v>
      </c>
      <c r="R438" s="94" t="s">
        <v>543</v>
      </c>
    </row>
    <row r="439" spans="1:18" x14ac:dyDescent="0.2">
      <c r="A439" s="77" t="s">
        <v>18</v>
      </c>
      <c r="B439" s="77" t="s">
        <v>158</v>
      </c>
      <c r="C439" s="77">
        <v>1600933</v>
      </c>
      <c r="D439" s="77" t="s">
        <v>275</v>
      </c>
      <c r="E439" s="77">
        <v>13</v>
      </c>
      <c r="F439" s="75">
        <v>13</v>
      </c>
      <c r="G439" s="75">
        <v>13</v>
      </c>
      <c r="H439" s="75" t="s">
        <v>284</v>
      </c>
      <c r="I439" s="78">
        <v>5250</v>
      </c>
      <c r="J439" s="78">
        <v>30328.492452730548</v>
      </c>
      <c r="K439" s="78">
        <v>13618.172880000002</v>
      </c>
      <c r="L439" s="78">
        <v>6466.3301200000005</v>
      </c>
      <c r="M439" s="78">
        <v>55012.397978808796</v>
      </c>
      <c r="N439" s="95">
        <f t="shared" si="28"/>
        <v>3.9427040188549713</v>
      </c>
      <c r="O439" s="95">
        <f t="shared" si="29"/>
        <v>1.7703624744000004</v>
      </c>
      <c r="P439" s="95">
        <f t="shared" si="30"/>
        <v>0.84062291560000013</v>
      </c>
      <c r="Q439" s="95">
        <f t="shared" si="31"/>
        <v>2.6109853900000006</v>
      </c>
      <c r="R439" s="94" t="s">
        <v>543</v>
      </c>
    </row>
    <row r="440" spans="1:18" x14ac:dyDescent="0.2">
      <c r="A440" s="77" t="s">
        <v>18</v>
      </c>
      <c r="B440" s="77" t="s">
        <v>158</v>
      </c>
      <c r="C440" s="77">
        <v>1601006</v>
      </c>
      <c r="D440" s="77" t="s">
        <v>173</v>
      </c>
      <c r="E440" s="77">
        <v>20</v>
      </c>
      <c r="F440" s="75">
        <v>109</v>
      </c>
      <c r="G440" s="75">
        <v>20</v>
      </c>
      <c r="H440" s="75" t="s">
        <v>283</v>
      </c>
      <c r="I440" s="78">
        <v>5250</v>
      </c>
      <c r="J440" s="78">
        <v>28403.154095441365</v>
      </c>
      <c r="K440" s="78">
        <v>16244.624470000001</v>
      </c>
      <c r="L440" s="78">
        <v>8290.3799999999992</v>
      </c>
      <c r="M440" s="78">
        <v>57288.66335882798</v>
      </c>
      <c r="N440" s="95">
        <f t="shared" si="28"/>
        <v>30.959437964031085</v>
      </c>
      <c r="O440" s="95">
        <f t="shared" si="29"/>
        <v>17.706640672300001</v>
      </c>
      <c r="P440" s="95">
        <f t="shared" si="30"/>
        <v>1.6580759999999997</v>
      </c>
      <c r="Q440" s="95">
        <f t="shared" si="31"/>
        <v>19.364716672300002</v>
      </c>
      <c r="R440" s="94" t="s">
        <v>543</v>
      </c>
    </row>
    <row r="441" spans="1:18" x14ac:dyDescent="0.2">
      <c r="A441" s="77" t="s">
        <v>18</v>
      </c>
      <c r="B441" s="77" t="s">
        <v>158</v>
      </c>
      <c r="C441" s="77">
        <v>1600856</v>
      </c>
      <c r="D441" s="77" t="s">
        <v>175</v>
      </c>
      <c r="E441" s="77">
        <v>28</v>
      </c>
      <c r="F441" s="75">
        <v>0</v>
      </c>
      <c r="G441" s="75">
        <v>28</v>
      </c>
      <c r="H441" s="75" t="s">
        <v>283</v>
      </c>
      <c r="I441" s="78">
        <v>5250</v>
      </c>
      <c r="J441" s="78">
        <v>28403.154095441365</v>
      </c>
      <c r="K441" s="78">
        <v>16244.624470000001</v>
      </c>
      <c r="L441" s="78">
        <v>7281.7548999999999</v>
      </c>
      <c r="M441" s="78">
        <v>56280.038258827983</v>
      </c>
      <c r="N441" s="95">
        <f t="shared" si="28"/>
        <v>0</v>
      </c>
      <c r="O441" s="95">
        <f t="shared" si="29"/>
        <v>0</v>
      </c>
      <c r="P441" s="95">
        <f t="shared" si="30"/>
        <v>2.0388913720000001</v>
      </c>
      <c r="Q441" s="95">
        <f t="shared" si="31"/>
        <v>2.0388913720000001</v>
      </c>
      <c r="R441" s="94" t="s">
        <v>543</v>
      </c>
    </row>
    <row r="442" spans="1:18" x14ac:dyDescent="0.2">
      <c r="A442" s="77" t="s">
        <v>18</v>
      </c>
      <c r="B442" s="77" t="s">
        <v>158</v>
      </c>
      <c r="C442" s="77">
        <v>1600040</v>
      </c>
      <c r="D442" s="77" t="s">
        <v>276</v>
      </c>
      <c r="E442" s="77">
        <v>5</v>
      </c>
      <c r="F442" s="75">
        <v>0</v>
      </c>
      <c r="G442" s="75">
        <v>5</v>
      </c>
      <c r="H442" s="75" t="s">
        <v>283</v>
      </c>
      <c r="I442" s="78">
        <v>5250</v>
      </c>
      <c r="J442" s="78">
        <v>28403.154095441365</v>
      </c>
      <c r="K442" s="78">
        <v>16244.624470000001</v>
      </c>
      <c r="L442" s="78">
        <v>6289.4019000000008</v>
      </c>
      <c r="M442" s="78">
        <v>55287.68525882798</v>
      </c>
      <c r="N442" s="95">
        <f t="shared" si="28"/>
        <v>0</v>
      </c>
      <c r="O442" s="95">
        <f t="shared" si="29"/>
        <v>0</v>
      </c>
      <c r="P442" s="95">
        <f t="shared" si="30"/>
        <v>0.31447009500000006</v>
      </c>
      <c r="Q442" s="95">
        <f t="shared" si="31"/>
        <v>0.31447009500000006</v>
      </c>
      <c r="R442" s="94" t="s">
        <v>543</v>
      </c>
    </row>
    <row r="443" spans="1:18" x14ac:dyDescent="0.2">
      <c r="A443" s="77" t="s">
        <v>18</v>
      </c>
      <c r="B443" s="77" t="s">
        <v>158</v>
      </c>
      <c r="C443" s="77">
        <v>1600039</v>
      </c>
      <c r="D443" s="77" t="s">
        <v>224</v>
      </c>
      <c r="E443" s="77">
        <v>29</v>
      </c>
      <c r="F443" s="75">
        <v>0</v>
      </c>
      <c r="G443" s="75">
        <v>29</v>
      </c>
      <c r="H443" s="75" t="s">
        <v>283</v>
      </c>
      <c r="I443" s="78">
        <v>5250</v>
      </c>
      <c r="J443" s="78">
        <v>28403.154095441365</v>
      </c>
      <c r="K443" s="78">
        <v>16244.624470000001</v>
      </c>
      <c r="L443" s="78">
        <v>6782.2644</v>
      </c>
      <c r="M443" s="78">
        <v>55780.547758827983</v>
      </c>
      <c r="N443" s="95">
        <f t="shared" si="28"/>
        <v>0</v>
      </c>
      <c r="O443" s="95">
        <f t="shared" si="29"/>
        <v>0</v>
      </c>
      <c r="P443" s="95">
        <f t="shared" si="30"/>
        <v>1.9668566759999999</v>
      </c>
      <c r="Q443" s="95">
        <f t="shared" si="31"/>
        <v>1.9668566759999999</v>
      </c>
      <c r="R443" s="94" t="s">
        <v>543</v>
      </c>
    </row>
    <row r="444" spans="1:18" x14ac:dyDescent="0.2">
      <c r="A444" s="77" t="s">
        <v>18</v>
      </c>
      <c r="B444" s="77" t="s">
        <v>158</v>
      </c>
      <c r="C444" s="77">
        <v>1600838</v>
      </c>
      <c r="D444" s="77" t="s">
        <v>277</v>
      </c>
      <c r="E444" s="77">
        <v>45</v>
      </c>
      <c r="F444" s="75">
        <v>0</v>
      </c>
      <c r="G444" s="75">
        <v>45</v>
      </c>
      <c r="H444" s="75" t="s">
        <v>284</v>
      </c>
      <c r="I444" s="78">
        <v>5250</v>
      </c>
      <c r="J444" s="78">
        <v>28403.154095441365</v>
      </c>
      <c r="K444" s="78">
        <v>16244.624470000001</v>
      </c>
      <c r="L444" s="78">
        <v>6493.1116000000011</v>
      </c>
      <c r="M444" s="78">
        <v>55579.435186873307</v>
      </c>
      <c r="N444" s="95">
        <f t="shared" si="28"/>
        <v>0</v>
      </c>
      <c r="O444" s="95">
        <f t="shared" si="29"/>
        <v>0</v>
      </c>
      <c r="P444" s="95">
        <f t="shared" si="30"/>
        <v>2.9219002200000004</v>
      </c>
      <c r="Q444" s="95">
        <f t="shared" si="31"/>
        <v>2.9219002200000004</v>
      </c>
      <c r="R444" s="94" t="s">
        <v>543</v>
      </c>
    </row>
    <row r="445" spans="1:18" x14ac:dyDescent="0.2">
      <c r="A445" s="77" t="s">
        <v>18</v>
      </c>
      <c r="B445" s="77" t="s">
        <v>158</v>
      </c>
      <c r="C445" s="77">
        <v>1600860</v>
      </c>
      <c r="D445" s="77" t="s">
        <v>152</v>
      </c>
      <c r="E445" s="77">
        <v>7</v>
      </c>
      <c r="F445" s="75">
        <v>24</v>
      </c>
      <c r="G445" s="75">
        <v>7</v>
      </c>
      <c r="H445" s="75" t="s">
        <v>283</v>
      </c>
      <c r="I445" s="78">
        <v>5250</v>
      </c>
      <c r="J445" s="78">
        <v>30833.644428660402</v>
      </c>
      <c r="K445" s="78">
        <v>12122.366599999999</v>
      </c>
      <c r="L445" s="78">
        <v>6522.73225</v>
      </c>
      <c r="M445" s="78">
        <v>54143.449225821823</v>
      </c>
      <c r="N445" s="95">
        <f t="shared" si="28"/>
        <v>7.400074662878497</v>
      </c>
      <c r="O445" s="95">
        <f t="shared" si="29"/>
        <v>2.9093679839999997</v>
      </c>
      <c r="P445" s="95">
        <f t="shared" si="30"/>
        <v>0.45659125750000001</v>
      </c>
      <c r="Q445" s="95">
        <f t="shared" si="31"/>
        <v>3.3659592414999997</v>
      </c>
      <c r="R445" s="94" t="s">
        <v>543</v>
      </c>
    </row>
    <row r="446" spans="1:18" x14ac:dyDescent="0.2">
      <c r="A446" s="77" t="s">
        <v>18</v>
      </c>
      <c r="B446" s="77" t="s">
        <v>158</v>
      </c>
      <c r="C446" s="77">
        <v>1600062</v>
      </c>
      <c r="D446" s="77" t="s">
        <v>129</v>
      </c>
      <c r="E446" s="77">
        <v>11</v>
      </c>
      <c r="F446" s="75">
        <v>0</v>
      </c>
      <c r="G446" s="75">
        <v>11</v>
      </c>
      <c r="H446" s="75" t="s">
        <v>284</v>
      </c>
      <c r="I446" s="78">
        <v>5250</v>
      </c>
      <c r="J446" s="78">
        <v>30833.644428660402</v>
      </c>
      <c r="K446" s="78">
        <v>12122.366599999999</v>
      </c>
      <c r="L446" s="78">
        <v>7067.6341000000002</v>
      </c>
      <c r="M446" s="78">
        <v>54688.351075821825</v>
      </c>
      <c r="N446" s="95">
        <f t="shared" si="28"/>
        <v>0</v>
      </c>
      <c r="O446" s="95">
        <f t="shared" si="29"/>
        <v>0</v>
      </c>
      <c r="P446" s="95">
        <f t="shared" si="30"/>
        <v>0.77743975099999996</v>
      </c>
      <c r="Q446" s="95">
        <f t="shared" si="31"/>
        <v>0.77743975099999996</v>
      </c>
      <c r="R446" s="94" t="s">
        <v>543</v>
      </c>
    </row>
    <row r="447" spans="1:18" x14ac:dyDescent="0.2">
      <c r="A447" s="77" t="s">
        <v>18</v>
      </c>
      <c r="B447" s="77" t="s">
        <v>158</v>
      </c>
      <c r="C447" s="77">
        <v>1600840</v>
      </c>
      <c r="D447" s="77" t="s">
        <v>278</v>
      </c>
      <c r="E447" s="77">
        <v>30</v>
      </c>
      <c r="F447" s="75">
        <v>0</v>
      </c>
      <c r="G447" s="75">
        <v>30</v>
      </c>
      <c r="H447" s="75" t="s">
        <v>284</v>
      </c>
      <c r="I447" s="78">
        <v>5250</v>
      </c>
      <c r="J447" s="78">
        <v>30516.288284278715</v>
      </c>
      <c r="K447" s="78">
        <v>12660.60096</v>
      </c>
      <c r="L447" s="78">
        <v>6514.5382800000007</v>
      </c>
      <c r="M447" s="78">
        <v>54315.107319079281</v>
      </c>
      <c r="N447" s="95">
        <f t="shared" si="28"/>
        <v>0</v>
      </c>
      <c r="O447" s="95">
        <f t="shared" si="29"/>
        <v>0</v>
      </c>
      <c r="P447" s="95">
        <f t="shared" si="30"/>
        <v>1.9543614840000001</v>
      </c>
      <c r="Q447" s="95">
        <f t="shared" si="31"/>
        <v>1.9543614840000001</v>
      </c>
      <c r="R447" s="94" t="s">
        <v>543</v>
      </c>
    </row>
    <row r="448" spans="1:18" x14ac:dyDescent="0.2">
      <c r="A448" s="77" t="s">
        <v>18</v>
      </c>
      <c r="B448" s="77" t="s">
        <v>158</v>
      </c>
      <c r="C448" s="77">
        <v>1600862</v>
      </c>
      <c r="D448" s="77" t="s">
        <v>178</v>
      </c>
      <c r="E448" s="77">
        <v>25</v>
      </c>
      <c r="F448" s="75">
        <v>27</v>
      </c>
      <c r="G448" s="75">
        <v>25</v>
      </c>
      <c r="H448" s="75" t="s">
        <v>283</v>
      </c>
      <c r="I448" s="78">
        <v>5250</v>
      </c>
      <c r="J448" s="78">
        <v>27847.918005839034</v>
      </c>
      <c r="K448" s="78">
        <v>18517.333070000001</v>
      </c>
      <c r="L448" s="78">
        <v>5518.9767000000002</v>
      </c>
      <c r="M448" s="78">
        <v>56250.994762367445</v>
      </c>
      <c r="N448" s="95">
        <f t="shared" si="28"/>
        <v>7.5189378615765392</v>
      </c>
      <c r="O448" s="95">
        <f t="shared" si="29"/>
        <v>4.9996799289</v>
      </c>
      <c r="P448" s="95">
        <f t="shared" si="30"/>
        <v>1.3797441750000001</v>
      </c>
      <c r="Q448" s="95">
        <f t="shared" si="31"/>
        <v>6.3794241038999999</v>
      </c>
      <c r="R448" s="94" t="s">
        <v>543</v>
      </c>
    </row>
    <row r="449" spans="1:18" x14ac:dyDescent="0.2">
      <c r="A449" s="77" t="s">
        <v>18</v>
      </c>
      <c r="B449" s="77" t="s">
        <v>158</v>
      </c>
      <c r="C449" s="77">
        <v>1600868</v>
      </c>
      <c r="D449" s="77" t="s">
        <v>180</v>
      </c>
      <c r="E449" s="77">
        <v>10</v>
      </c>
      <c r="F449" s="75">
        <v>0</v>
      </c>
      <c r="G449" s="75">
        <v>10</v>
      </c>
      <c r="H449" s="75" t="s">
        <v>283</v>
      </c>
      <c r="I449" s="78">
        <v>5250</v>
      </c>
      <c r="J449" s="78">
        <v>31106.1286558629</v>
      </c>
      <c r="K449" s="78">
        <v>17731.289969999998</v>
      </c>
      <c r="L449" s="78">
        <v>5758.7471999999998</v>
      </c>
      <c r="M449" s="78">
        <v>59384.137345273768</v>
      </c>
      <c r="N449" s="95">
        <f t="shared" si="28"/>
        <v>0</v>
      </c>
      <c r="O449" s="95">
        <f t="shared" si="29"/>
        <v>0</v>
      </c>
      <c r="P449" s="95">
        <f t="shared" si="30"/>
        <v>0.57587471999999995</v>
      </c>
      <c r="Q449" s="95">
        <f t="shared" si="31"/>
        <v>0.57587471999999995</v>
      </c>
      <c r="R449" s="94" t="s">
        <v>543</v>
      </c>
    </row>
    <row r="450" spans="1:18" x14ac:dyDescent="0.2">
      <c r="A450" s="77" t="s">
        <v>18</v>
      </c>
      <c r="B450" s="77" t="s">
        <v>158</v>
      </c>
      <c r="C450" s="77">
        <v>1600578</v>
      </c>
      <c r="D450" s="77" t="s">
        <v>153</v>
      </c>
      <c r="E450" s="77">
        <v>10</v>
      </c>
      <c r="F450" s="75">
        <v>15</v>
      </c>
      <c r="G450" s="75">
        <v>10</v>
      </c>
      <c r="H450" s="75" t="s">
        <v>285</v>
      </c>
      <c r="I450" s="78">
        <v>5250</v>
      </c>
      <c r="J450" s="78">
        <v>25063.037500522743</v>
      </c>
      <c r="K450" s="78">
        <v>20578.446200000002</v>
      </c>
      <c r="L450" s="78">
        <v>6044.6166000000003</v>
      </c>
      <c r="M450" s="78">
        <v>55604.812186312854</v>
      </c>
      <c r="N450" s="95">
        <f t="shared" si="28"/>
        <v>3.7594556250784117</v>
      </c>
      <c r="O450" s="95">
        <f t="shared" si="29"/>
        <v>3.0867669300000005</v>
      </c>
      <c r="P450" s="95">
        <f t="shared" si="30"/>
        <v>0.60446166000000001</v>
      </c>
      <c r="Q450" s="95">
        <f t="shared" si="31"/>
        <v>3.6912285900000006</v>
      </c>
      <c r="R450" s="94" t="s">
        <v>543</v>
      </c>
    </row>
    <row r="451" spans="1:18" x14ac:dyDescent="0.2">
      <c r="A451" s="77" t="s">
        <v>18</v>
      </c>
      <c r="B451" s="77" t="s">
        <v>158</v>
      </c>
      <c r="C451" s="77">
        <v>1600110</v>
      </c>
      <c r="D451" s="77" t="s">
        <v>188</v>
      </c>
      <c r="E451" s="77">
        <v>8</v>
      </c>
      <c r="F451" s="75">
        <v>0</v>
      </c>
      <c r="G451" s="75">
        <v>8</v>
      </c>
      <c r="H451" s="75" t="s">
        <v>284</v>
      </c>
      <c r="I451" s="78">
        <v>5250</v>
      </c>
      <c r="J451" s="78">
        <v>33028.86696976325</v>
      </c>
      <c r="K451" s="78">
        <v>15508.023000000001</v>
      </c>
      <c r="L451" s="78">
        <v>21464.599399999999</v>
      </c>
      <c r="M451" s="78">
        <v>74717.368556110523</v>
      </c>
      <c r="N451" s="95">
        <f t="shared" si="28"/>
        <v>0</v>
      </c>
      <c r="O451" s="95">
        <f t="shared" si="29"/>
        <v>0</v>
      </c>
      <c r="P451" s="95">
        <f t="shared" si="30"/>
        <v>1.7171679519999998</v>
      </c>
      <c r="Q451" s="95">
        <f t="shared" si="31"/>
        <v>1.7171679519999998</v>
      </c>
      <c r="R451" s="94" t="s">
        <v>543</v>
      </c>
    </row>
    <row r="452" spans="1:18" x14ac:dyDescent="0.2">
      <c r="A452" s="77" t="s">
        <v>18</v>
      </c>
      <c r="B452" s="77" t="s">
        <v>158</v>
      </c>
      <c r="C452" s="77">
        <v>1601057</v>
      </c>
      <c r="D452" s="77" t="s">
        <v>279</v>
      </c>
      <c r="E452" s="77">
        <v>13</v>
      </c>
      <c r="F452" s="75">
        <v>13</v>
      </c>
      <c r="G452" s="75">
        <v>13</v>
      </c>
      <c r="H452" s="75" t="s">
        <v>283</v>
      </c>
      <c r="I452" s="78">
        <v>5250</v>
      </c>
      <c r="J452" s="78">
        <v>25063.037500522743</v>
      </c>
      <c r="K452" s="78">
        <v>20578.446200000002</v>
      </c>
      <c r="L452" s="78">
        <v>8254.2760000000017</v>
      </c>
      <c r="M452" s="78">
        <v>57814.471586312851</v>
      </c>
      <c r="N452" s="95">
        <f t="shared" si="28"/>
        <v>3.2581948750679568</v>
      </c>
      <c r="O452" s="95">
        <f t="shared" si="29"/>
        <v>2.675198006</v>
      </c>
      <c r="P452" s="95">
        <f t="shared" si="30"/>
        <v>1.0730558800000001</v>
      </c>
      <c r="Q452" s="95">
        <f t="shared" si="31"/>
        <v>3.7482538860000001</v>
      </c>
      <c r="R452" s="94" t="s">
        <v>543</v>
      </c>
    </row>
    <row r="453" spans="1:18" x14ac:dyDescent="0.2">
      <c r="A453" s="77" t="s">
        <v>18</v>
      </c>
      <c r="B453" s="77" t="s">
        <v>158</v>
      </c>
      <c r="C453" s="77">
        <v>1601105</v>
      </c>
      <c r="D453" s="77" t="s">
        <v>280</v>
      </c>
      <c r="E453" s="77">
        <v>10</v>
      </c>
      <c r="F453" s="75">
        <v>10</v>
      </c>
      <c r="G453" s="75">
        <v>10</v>
      </c>
      <c r="H453" s="75" t="s">
        <v>284</v>
      </c>
      <c r="I453" s="78">
        <v>5250</v>
      </c>
      <c r="J453" s="78">
        <v>25063.037500522743</v>
      </c>
      <c r="K453" s="78">
        <v>20578.446200000002</v>
      </c>
      <c r="L453" s="78">
        <v>6044.6166000000003</v>
      </c>
      <c r="M453" s="78">
        <v>55604.812186312854</v>
      </c>
      <c r="N453" s="95">
        <f t="shared" si="28"/>
        <v>2.5063037500522745</v>
      </c>
      <c r="O453" s="95">
        <f t="shared" si="29"/>
        <v>2.0578446200000005</v>
      </c>
      <c r="P453" s="95">
        <f t="shared" si="30"/>
        <v>0.60446166000000001</v>
      </c>
      <c r="Q453" s="95">
        <f t="shared" si="31"/>
        <v>2.6623062800000006</v>
      </c>
      <c r="R453" s="94" t="s">
        <v>543</v>
      </c>
    </row>
    <row r="454" spans="1:18" x14ac:dyDescent="0.2">
      <c r="A454" s="77" t="s">
        <v>18</v>
      </c>
      <c r="B454" s="77" t="s">
        <v>158</v>
      </c>
      <c r="C454" s="77">
        <v>1601103</v>
      </c>
      <c r="D454" s="77" t="s">
        <v>281</v>
      </c>
      <c r="E454" s="77">
        <v>10</v>
      </c>
      <c r="F454" s="75">
        <v>10</v>
      </c>
      <c r="G454" s="75">
        <v>10</v>
      </c>
      <c r="H454" s="75" t="s">
        <v>283</v>
      </c>
      <c r="I454" s="78">
        <v>5250</v>
      </c>
      <c r="J454" s="78">
        <v>25063.037500522743</v>
      </c>
      <c r="K454" s="78">
        <v>20578.446200000002</v>
      </c>
      <c r="L454" s="78">
        <v>5188.0810000000001</v>
      </c>
      <c r="M454" s="78">
        <v>54836.316814358172</v>
      </c>
      <c r="N454" s="95">
        <f t="shared" si="28"/>
        <v>2.5063037500522745</v>
      </c>
      <c r="O454" s="95">
        <f t="shared" si="29"/>
        <v>2.0578446200000005</v>
      </c>
      <c r="P454" s="95">
        <f t="shared" si="30"/>
        <v>0.51880809999999999</v>
      </c>
      <c r="Q454" s="95">
        <f t="shared" si="31"/>
        <v>2.5766527200000002</v>
      </c>
      <c r="R454" s="94" t="s">
        <v>543</v>
      </c>
    </row>
    <row r="455" spans="1:18" x14ac:dyDescent="0.2">
      <c r="A455" s="77" t="s">
        <v>18</v>
      </c>
      <c r="B455" s="77" t="s">
        <v>158</v>
      </c>
      <c r="C455" s="77">
        <v>1601102</v>
      </c>
      <c r="D455" s="77" t="s">
        <v>282</v>
      </c>
      <c r="E455" s="77">
        <v>19</v>
      </c>
      <c r="F455" s="75">
        <v>19</v>
      </c>
      <c r="G455" s="75">
        <v>19</v>
      </c>
      <c r="H455" s="75" t="s">
        <v>286</v>
      </c>
      <c r="I455" s="78">
        <v>5250</v>
      </c>
      <c r="J455" s="78">
        <v>30236.86752490091</v>
      </c>
      <c r="K455" s="78">
        <v>13236.08807</v>
      </c>
      <c r="L455" s="78">
        <v>6501.4927299999999</v>
      </c>
      <c r="M455" s="78">
        <v>54562.006056681836</v>
      </c>
      <c r="N455" s="95">
        <f t="shared" si="28"/>
        <v>5.7450048297311724</v>
      </c>
      <c r="O455" s="95">
        <f t="shared" si="29"/>
        <v>2.5148567332999998</v>
      </c>
      <c r="P455" s="95">
        <f t="shared" si="30"/>
        <v>1.2352836187</v>
      </c>
      <c r="Q455" s="95">
        <f t="shared" si="31"/>
        <v>3.7501403519999998</v>
      </c>
      <c r="R455" s="94" t="s">
        <v>543</v>
      </c>
    </row>
    <row r="456" spans="1:18" x14ac:dyDescent="0.2">
      <c r="A456" s="77" t="s">
        <v>17</v>
      </c>
      <c r="B456" s="77" t="s">
        <v>206</v>
      </c>
      <c r="C456" s="77">
        <v>1600854</v>
      </c>
      <c r="D456" s="77" t="s">
        <v>163</v>
      </c>
      <c r="E456" s="77">
        <v>30</v>
      </c>
      <c r="F456" s="75">
        <v>30</v>
      </c>
      <c r="G456" s="75">
        <v>30</v>
      </c>
      <c r="H456" s="75" t="s">
        <v>268</v>
      </c>
      <c r="I456" s="78">
        <v>5250</v>
      </c>
      <c r="J456" s="78">
        <v>33383.225173852494</v>
      </c>
      <c r="K456" s="78">
        <v>18542.051623200005</v>
      </c>
      <c r="L456" s="78">
        <v>6310.0995489899997</v>
      </c>
      <c r="M456" s="78">
        <v>72104.149788063893</v>
      </c>
      <c r="N456" s="95">
        <f t="shared" si="28"/>
        <v>10.014967552155747</v>
      </c>
      <c r="O456" s="95">
        <f t="shared" si="29"/>
        <v>5.5626154869600013</v>
      </c>
      <c r="P456" s="95">
        <f t="shared" si="30"/>
        <v>1.8930298646970001</v>
      </c>
      <c r="Q456" s="95">
        <f t="shared" si="31"/>
        <v>7.4556453516570009</v>
      </c>
      <c r="R456" s="94" t="s">
        <v>543</v>
      </c>
    </row>
    <row r="457" spans="1:18" x14ac:dyDescent="0.2">
      <c r="A457" s="77" t="s">
        <v>17</v>
      </c>
      <c r="B457" s="77" t="s">
        <v>158</v>
      </c>
      <c r="C457" s="77">
        <v>1600767</v>
      </c>
      <c r="D457" s="77" t="s">
        <v>262</v>
      </c>
      <c r="E457" s="77">
        <v>13</v>
      </c>
      <c r="F457" s="75">
        <v>13</v>
      </c>
      <c r="G457" s="75">
        <v>13</v>
      </c>
      <c r="H457" s="75" t="s">
        <v>268</v>
      </c>
      <c r="I457" s="78">
        <v>5250</v>
      </c>
      <c r="J457" s="78">
        <v>33037.897456417064</v>
      </c>
      <c r="K457" s="78">
        <v>12428.3577</v>
      </c>
      <c r="L457" s="78">
        <v>6389.6835999999994</v>
      </c>
      <c r="M457" s="78">
        <v>57010.045875787808</v>
      </c>
      <c r="N457" s="95">
        <f t="shared" si="28"/>
        <v>4.2949266693342185</v>
      </c>
      <c r="O457" s="95">
        <f t="shared" si="29"/>
        <v>1.6156865009999999</v>
      </c>
      <c r="P457" s="95">
        <f t="shared" si="30"/>
        <v>0.83065886799999988</v>
      </c>
      <c r="Q457" s="95">
        <f t="shared" si="31"/>
        <v>2.4463453689999999</v>
      </c>
      <c r="R457" s="94" t="s">
        <v>543</v>
      </c>
    </row>
    <row r="458" spans="1:18" x14ac:dyDescent="0.2">
      <c r="A458" s="77" t="s">
        <v>17</v>
      </c>
      <c r="B458" s="77" t="s">
        <v>158</v>
      </c>
      <c r="C458" s="77">
        <v>1600027</v>
      </c>
      <c r="D458" s="77" t="s">
        <v>165</v>
      </c>
      <c r="E458" s="77">
        <v>5</v>
      </c>
      <c r="F458" s="75">
        <v>5</v>
      </c>
      <c r="G458" s="75">
        <v>5</v>
      </c>
      <c r="H458" s="75" t="s">
        <v>268</v>
      </c>
      <c r="I458" s="78">
        <v>5250</v>
      </c>
      <c r="J458" s="78">
        <v>33037.897456417064</v>
      </c>
      <c r="K458" s="78">
        <v>12428.3577</v>
      </c>
      <c r="L458" s="78">
        <v>7029.5510999999997</v>
      </c>
      <c r="M458" s="78">
        <v>57343.719552303824</v>
      </c>
      <c r="N458" s="95">
        <f t="shared" si="28"/>
        <v>1.6518948728208531</v>
      </c>
      <c r="O458" s="95">
        <f t="shared" si="29"/>
        <v>0.62141788500000006</v>
      </c>
      <c r="P458" s="95">
        <f t="shared" si="30"/>
        <v>0.351477555</v>
      </c>
      <c r="Q458" s="95">
        <f t="shared" si="31"/>
        <v>0.97289544000000006</v>
      </c>
      <c r="R458" s="94" t="s">
        <v>543</v>
      </c>
    </row>
    <row r="459" spans="1:18" x14ac:dyDescent="0.2">
      <c r="A459" s="77" t="s">
        <v>17</v>
      </c>
      <c r="B459" s="77" t="s">
        <v>158</v>
      </c>
      <c r="C459" s="77">
        <v>1600488</v>
      </c>
      <c r="D459" s="77" t="s">
        <v>167</v>
      </c>
      <c r="E459" s="77">
        <v>5</v>
      </c>
      <c r="F459" s="75">
        <v>5</v>
      </c>
      <c r="G459" s="75">
        <v>5</v>
      </c>
      <c r="H459" s="75" t="s">
        <v>269</v>
      </c>
      <c r="I459" s="78">
        <v>5250</v>
      </c>
      <c r="J459" s="78">
        <v>33037.897456417064</v>
      </c>
      <c r="K459" s="78">
        <v>12453.0232</v>
      </c>
      <c r="L459" s="78">
        <v>9440.6481999999996</v>
      </c>
      <c r="M459" s="78">
        <v>59688.065984220935</v>
      </c>
      <c r="N459" s="95">
        <f t="shared" si="28"/>
        <v>1.6518948728208531</v>
      </c>
      <c r="O459" s="95">
        <f t="shared" si="29"/>
        <v>0.62265115999999998</v>
      </c>
      <c r="P459" s="95">
        <f t="shared" si="30"/>
        <v>0.47203240999999996</v>
      </c>
      <c r="Q459" s="95">
        <f t="shared" si="31"/>
        <v>1.0946835699999999</v>
      </c>
      <c r="R459" s="94" t="s">
        <v>543</v>
      </c>
    </row>
    <row r="460" spans="1:18" x14ac:dyDescent="0.2">
      <c r="A460" s="77" t="s">
        <v>17</v>
      </c>
      <c r="B460" s="77" t="s">
        <v>158</v>
      </c>
      <c r="C460" s="77">
        <v>1600971</v>
      </c>
      <c r="D460" s="77" t="s">
        <v>112</v>
      </c>
      <c r="E460" s="77">
        <v>45</v>
      </c>
      <c r="F460" s="75">
        <v>45</v>
      </c>
      <c r="G460" s="75">
        <v>45</v>
      </c>
      <c r="H460" s="75" t="s">
        <v>269</v>
      </c>
      <c r="I460" s="78">
        <v>5250</v>
      </c>
      <c r="J460" s="78">
        <v>33037.897456417064</v>
      </c>
      <c r="K460" s="78">
        <v>12428.3577</v>
      </c>
      <c r="L460" s="78">
        <v>7718.6300900000006</v>
      </c>
      <c r="M460" s="78">
        <v>59371.735480355928</v>
      </c>
      <c r="N460" s="95">
        <f t="shared" si="28"/>
        <v>14.867053855387677</v>
      </c>
      <c r="O460" s="95">
        <f t="shared" si="29"/>
        <v>5.5927609650000001</v>
      </c>
      <c r="P460" s="95">
        <f t="shared" si="30"/>
        <v>3.4733835405000004</v>
      </c>
      <c r="Q460" s="95">
        <f t="shared" si="31"/>
        <v>9.0661445055000005</v>
      </c>
      <c r="R460" s="94" t="s">
        <v>543</v>
      </c>
    </row>
    <row r="461" spans="1:18" x14ac:dyDescent="0.2">
      <c r="A461" s="77" t="s">
        <v>17</v>
      </c>
      <c r="B461" s="77" t="s">
        <v>158</v>
      </c>
      <c r="C461" s="77">
        <v>1600926</v>
      </c>
      <c r="D461" s="77" t="s">
        <v>263</v>
      </c>
      <c r="E461" s="77">
        <v>10</v>
      </c>
      <c r="F461" s="75">
        <v>10</v>
      </c>
      <c r="G461" s="75">
        <v>10</v>
      </c>
      <c r="H461" s="75" t="s">
        <v>269</v>
      </c>
      <c r="I461" s="78">
        <v>5250</v>
      </c>
      <c r="J461" s="78">
        <v>33037.897456417064</v>
      </c>
      <c r="K461" s="78">
        <v>12428.3577</v>
      </c>
      <c r="L461" s="78">
        <v>7718.6300900000006</v>
      </c>
      <c r="M461" s="78">
        <v>59371.735480355928</v>
      </c>
      <c r="N461" s="95">
        <f t="shared" si="28"/>
        <v>3.3037897456417062</v>
      </c>
      <c r="O461" s="95">
        <f t="shared" si="29"/>
        <v>1.2428357700000001</v>
      </c>
      <c r="P461" s="95">
        <f t="shared" si="30"/>
        <v>0.77186300900000004</v>
      </c>
      <c r="Q461" s="95">
        <f t="shared" si="31"/>
        <v>2.0146987790000002</v>
      </c>
      <c r="R461" s="94" t="s">
        <v>543</v>
      </c>
    </row>
    <row r="462" spans="1:18" x14ac:dyDescent="0.2">
      <c r="A462" s="77" t="s">
        <v>17</v>
      </c>
      <c r="B462" s="77" t="s">
        <v>158</v>
      </c>
      <c r="C462" s="77">
        <v>1601007</v>
      </c>
      <c r="D462" s="77" t="s">
        <v>169</v>
      </c>
      <c r="E462" s="77">
        <v>5</v>
      </c>
      <c r="F462" s="75">
        <v>5</v>
      </c>
      <c r="G462" s="75">
        <v>5</v>
      </c>
      <c r="H462" s="75" t="s">
        <v>269</v>
      </c>
      <c r="I462" s="78">
        <v>5250</v>
      </c>
      <c r="J462" s="78">
        <v>28535.225545363894</v>
      </c>
      <c r="K462" s="78">
        <v>14117.627</v>
      </c>
      <c r="L462" s="78">
        <v>9216.359199999999</v>
      </c>
      <c r="M462" s="78">
        <v>56063.175995746904</v>
      </c>
      <c r="N462" s="95">
        <f t="shared" si="28"/>
        <v>1.4267612772681948</v>
      </c>
      <c r="O462" s="95">
        <f t="shared" si="29"/>
        <v>0.70588135000000007</v>
      </c>
      <c r="P462" s="95">
        <f t="shared" si="30"/>
        <v>0.46081795999999997</v>
      </c>
      <c r="Q462" s="95">
        <f t="shared" si="31"/>
        <v>1.16669931</v>
      </c>
      <c r="R462" s="94" t="s">
        <v>543</v>
      </c>
    </row>
    <row r="463" spans="1:18" x14ac:dyDescent="0.2">
      <c r="A463" s="77" t="s">
        <v>17</v>
      </c>
      <c r="B463" s="77" t="s">
        <v>158</v>
      </c>
      <c r="C463" s="77">
        <v>1600932</v>
      </c>
      <c r="D463" s="77" t="s">
        <v>171</v>
      </c>
      <c r="E463" s="77">
        <v>6</v>
      </c>
      <c r="F463" s="75">
        <v>6</v>
      </c>
      <c r="G463" s="75">
        <v>6</v>
      </c>
      <c r="H463" s="75" t="s">
        <v>268</v>
      </c>
      <c r="I463" s="78">
        <v>5250</v>
      </c>
      <c r="J463" s="78">
        <v>33344.421599957808</v>
      </c>
      <c r="K463" s="78">
        <v>13297.803499999998</v>
      </c>
      <c r="L463" s="78">
        <v>6576.0447000000004</v>
      </c>
      <c r="M463" s="78">
        <v>58012.846355079775</v>
      </c>
      <c r="N463" s="95">
        <f t="shared" si="28"/>
        <v>2.0006652959974685</v>
      </c>
      <c r="O463" s="95">
        <f t="shared" si="29"/>
        <v>0.79786820999999997</v>
      </c>
      <c r="P463" s="95">
        <f t="shared" si="30"/>
        <v>0.39456268200000005</v>
      </c>
      <c r="Q463" s="95">
        <f t="shared" si="31"/>
        <v>1.192430892</v>
      </c>
      <c r="R463" s="94" t="s">
        <v>543</v>
      </c>
    </row>
    <row r="464" spans="1:18" x14ac:dyDescent="0.2">
      <c r="A464" s="77" t="s">
        <v>17</v>
      </c>
      <c r="B464" s="77" t="s">
        <v>158</v>
      </c>
      <c r="C464" s="77">
        <v>1601006</v>
      </c>
      <c r="D464" s="77" t="s">
        <v>173</v>
      </c>
      <c r="E464" s="77">
        <v>10</v>
      </c>
      <c r="F464" s="75">
        <v>10</v>
      </c>
      <c r="G464" s="75">
        <v>10</v>
      </c>
      <c r="H464" s="75" t="s">
        <v>268</v>
      </c>
      <c r="I464" s="78">
        <v>5250</v>
      </c>
      <c r="J464" s="78">
        <v>26566.74474430902</v>
      </c>
      <c r="K464" s="78">
        <v>17252.849999999999</v>
      </c>
      <c r="L464" s="78">
        <v>9177.0056000000004</v>
      </c>
      <c r="M464" s="78">
        <v>59957.73691112431</v>
      </c>
      <c r="N464" s="95">
        <f t="shared" si="28"/>
        <v>2.6566744744309019</v>
      </c>
      <c r="O464" s="95">
        <f t="shared" si="29"/>
        <v>1.725285</v>
      </c>
      <c r="P464" s="95">
        <f t="shared" si="30"/>
        <v>0.91770056000000011</v>
      </c>
      <c r="Q464" s="95">
        <f t="shared" si="31"/>
        <v>2.6429855600000001</v>
      </c>
      <c r="R464" s="94" t="s">
        <v>543</v>
      </c>
    </row>
    <row r="465" spans="1:18" x14ac:dyDescent="0.2">
      <c r="A465" s="77" t="s">
        <v>17</v>
      </c>
      <c r="B465" s="77" t="s">
        <v>158</v>
      </c>
      <c r="C465" s="77">
        <v>1600768</v>
      </c>
      <c r="D465" s="77" t="s">
        <v>174</v>
      </c>
      <c r="E465" s="77">
        <v>12</v>
      </c>
      <c r="F465" s="75">
        <v>12</v>
      </c>
      <c r="G465" s="75">
        <v>12</v>
      </c>
      <c r="H465" s="75" t="s">
        <v>268</v>
      </c>
      <c r="I465" s="78">
        <v>5250</v>
      </c>
      <c r="J465" s="78">
        <v>30961.511594820338</v>
      </c>
      <c r="K465" s="78">
        <v>15979.349850000001</v>
      </c>
      <c r="L465" s="78">
        <v>6501.3526000000011</v>
      </c>
      <c r="M465" s="78">
        <v>58032.178379207195</v>
      </c>
      <c r="N465" s="95">
        <f t="shared" si="28"/>
        <v>3.715381391378441</v>
      </c>
      <c r="O465" s="95">
        <f t="shared" si="29"/>
        <v>1.9175219820000002</v>
      </c>
      <c r="P465" s="95">
        <f t="shared" si="30"/>
        <v>0.78016231200000008</v>
      </c>
      <c r="Q465" s="95">
        <f t="shared" si="31"/>
        <v>2.6976842940000001</v>
      </c>
      <c r="R465" s="94" t="s">
        <v>543</v>
      </c>
    </row>
    <row r="466" spans="1:18" x14ac:dyDescent="0.2">
      <c r="A466" s="77" t="s">
        <v>17</v>
      </c>
      <c r="B466" s="77" t="s">
        <v>158</v>
      </c>
      <c r="C466" s="77">
        <v>1600039</v>
      </c>
      <c r="D466" s="77" t="s">
        <v>224</v>
      </c>
      <c r="E466" s="77">
        <v>5</v>
      </c>
      <c r="F466" s="75">
        <v>5</v>
      </c>
      <c r="G466" s="75">
        <v>5</v>
      </c>
      <c r="H466" s="75" t="s">
        <v>269</v>
      </c>
      <c r="I466" s="78">
        <v>5250</v>
      </c>
      <c r="J466" s="78">
        <v>30961.511594820338</v>
      </c>
      <c r="K466" s="78">
        <v>15979.349850000001</v>
      </c>
      <c r="L466" s="78">
        <v>7011.2470999999996</v>
      </c>
      <c r="M466" s="78">
        <v>58542.072879207197</v>
      </c>
      <c r="N466" s="95">
        <f t="shared" ref="N466:N529" si="32">$F466*J466/100000</f>
        <v>1.5480755797410168</v>
      </c>
      <c r="O466" s="95">
        <f t="shared" ref="O466:O529" si="33">F466*K466/100000</f>
        <v>0.7989674925000001</v>
      </c>
      <c r="P466" s="95">
        <f t="shared" ref="P466:P529" si="34">L466*G466/100000</f>
        <v>0.35056235499999994</v>
      </c>
      <c r="Q466" s="95">
        <f t="shared" ref="Q466:Q529" si="35">O466+P466</f>
        <v>1.1495298475</v>
      </c>
      <c r="R466" s="94" t="s">
        <v>543</v>
      </c>
    </row>
    <row r="467" spans="1:18" x14ac:dyDescent="0.2">
      <c r="A467" s="77" t="s">
        <v>17</v>
      </c>
      <c r="B467" s="77" t="s">
        <v>158</v>
      </c>
      <c r="C467" s="77">
        <v>1600927</v>
      </c>
      <c r="D467" s="77" t="s">
        <v>176</v>
      </c>
      <c r="E467" s="77">
        <v>7</v>
      </c>
      <c r="F467" s="75">
        <v>7</v>
      </c>
      <c r="G467" s="75">
        <v>7</v>
      </c>
      <c r="H467" s="75" t="s">
        <v>269</v>
      </c>
      <c r="I467" s="78">
        <v>5250</v>
      </c>
      <c r="J467" s="78">
        <v>30961.511594820338</v>
      </c>
      <c r="K467" s="78">
        <v>15979.349850000001</v>
      </c>
      <c r="L467" s="78">
        <v>7718.6300900000006</v>
      </c>
      <c r="M467" s="78">
        <v>59371.735480355928</v>
      </c>
      <c r="N467" s="95">
        <f t="shared" si="32"/>
        <v>2.1673058116374238</v>
      </c>
      <c r="O467" s="95">
        <f t="shared" si="33"/>
        <v>1.1185544895000001</v>
      </c>
      <c r="P467" s="95">
        <f t="shared" si="34"/>
        <v>0.54030410630000003</v>
      </c>
      <c r="Q467" s="95">
        <f t="shared" si="35"/>
        <v>1.6588585958000002</v>
      </c>
      <c r="R467" s="94" t="s">
        <v>543</v>
      </c>
    </row>
    <row r="468" spans="1:18" x14ac:dyDescent="0.2">
      <c r="A468" s="77" t="s">
        <v>17</v>
      </c>
      <c r="B468" s="77" t="s">
        <v>158</v>
      </c>
      <c r="C468" s="77">
        <v>1600770</v>
      </c>
      <c r="D468" s="77" t="s">
        <v>264</v>
      </c>
      <c r="E468" s="77">
        <v>5</v>
      </c>
      <c r="F468" s="75">
        <v>5</v>
      </c>
      <c r="G468" s="75">
        <v>5</v>
      </c>
      <c r="H468" s="75" t="s">
        <v>268</v>
      </c>
      <c r="I468" s="78">
        <v>5250</v>
      </c>
      <c r="J468" s="78">
        <v>33576.771033292454</v>
      </c>
      <c r="K468" s="78">
        <v>12128.7338</v>
      </c>
      <c r="L468" s="78">
        <v>6389.6835999999994</v>
      </c>
      <c r="M468" s="78">
        <v>57010.045875787808</v>
      </c>
      <c r="N468" s="95">
        <f t="shared" si="32"/>
        <v>1.6788385516646227</v>
      </c>
      <c r="O468" s="95">
        <f t="shared" si="33"/>
        <v>0.60643669</v>
      </c>
      <c r="P468" s="95">
        <f t="shared" si="34"/>
        <v>0.31948417999999995</v>
      </c>
      <c r="Q468" s="95">
        <f t="shared" si="35"/>
        <v>0.9259208699999999</v>
      </c>
      <c r="R468" s="94" t="s">
        <v>543</v>
      </c>
    </row>
    <row r="469" spans="1:18" x14ac:dyDescent="0.2">
      <c r="A469" s="77" t="s">
        <v>17</v>
      </c>
      <c r="B469" s="77" t="s">
        <v>158</v>
      </c>
      <c r="C469" s="77">
        <v>1600860</v>
      </c>
      <c r="D469" s="77" t="s">
        <v>152</v>
      </c>
      <c r="E469" s="77">
        <v>6</v>
      </c>
      <c r="F469" s="75">
        <v>6</v>
      </c>
      <c r="G469" s="75">
        <v>6</v>
      </c>
      <c r="H469" s="75" t="s">
        <v>268</v>
      </c>
      <c r="I469" s="78">
        <v>5250</v>
      </c>
      <c r="J469" s="78">
        <v>33576.771033292454</v>
      </c>
      <c r="K469" s="78">
        <v>12128.7338</v>
      </c>
      <c r="L469" s="78">
        <v>6389.6836000000003</v>
      </c>
      <c r="M469" s="78">
        <v>56918.629707704931</v>
      </c>
      <c r="N469" s="95">
        <f t="shared" si="32"/>
        <v>2.0146062619975473</v>
      </c>
      <c r="O469" s="95">
        <f t="shared" si="33"/>
        <v>0.72772402799999991</v>
      </c>
      <c r="P469" s="95">
        <f t="shared" si="34"/>
        <v>0.38338101600000002</v>
      </c>
      <c r="Q469" s="95">
        <f t="shared" si="35"/>
        <v>1.1111050439999999</v>
      </c>
      <c r="R469" s="94" t="s">
        <v>543</v>
      </c>
    </row>
    <row r="470" spans="1:18" x14ac:dyDescent="0.2">
      <c r="A470" s="77" t="s">
        <v>17</v>
      </c>
      <c r="B470" s="77" t="s">
        <v>158</v>
      </c>
      <c r="C470" s="77">
        <v>1600062</v>
      </c>
      <c r="D470" s="77" t="s">
        <v>129</v>
      </c>
      <c r="E470" s="77">
        <v>11</v>
      </c>
      <c r="F470" s="75">
        <v>11</v>
      </c>
      <c r="G470" s="75">
        <v>11</v>
      </c>
      <c r="H470" s="75" t="s">
        <v>268</v>
      </c>
      <c r="I470" s="78">
        <v>5250</v>
      </c>
      <c r="J470" s="78">
        <v>33576.771033292454</v>
      </c>
      <c r="K470" s="78">
        <v>12128.7338</v>
      </c>
      <c r="L470" s="78">
        <v>7063.4551000000001</v>
      </c>
      <c r="M470" s="78">
        <v>57592.401207704926</v>
      </c>
      <c r="N470" s="95">
        <f t="shared" si="32"/>
        <v>3.69344481366217</v>
      </c>
      <c r="O470" s="95">
        <f t="shared" si="33"/>
        <v>1.3341607180000001</v>
      </c>
      <c r="P470" s="95">
        <f t="shared" si="34"/>
        <v>0.77698006099999994</v>
      </c>
      <c r="Q470" s="95">
        <f t="shared" si="35"/>
        <v>2.1111407790000003</v>
      </c>
      <c r="R470" s="94" t="s">
        <v>543</v>
      </c>
    </row>
    <row r="471" spans="1:18" x14ac:dyDescent="0.2">
      <c r="A471" s="77" t="s">
        <v>17</v>
      </c>
      <c r="B471" s="77" t="s">
        <v>158</v>
      </c>
      <c r="C471" s="77">
        <v>1600804</v>
      </c>
      <c r="D471" s="77" t="s">
        <v>215</v>
      </c>
      <c r="E471" s="77">
        <v>5</v>
      </c>
      <c r="F471" s="75">
        <v>5</v>
      </c>
      <c r="G471" s="75">
        <v>5</v>
      </c>
      <c r="H471" s="75" t="s">
        <v>268</v>
      </c>
      <c r="I471" s="78">
        <v>5250</v>
      </c>
      <c r="J471" s="78">
        <v>33869.969873578448</v>
      </c>
      <c r="K471" s="78">
        <v>17463.15035</v>
      </c>
      <c r="L471" s="78">
        <v>6501.1516000000001</v>
      </c>
      <c r="M471" s="78">
        <v>57937.953255079774</v>
      </c>
      <c r="N471" s="95">
        <f t="shared" si="32"/>
        <v>1.6934984936789226</v>
      </c>
      <c r="O471" s="95">
        <f t="shared" si="33"/>
        <v>0.87315751749999992</v>
      </c>
      <c r="P471" s="95">
        <f t="shared" si="34"/>
        <v>0.32505758000000001</v>
      </c>
      <c r="Q471" s="95">
        <f t="shared" si="35"/>
        <v>1.1982150974999999</v>
      </c>
      <c r="R471" s="94" t="s">
        <v>543</v>
      </c>
    </row>
    <row r="472" spans="1:18" x14ac:dyDescent="0.2">
      <c r="A472" s="77" t="s">
        <v>17</v>
      </c>
      <c r="B472" s="77" t="s">
        <v>158</v>
      </c>
      <c r="C472" s="77">
        <v>1600862</v>
      </c>
      <c r="D472" s="77" t="s">
        <v>178</v>
      </c>
      <c r="E472" s="77">
        <v>5</v>
      </c>
      <c r="F472" s="75">
        <v>5</v>
      </c>
      <c r="G472" s="75">
        <v>5</v>
      </c>
      <c r="H472" s="75" t="s">
        <v>269</v>
      </c>
      <c r="I472" s="78">
        <v>5250</v>
      </c>
      <c r="J472" s="78">
        <v>33869.969873578448</v>
      </c>
      <c r="K472" s="78">
        <v>17463.15035</v>
      </c>
      <c r="L472" s="78">
        <v>6501.1516000000001</v>
      </c>
      <c r="M472" s="78">
        <v>57937.953255079774</v>
      </c>
      <c r="N472" s="95">
        <f t="shared" si="32"/>
        <v>1.6934984936789226</v>
      </c>
      <c r="O472" s="95">
        <f t="shared" si="33"/>
        <v>0.87315751749999992</v>
      </c>
      <c r="P472" s="95">
        <f t="shared" si="34"/>
        <v>0.32505758000000001</v>
      </c>
      <c r="Q472" s="95">
        <f t="shared" si="35"/>
        <v>1.1982150974999999</v>
      </c>
      <c r="R472" s="94" t="s">
        <v>543</v>
      </c>
    </row>
    <row r="473" spans="1:18" x14ac:dyDescent="0.2">
      <c r="A473" s="77" t="s">
        <v>17</v>
      </c>
      <c r="B473" s="77" t="s">
        <v>158</v>
      </c>
      <c r="C473" s="77">
        <v>1600868</v>
      </c>
      <c r="D473" s="77" t="s">
        <v>180</v>
      </c>
      <c r="E473" s="77">
        <v>10</v>
      </c>
      <c r="F473" s="75">
        <v>10</v>
      </c>
      <c r="G473" s="75">
        <v>10</v>
      </c>
      <c r="H473" s="75" t="s">
        <v>268</v>
      </c>
      <c r="I473" s="78">
        <v>5250</v>
      </c>
      <c r="J473" s="78">
        <v>33869.969873578448</v>
      </c>
      <c r="K473" s="78">
        <v>17463.15035</v>
      </c>
      <c r="L473" s="78">
        <v>7718.6300900000006</v>
      </c>
      <c r="M473" s="78">
        <v>59371.735480355928</v>
      </c>
      <c r="N473" s="95">
        <f t="shared" si="32"/>
        <v>3.3869969873578452</v>
      </c>
      <c r="O473" s="95">
        <f t="shared" si="33"/>
        <v>1.7463150349999998</v>
      </c>
      <c r="P473" s="95">
        <f t="shared" si="34"/>
        <v>0.77186300900000004</v>
      </c>
      <c r="Q473" s="95">
        <f t="shared" si="35"/>
        <v>2.5181780439999999</v>
      </c>
      <c r="R473" s="94" t="s">
        <v>543</v>
      </c>
    </row>
    <row r="474" spans="1:18" x14ac:dyDescent="0.2">
      <c r="A474" s="77" t="s">
        <v>17</v>
      </c>
      <c r="B474" s="77" t="s">
        <v>158</v>
      </c>
      <c r="C474" s="77">
        <v>1601043</v>
      </c>
      <c r="D474" s="77" t="s">
        <v>265</v>
      </c>
      <c r="E474" s="77">
        <v>4</v>
      </c>
      <c r="F474" s="75">
        <v>4</v>
      </c>
      <c r="G474" s="75">
        <v>4</v>
      </c>
      <c r="H474" s="75" t="s">
        <v>269</v>
      </c>
      <c r="I474" s="78">
        <v>5250</v>
      </c>
      <c r="J474" s="78">
        <v>32706.90233187571</v>
      </c>
      <c r="K474" s="78">
        <v>16817.491999999998</v>
      </c>
      <c r="L474" s="78">
        <v>20826.346700000002</v>
      </c>
      <c r="M474" s="78">
        <v>75489.412199677448</v>
      </c>
      <c r="N474" s="95">
        <f t="shared" si="32"/>
        <v>1.3082760932750284</v>
      </c>
      <c r="O474" s="95">
        <f t="shared" si="33"/>
        <v>0.67269967999999991</v>
      </c>
      <c r="P474" s="95">
        <f t="shared" si="34"/>
        <v>0.83305386800000003</v>
      </c>
      <c r="Q474" s="95">
        <f t="shared" si="35"/>
        <v>1.5057535479999999</v>
      </c>
      <c r="R474" s="94" t="s">
        <v>543</v>
      </c>
    </row>
    <row r="475" spans="1:18" x14ac:dyDescent="0.2">
      <c r="A475" s="77" t="s">
        <v>17</v>
      </c>
      <c r="B475" s="77" t="s">
        <v>158</v>
      </c>
      <c r="C475" s="77">
        <v>1600478</v>
      </c>
      <c r="D475" s="77" t="s">
        <v>132</v>
      </c>
      <c r="E475" s="77">
        <v>12</v>
      </c>
      <c r="F475" s="75">
        <v>12</v>
      </c>
      <c r="G475" s="75">
        <v>12</v>
      </c>
      <c r="H475" s="75" t="s">
        <v>268</v>
      </c>
      <c r="I475" s="78">
        <v>5250</v>
      </c>
      <c r="J475" s="78">
        <v>31125.242258869752</v>
      </c>
      <c r="K475" s="78">
        <v>16795.526399999999</v>
      </c>
      <c r="L475" s="78">
        <v>21783.801599999999</v>
      </c>
      <c r="M475" s="78">
        <v>75244.822566665171</v>
      </c>
      <c r="N475" s="95">
        <f t="shared" si="32"/>
        <v>3.7350290710643703</v>
      </c>
      <c r="O475" s="95">
        <f t="shared" si="33"/>
        <v>2.0154631679999997</v>
      </c>
      <c r="P475" s="95">
        <f t="shared" si="34"/>
        <v>2.6140561920000001</v>
      </c>
      <c r="Q475" s="95">
        <f t="shared" si="35"/>
        <v>4.6295193599999998</v>
      </c>
      <c r="R475" s="94" t="s">
        <v>543</v>
      </c>
    </row>
    <row r="476" spans="1:18" x14ac:dyDescent="0.2">
      <c r="A476" s="77" t="s">
        <v>17</v>
      </c>
      <c r="B476" s="77" t="s">
        <v>158</v>
      </c>
      <c r="C476" s="77">
        <v>1601038</v>
      </c>
      <c r="D476" s="77" t="s">
        <v>182</v>
      </c>
      <c r="E476" s="77">
        <v>10</v>
      </c>
      <c r="F476" s="75">
        <v>10</v>
      </c>
      <c r="G476" s="75">
        <v>10</v>
      </c>
      <c r="H476" s="75" t="s">
        <v>268</v>
      </c>
      <c r="I476" s="78">
        <v>5250</v>
      </c>
      <c r="J476" s="78">
        <v>31125.242258869752</v>
      </c>
      <c r="K476" s="78">
        <v>16795.526399999999</v>
      </c>
      <c r="L476" s="78">
        <v>20899.002700000001</v>
      </c>
      <c r="M476" s="78">
        <v>74360.023666665176</v>
      </c>
      <c r="N476" s="95">
        <f t="shared" si="32"/>
        <v>3.112524225886975</v>
      </c>
      <c r="O476" s="95">
        <f t="shared" si="33"/>
        <v>1.67955264</v>
      </c>
      <c r="P476" s="95">
        <f t="shared" si="34"/>
        <v>2.0899002700000002</v>
      </c>
      <c r="Q476" s="95">
        <f t="shared" si="35"/>
        <v>3.76945291</v>
      </c>
      <c r="R476" s="94" t="s">
        <v>543</v>
      </c>
    </row>
    <row r="477" spans="1:18" x14ac:dyDescent="0.2">
      <c r="A477" s="77" t="s">
        <v>17</v>
      </c>
      <c r="B477" s="77" t="s">
        <v>158</v>
      </c>
      <c r="C477" s="77">
        <v>1600088</v>
      </c>
      <c r="D477" s="77" t="s">
        <v>216</v>
      </c>
      <c r="E477" s="77">
        <v>8</v>
      </c>
      <c r="F477" s="75">
        <v>8</v>
      </c>
      <c r="G477" s="75">
        <v>8</v>
      </c>
      <c r="H477" s="75" t="s">
        <v>268</v>
      </c>
      <c r="I477" s="78">
        <v>5250</v>
      </c>
      <c r="J477" s="78">
        <v>31125.242258869752</v>
      </c>
      <c r="K477" s="78">
        <v>16795.526399999999</v>
      </c>
      <c r="L477" s="78">
        <v>15098.1196</v>
      </c>
      <c r="M477" s="78">
        <v>68467.724398582301</v>
      </c>
      <c r="N477" s="95">
        <f t="shared" si="32"/>
        <v>2.4900193807095801</v>
      </c>
      <c r="O477" s="95">
        <f t="shared" si="33"/>
        <v>1.3436421119999999</v>
      </c>
      <c r="P477" s="95">
        <f t="shared" si="34"/>
        <v>1.2078495680000001</v>
      </c>
      <c r="Q477" s="95">
        <f t="shared" si="35"/>
        <v>2.5514916799999998</v>
      </c>
      <c r="R477" s="94" t="s">
        <v>543</v>
      </c>
    </row>
    <row r="478" spans="1:18" x14ac:dyDescent="0.2">
      <c r="A478" s="77" t="s">
        <v>17</v>
      </c>
      <c r="B478" s="77" t="s">
        <v>158</v>
      </c>
      <c r="C478" s="77">
        <v>1600816</v>
      </c>
      <c r="D478" s="77" t="s">
        <v>185</v>
      </c>
      <c r="E478" s="77">
        <v>5</v>
      </c>
      <c r="F478" s="75">
        <v>5</v>
      </c>
      <c r="G478" s="75">
        <v>5</v>
      </c>
      <c r="H478" s="75" t="s">
        <v>269</v>
      </c>
      <c r="I478" s="78">
        <v>5250</v>
      </c>
      <c r="J478" s="78">
        <v>33418.600411146661</v>
      </c>
      <c r="K478" s="78">
        <v>15509.18</v>
      </c>
      <c r="L478" s="78">
        <v>21464.599399999999</v>
      </c>
      <c r="M478" s="78">
        <v>75625.687829381641</v>
      </c>
      <c r="N478" s="95">
        <f t="shared" si="32"/>
        <v>1.670930020557333</v>
      </c>
      <c r="O478" s="95">
        <f t="shared" si="33"/>
        <v>0.7754589999999999</v>
      </c>
      <c r="P478" s="95">
        <f t="shared" si="34"/>
        <v>1.0732299700000001</v>
      </c>
      <c r="Q478" s="95">
        <f t="shared" si="35"/>
        <v>1.84868897</v>
      </c>
      <c r="R478" s="94" t="s">
        <v>543</v>
      </c>
    </row>
    <row r="479" spans="1:18" x14ac:dyDescent="0.2">
      <c r="A479" s="77" t="s">
        <v>17</v>
      </c>
      <c r="B479" s="77" t="s">
        <v>158</v>
      </c>
      <c r="C479" s="77">
        <v>1600836</v>
      </c>
      <c r="D479" s="77" t="s">
        <v>120</v>
      </c>
      <c r="E479" s="77">
        <v>5</v>
      </c>
      <c r="F479" s="75">
        <v>5</v>
      </c>
      <c r="G479" s="75">
        <v>5</v>
      </c>
      <c r="H479" s="75" t="s">
        <v>269</v>
      </c>
      <c r="I479" s="78">
        <v>5250</v>
      </c>
      <c r="J479" s="78">
        <v>33418.600411146661</v>
      </c>
      <c r="K479" s="78">
        <v>15509.18</v>
      </c>
      <c r="L479" s="78">
        <v>17790.372599999999</v>
      </c>
      <c r="M479" s="78">
        <v>71860.044861298753</v>
      </c>
      <c r="N479" s="95">
        <f t="shared" si="32"/>
        <v>1.670930020557333</v>
      </c>
      <c r="O479" s="95">
        <f t="shared" si="33"/>
        <v>0.7754589999999999</v>
      </c>
      <c r="P479" s="95">
        <f t="shared" si="34"/>
        <v>0.88951862999999998</v>
      </c>
      <c r="Q479" s="95">
        <f t="shared" si="35"/>
        <v>1.6649776299999999</v>
      </c>
      <c r="R479" s="94" t="s">
        <v>543</v>
      </c>
    </row>
    <row r="480" spans="1:18" x14ac:dyDescent="0.2">
      <c r="A480" s="77" t="s">
        <v>17</v>
      </c>
      <c r="B480" s="77" t="s">
        <v>158</v>
      </c>
      <c r="C480" s="77">
        <v>1600960</v>
      </c>
      <c r="D480" s="77" t="s">
        <v>118</v>
      </c>
      <c r="E480" s="77">
        <v>5</v>
      </c>
      <c r="F480" s="75">
        <v>5</v>
      </c>
      <c r="G480" s="75">
        <v>5</v>
      </c>
      <c r="H480" s="75" t="s">
        <v>269</v>
      </c>
      <c r="I480" s="78">
        <v>5250</v>
      </c>
      <c r="J480" s="78">
        <v>31169.80633522581</v>
      </c>
      <c r="K480" s="78">
        <v>18184.665417999997</v>
      </c>
      <c r="L480" s="78">
        <v>21074.663800000002</v>
      </c>
      <c r="M480" s="78">
        <v>75737.729299677449</v>
      </c>
      <c r="N480" s="95">
        <f t="shared" si="32"/>
        <v>1.5584903167612907</v>
      </c>
      <c r="O480" s="95">
        <f t="shared" si="33"/>
        <v>0.90923327089999972</v>
      </c>
      <c r="P480" s="95">
        <f t="shared" si="34"/>
        <v>1.0537331900000002</v>
      </c>
      <c r="Q480" s="95">
        <f t="shared" si="35"/>
        <v>1.9629664608999999</v>
      </c>
      <c r="R480" s="94" t="s">
        <v>543</v>
      </c>
    </row>
    <row r="481" spans="1:18" x14ac:dyDescent="0.2">
      <c r="A481" s="77" t="s">
        <v>17</v>
      </c>
      <c r="B481" s="77" t="s">
        <v>158</v>
      </c>
      <c r="C481" s="77">
        <v>1601074</v>
      </c>
      <c r="D481" s="77" t="s">
        <v>266</v>
      </c>
      <c r="E481" s="77">
        <v>17</v>
      </c>
      <c r="F481" s="75">
        <v>17</v>
      </c>
      <c r="G481" s="75">
        <v>17</v>
      </c>
      <c r="H481" s="75" t="s">
        <v>269</v>
      </c>
      <c r="I481" s="78">
        <v>5250</v>
      </c>
      <c r="J481" s="78">
        <v>31169.80633522581</v>
      </c>
      <c r="K481" s="78">
        <v>18184.665417999997</v>
      </c>
      <c r="L481" s="78">
        <v>20826.346700000002</v>
      </c>
      <c r="M481" s="78">
        <v>75489.412199677448</v>
      </c>
      <c r="N481" s="95">
        <f t="shared" si="32"/>
        <v>5.2988670769883877</v>
      </c>
      <c r="O481" s="95">
        <f t="shared" si="33"/>
        <v>3.0913931210599999</v>
      </c>
      <c r="P481" s="95">
        <f t="shared" si="34"/>
        <v>3.5404789390000002</v>
      </c>
      <c r="Q481" s="95">
        <f t="shared" si="35"/>
        <v>6.6318720600600001</v>
      </c>
      <c r="R481" s="94" t="s">
        <v>543</v>
      </c>
    </row>
    <row r="482" spans="1:18" x14ac:dyDescent="0.2">
      <c r="A482" s="77" t="s">
        <v>17</v>
      </c>
      <c r="B482" s="77" t="s">
        <v>159</v>
      </c>
      <c r="C482" s="77">
        <v>1600992</v>
      </c>
      <c r="D482" s="77" t="s">
        <v>267</v>
      </c>
      <c r="E482" s="77">
        <v>63</v>
      </c>
      <c r="F482" s="75">
        <v>63</v>
      </c>
      <c r="G482" s="75">
        <v>63</v>
      </c>
      <c r="H482" s="75" t="s">
        <v>268</v>
      </c>
      <c r="I482" s="78"/>
      <c r="J482" s="78">
        <v>0</v>
      </c>
      <c r="K482" s="78">
        <v>30035.757239999999</v>
      </c>
      <c r="L482" s="78">
        <v>32196.935099999999</v>
      </c>
      <c r="M482" s="78">
        <v>68959.257211266042</v>
      </c>
      <c r="N482" s="95">
        <f t="shared" si="32"/>
        <v>0</v>
      </c>
      <c r="O482" s="95">
        <f t="shared" si="33"/>
        <v>18.9225270612</v>
      </c>
      <c r="P482" s="95">
        <f t="shared" si="34"/>
        <v>20.284069113000001</v>
      </c>
      <c r="Q482" s="95">
        <f t="shared" si="35"/>
        <v>39.206596174200001</v>
      </c>
      <c r="R482" s="94" t="s">
        <v>543</v>
      </c>
    </row>
    <row r="483" spans="1:18" x14ac:dyDescent="0.2">
      <c r="A483" s="75" t="s">
        <v>16</v>
      </c>
      <c r="B483" s="75" t="s">
        <v>155</v>
      </c>
      <c r="C483" s="75">
        <v>1600919</v>
      </c>
      <c r="D483" s="75" t="s">
        <v>107</v>
      </c>
      <c r="E483" s="76">
        <v>124</v>
      </c>
      <c r="F483" s="76">
        <v>124</v>
      </c>
      <c r="G483" s="76">
        <v>124</v>
      </c>
      <c r="H483" s="75" t="s">
        <v>133</v>
      </c>
      <c r="I483" s="78">
        <v>5250</v>
      </c>
      <c r="J483" s="78">
        <v>32635.893388185294</v>
      </c>
      <c r="K483" s="78">
        <v>27250.146000000004</v>
      </c>
      <c r="L483" s="78">
        <v>12174.967699999999</v>
      </c>
      <c r="M483" s="78">
        <v>91747.459461006918</v>
      </c>
      <c r="N483" s="95">
        <f t="shared" si="32"/>
        <v>40.468507801349766</v>
      </c>
      <c r="O483" s="95">
        <f t="shared" si="33"/>
        <v>33.790181040000007</v>
      </c>
      <c r="P483" s="95">
        <f t="shared" si="34"/>
        <v>15.096959948</v>
      </c>
      <c r="Q483" s="95">
        <f t="shared" si="35"/>
        <v>48.887140988000006</v>
      </c>
      <c r="R483" s="94" t="s">
        <v>543</v>
      </c>
    </row>
    <row r="484" spans="1:18" x14ac:dyDescent="0.2">
      <c r="A484" s="75" t="s">
        <v>16</v>
      </c>
      <c r="B484" s="75" t="s">
        <v>156</v>
      </c>
      <c r="C484" s="75">
        <v>1600752</v>
      </c>
      <c r="D484" s="75" t="s">
        <v>108</v>
      </c>
      <c r="E484" s="76">
        <v>15</v>
      </c>
      <c r="F484" s="75"/>
      <c r="G484" s="76">
        <v>15</v>
      </c>
      <c r="H484" s="75" t="s">
        <v>109</v>
      </c>
      <c r="I484" s="78">
        <v>5250</v>
      </c>
      <c r="J484" s="78">
        <v>32521.553612115204</v>
      </c>
      <c r="K484" s="78">
        <v>26991.857</v>
      </c>
      <c r="L484" s="78">
        <v>27479.694900000002</v>
      </c>
      <c r="M484" s="78">
        <v>102418.28465902977</v>
      </c>
      <c r="N484" s="95">
        <f t="shared" si="32"/>
        <v>0</v>
      </c>
      <c r="O484" s="95">
        <f t="shared" si="33"/>
        <v>0</v>
      </c>
      <c r="P484" s="95">
        <f t="shared" si="34"/>
        <v>4.1219542350000005</v>
      </c>
      <c r="Q484" s="95">
        <f t="shared" si="35"/>
        <v>4.1219542350000005</v>
      </c>
      <c r="R484" s="94" t="s">
        <v>543</v>
      </c>
    </row>
    <row r="485" spans="1:18" x14ac:dyDescent="0.2">
      <c r="A485" s="75" t="s">
        <v>16</v>
      </c>
      <c r="B485" s="75" t="s">
        <v>156</v>
      </c>
      <c r="C485" s="75">
        <v>1600757</v>
      </c>
      <c r="D485" s="75" t="s">
        <v>110</v>
      </c>
      <c r="E485" s="76">
        <v>26</v>
      </c>
      <c r="F485" s="76">
        <v>26</v>
      </c>
      <c r="G485" s="76">
        <v>26</v>
      </c>
      <c r="H485" s="75" t="s">
        <v>109</v>
      </c>
      <c r="I485" s="78">
        <v>5250</v>
      </c>
      <c r="J485" s="78">
        <v>32521.553612115204</v>
      </c>
      <c r="K485" s="78">
        <v>26991.857</v>
      </c>
      <c r="L485" s="78">
        <v>20770.035</v>
      </c>
      <c r="M485" s="78">
        <v>91266.652330320358</v>
      </c>
      <c r="N485" s="95">
        <f t="shared" si="32"/>
        <v>8.4556039391499525</v>
      </c>
      <c r="O485" s="95">
        <f t="shared" si="33"/>
        <v>7.0178828199999996</v>
      </c>
      <c r="P485" s="95">
        <f t="shared" si="34"/>
        <v>5.4002091000000005</v>
      </c>
      <c r="Q485" s="95">
        <f t="shared" si="35"/>
        <v>12.41809192</v>
      </c>
      <c r="R485" s="94" t="s">
        <v>543</v>
      </c>
    </row>
    <row r="486" spans="1:18" x14ac:dyDescent="0.2">
      <c r="A486" s="75" t="s">
        <v>16</v>
      </c>
      <c r="B486" s="75" t="s">
        <v>157</v>
      </c>
      <c r="C486" s="75">
        <v>1600230</v>
      </c>
      <c r="D486" s="75" t="s">
        <v>111</v>
      </c>
      <c r="E486" s="76">
        <v>30</v>
      </c>
      <c r="F486" s="76">
        <v>30</v>
      </c>
      <c r="G486" s="76">
        <v>30</v>
      </c>
      <c r="H486" s="75" t="s">
        <v>109</v>
      </c>
      <c r="I486" s="78">
        <v>5250</v>
      </c>
      <c r="J486" s="78">
        <v>36171.040872467413</v>
      </c>
      <c r="K486" s="78">
        <v>16198.055</v>
      </c>
      <c r="L486" s="78">
        <v>11985.720599999999</v>
      </c>
      <c r="M486" s="78">
        <v>91407.206127651763</v>
      </c>
      <c r="N486" s="95">
        <f t="shared" si="32"/>
        <v>10.851312261740222</v>
      </c>
      <c r="O486" s="95">
        <f t="shared" si="33"/>
        <v>4.8594165</v>
      </c>
      <c r="P486" s="95">
        <f t="shared" si="34"/>
        <v>3.5957161799999997</v>
      </c>
      <c r="Q486" s="95">
        <f t="shared" si="35"/>
        <v>8.4551326800000002</v>
      </c>
      <c r="R486" s="94" t="s">
        <v>543</v>
      </c>
    </row>
    <row r="487" spans="1:18" x14ac:dyDescent="0.2">
      <c r="A487" s="75" t="s">
        <v>16</v>
      </c>
      <c r="B487" s="75" t="s">
        <v>158</v>
      </c>
      <c r="C487" s="75">
        <v>1600971</v>
      </c>
      <c r="D487" s="75" t="s">
        <v>112</v>
      </c>
      <c r="E487" s="76">
        <v>45</v>
      </c>
      <c r="F487" s="222">
        <v>125</v>
      </c>
      <c r="G487" s="76">
        <v>45</v>
      </c>
      <c r="H487" s="75" t="s">
        <v>109</v>
      </c>
      <c r="I487" s="78">
        <v>5250</v>
      </c>
      <c r="J487" s="78">
        <v>33037.897456417064</v>
      </c>
      <c r="K487" s="78">
        <v>12428.3577</v>
      </c>
      <c r="L487" s="78">
        <v>7718.6300900000006</v>
      </c>
      <c r="M487" s="78">
        <v>59371.735480355928</v>
      </c>
      <c r="N487" s="95">
        <f t="shared" si="32"/>
        <v>41.297371820521334</v>
      </c>
      <c r="O487" s="95">
        <f t="shared" si="33"/>
        <v>15.535447125000001</v>
      </c>
      <c r="P487" s="95">
        <f t="shared" si="34"/>
        <v>3.4733835405000004</v>
      </c>
      <c r="Q487" s="95">
        <f t="shared" si="35"/>
        <v>19.0088306655</v>
      </c>
      <c r="R487" s="94" t="s">
        <v>543</v>
      </c>
    </row>
    <row r="488" spans="1:18" x14ac:dyDescent="0.2">
      <c r="A488" s="75" t="s">
        <v>16</v>
      </c>
      <c r="B488" s="75" t="s">
        <v>158</v>
      </c>
      <c r="C488" s="75">
        <v>1600924</v>
      </c>
      <c r="D488" s="75" t="s">
        <v>113</v>
      </c>
      <c r="E488" s="76">
        <v>115</v>
      </c>
      <c r="F488" s="222"/>
      <c r="G488" s="76">
        <v>115</v>
      </c>
      <c r="H488" s="75" t="s">
        <v>114</v>
      </c>
      <c r="I488" s="78">
        <v>5250</v>
      </c>
      <c r="J488" s="78">
        <v>33037.897456417064</v>
      </c>
      <c r="K488" s="78">
        <v>12428.3577</v>
      </c>
      <c r="L488" s="78">
        <v>6289.4019000000008</v>
      </c>
      <c r="M488" s="78">
        <v>56512.154184220948</v>
      </c>
      <c r="N488" s="95">
        <f t="shared" si="32"/>
        <v>0</v>
      </c>
      <c r="O488" s="95">
        <f t="shared" si="33"/>
        <v>0</v>
      </c>
      <c r="P488" s="95">
        <f t="shared" si="34"/>
        <v>7.2328121850000011</v>
      </c>
      <c r="Q488" s="95">
        <f t="shared" si="35"/>
        <v>7.2328121850000011</v>
      </c>
      <c r="R488" s="94" t="s">
        <v>543</v>
      </c>
    </row>
    <row r="489" spans="1:18" x14ac:dyDescent="0.2">
      <c r="A489" s="75" t="s">
        <v>16</v>
      </c>
      <c r="B489" s="75" t="s">
        <v>158</v>
      </c>
      <c r="C489" s="75">
        <v>1600972</v>
      </c>
      <c r="D489" s="75" t="s">
        <v>115</v>
      </c>
      <c r="E489" s="76">
        <v>30</v>
      </c>
      <c r="F489" s="222">
        <v>60</v>
      </c>
      <c r="G489" s="76">
        <v>30</v>
      </c>
      <c r="H489" s="75" t="s">
        <v>114</v>
      </c>
      <c r="I489" s="78">
        <v>5250</v>
      </c>
      <c r="J489" s="78">
        <v>30961.511594820338</v>
      </c>
      <c r="K489" s="78">
        <v>15979.349850000001</v>
      </c>
      <c r="L489" s="78">
        <v>7718.6300900000006</v>
      </c>
      <c r="M489" s="78">
        <v>59371.735480355928</v>
      </c>
      <c r="N489" s="95">
        <f t="shared" si="32"/>
        <v>18.576906956892202</v>
      </c>
      <c r="O489" s="95">
        <f t="shared" si="33"/>
        <v>9.5876099100000012</v>
      </c>
      <c r="P489" s="95">
        <f t="shared" si="34"/>
        <v>2.3155890270000001</v>
      </c>
      <c r="Q489" s="95">
        <f t="shared" si="35"/>
        <v>11.903198937000001</v>
      </c>
      <c r="R489" s="94" t="s">
        <v>543</v>
      </c>
    </row>
    <row r="490" spans="1:18" x14ac:dyDescent="0.2">
      <c r="A490" s="75" t="s">
        <v>16</v>
      </c>
      <c r="B490" s="75" t="s">
        <v>158</v>
      </c>
      <c r="C490" s="75">
        <v>1600866</v>
      </c>
      <c r="D490" s="75" t="s">
        <v>116</v>
      </c>
      <c r="E490" s="76">
        <v>10</v>
      </c>
      <c r="F490" s="222"/>
      <c r="G490" s="76">
        <v>10</v>
      </c>
      <c r="H490" s="75" t="s">
        <v>109</v>
      </c>
      <c r="I490" s="78">
        <v>5250</v>
      </c>
      <c r="J490" s="78">
        <v>30961.511594820338</v>
      </c>
      <c r="K490" s="78">
        <v>15979.349850000001</v>
      </c>
      <c r="L490" s="78">
        <v>7718.6300900000006</v>
      </c>
      <c r="M490" s="78">
        <v>59371.735480355928</v>
      </c>
      <c r="N490" s="95">
        <f t="shared" si="32"/>
        <v>0</v>
      </c>
      <c r="O490" s="95">
        <f t="shared" si="33"/>
        <v>0</v>
      </c>
      <c r="P490" s="95">
        <f t="shared" si="34"/>
        <v>0.77186300900000004</v>
      </c>
      <c r="Q490" s="95">
        <f t="shared" si="35"/>
        <v>0.77186300900000004</v>
      </c>
      <c r="R490" s="94" t="s">
        <v>543</v>
      </c>
    </row>
    <row r="491" spans="1:18" x14ac:dyDescent="0.2">
      <c r="A491" s="75" t="s">
        <v>16</v>
      </c>
      <c r="B491" s="75" t="s">
        <v>158</v>
      </c>
      <c r="C491" s="75">
        <v>1600925</v>
      </c>
      <c r="D491" s="75" t="s">
        <v>117</v>
      </c>
      <c r="E491" s="76">
        <v>35</v>
      </c>
      <c r="F491" s="222"/>
      <c r="G491" s="76">
        <v>35</v>
      </c>
      <c r="H491" s="75" t="s">
        <v>114</v>
      </c>
      <c r="I491" s="78">
        <v>5250</v>
      </c>
      <c r="J491" s="78">
        <v>30961.511594820302</v>
      </c>
      <c r="K491" s="78">
        <v>15979.349850000001</v>
      </c>
      <c r="L491" s="78">
        <v>6782.2644</v>
      </c>
      <c r="M491" s="78">
        <v>58221.674011124313</v>
      </c>
      <c r="N491" s="95">
        <f t="shared" si="32"/>
        <v>0</v>
      </c>
      <c r="O491" s="95">
        <f t="shared" si="33"/>
        <v>0</v>
      </c>
      <c r="P491" s="95">
        <f t="shared" si="34"/>
        <v>2.3737925400000002</v>
      </c>
      <c r="Q491" s="95">
        <f t="shared" si="35"/>
        <v>2.3737925400000002</v>
      </c>
      <c r="R491" s="94" t="s">
        <v>543</v>
      </c>
    </row>
    <row r="492" spans="1:18" x14ac:dyDescent="0.2">
      <c r="A492" s="75" t="s">
        <v>16</v>
      </c>
      <c r="B492" s="75" t="s">
        <v>158</v>
      </c>
      <c r="C492" s="75">
        <v>1600960</v>
      </c>
      <c r="D492" s="75" t="s">
        <v>118</v>
      </c>
      <c r="E492" s="76">
        <v>6</v>
      </c>
      <c r="F492" s="76">
        <v>6</v>
      </c>
      <c r="G492" s="76">
        <v>6</v>
      </c>
      <c r="H492" s="75" t="s">
        <v>114</v>
      </c>
      <c r="I492" s="78">
        <v>5250</v>
      </c>
      <c r="J492" s="78">
        <v>31169.80633522581</v>
      </c>
      <c r="K492" s="78">
        <v>18184.665417999997</v>
      </c>
      <c r="L492" s="78">
        <v>21074.663800000002</v>
      </c>
      <c r="M492" s="78">
        <v>75737.729299677449</v>
      </c>
      <c r="N492" s="95">
        <f t="shared" si="32"/>
        <v>1.8701883801135484</v>
      </c>
      <c r="O492" s="95">
        <f t="shared" si="33"/>
        <v>1.0910799250799998</v>
      </c>
      <c r="P492" s="95">
        <f t="shared" si="34"/>
        <v>1.264479828</v>
      </c>
      <c r="Q492" s="95">
        <f t="shared" si="35"/>
        <v>2.3555597530799997</v>
      </c>
      <c r="R492" s="94" t="s">
        <v>543</v>
      </c>
    </row>
    <row r="493" spans="1:18" x14ac:dyDescent="0.2">
      <c r="A493" s="75" t="s">
        <v>16</v>
      </c>
      <c r="B493" s="75" t="s">
        <v>158</v>
      </c>
      <c r="C493" s="75">
        <v>1600106</v>
      </c>
      <c r="D493" s="75" t="s">
        <v>119</v>
      </c>
      <c r="E493" s="76">
        <v>14</v>
      </c>
      <c r="F493" s="76">
        <v>14</v>
      </c>
      <c r="G493" s="76">
        <v>14</v>
      </c>
      <c r="H493" s="75" t="s">
        <v>114</v>
      </c>
      <c r="I493" s="78">
        <v>5250</v>
      </c>
      <c r="J493" s="78">
        <v>27430.727919119818</v>
      </c>
      <c r="K493" s="78">
        <v>19047.165000000001</v>
      </c>
      <c r="L493" s="78">
        <v>8254.2760000000017</v>
      </c>
      <c r="M493" s="78">
        <v>58883.504769623934</v>
      </c>
      <c r="N493" s="95">
        <f t="shared" si="32"/>
        <v>3.8403019086767745</v>
      </c>
      <c r="O493" s="95">
        <f t="shared" si="33"/>
        <v>2.6666031000000001</v>
      </c>
      <c r="P493" s="95">
        <f t="shared" si="34"/>
        <v>1.1555986400000002</v>
      </c>
      <c r="Q493" s="95">
        <f t="shared" si="35"/>
        <v>3.8222017400000006</v>
      </c>
      <c r="R493" s="94" t="s">
        <v>543</v>
      </c>
    </row>
    <row r="494" spans="1:18" x14ac:dyDescent="0.2">
      <c r="A494" s="75" t="s">
        <v>16</v>
      </c>
      <c r="B494" s="75" t="s">
        <v>158</v>
      </c>
      <c r="C494" s="75">
        <v>1600836</v>
      </c>
      <c r="D494" s="75" t="s">
        <v>120</v>
      </c>
      <c r="E494" s="76">
        <v>5</v>
      </c>
      <c r="F494" s="76">
        <v>5</v>
      </c>
      <c r="G494" s="76">
        <v>5</v>
      </c>
      <c r="H494" s="75" t="s">
        <v>114</v>
      </c>
      <c r="I494" s="78">
        <v>5250</v>
      </c>
      <c r="J494" s="78">
        <v>33418.600411146661</v>
      </c>
      <c r="K494" s="78">
        <v>15509.18</v>
      </c>
      <c r="L494" s="78">
        <v>17790.372599999999</v>
      </c>
      <c r="M494" s="78">
        <v>71860.044861298753</v>
      </c>
      <c r="N494" s="95">
        <f t="shared" si="32"/>
        <v>1.670930020557333</v>
      </c>
      <c r="O494" s="95">
        <f t="shared" si="33"/>
        <v>0.7754589999999999</v>
      </c>
      <c r="P494" s="95">
        <f t="shared" si="34"/>
        <v>0.88951862999999998</v>
      </c>
      <c r="Q494" s="95">
        <f t="shared" si="35"/>
        <v>1.6649776299999999</v>
      </c>
      <c r="R494" s="94" t="s">
        <v>543</v>
      </c>
    </row>
    <row r="495" spans="1:18" x14ac:dyDescent="0.2">
      <c r="A495" s="75" t="s">
        <v>16</v>
      </c>
      <c r="B495" s="75" t="s">
        <v>158</v>
      </c>
      <c r="C495" s="75">
        <v>1601079</v>
      </c>
      <c r="D495" s="75" t="s">
        <v>121</v>
      </c>
      <c r="E495" s="76">
        <v>30</v>
      </c>
      <c r="F495" s="76">
        <v>30</v>
      </c>
      <c r="G495" s="76">
        <v>30</v>
      </c>
      <c r="H495" s="75" t="s">
        <v>114</v>
      </c>
      <c r="I495" s="78">
        <v>5250</v>
      </c>
      <c r="J495" s="78">
        <v>30961.511594820338</v>
      </c>
      <c r="K495" s="78">
        <v>15979.349850000001</v>
      </c>
      <c r="L495" s="78">
        <v>7718.6300900000006</v>
      </c>
      <c r="M495" s="78">
        <v>59371.735480355928</v>
      </c>
      <c r="N495" s="95">
        <f t="shared" si="32"/>
        <v>9.288453478446101</v>
      </c>
      <c r="O495" s="95">
        <f t="shared" si="33"/>
        <v>4.7938049550000006</v>
      </c>
      <c r="P495" s="95">
        <f t="shared" si="34"/>
        <v>2.3155890270000001</v>
      </c>
      <c r="Q495" s="95">
        <f t="shared" si="35"/>
        <v>7.1093939820000003</v>
      </c>
      <c r="R495" s="94" t="s">
        <v>543</v>
      </c>
    </row>
    <row r="496" spans="1:18" x14ac:dyDescent="0.2">
      <c r="A496" s="75" t="s">
        <v>16</v>
      </c>
      <c r="B496" s="75" t="s">
        <v>158</v>
      </c>
      <c r="C496" s="75">
        <v>1601078</v>
      </c>
      <c r="D496" s="75" t="s">
        <v>122</v>
      </c>
      <c r="E496" s="76">
        <v>30</v>
      </c>
      <c r="F496" s="76">
        <v>30</v>
      </c>
      <c r="G496" s="76">
        <v>30</v>
      </c>
      <c r="H496" s="75" t="s">
        <v>114</v>
      </c>
      <c r="I496" s="78">
        <v>5250</v>
      </c>
      <c r="J496" s="78">
        <v>30961.511594820338</v>
      </c>
      <c r="K496" s="78">
        <v>15979.349850000001</v>
      </c>
      <c r="L496" s="78">
        <v>7718.6300900000006</v>
      </c>
      <c r="M496" s="78">
        <v>59371.735480355928</v>
      </c>
      <c r="N496" s="95">
        <f t="shared" si="32"/>
        <v>9.288453478446101</v>
      </c>
      <c r="O496" s="95">
        <f t="shared" si="33"/>
        <v>4.7938049550000006</v>
      </c>
      <c r="P496" s="95">
        <f t="shared" si="34"/>
        <v>2.3155890270000001</v>
      </c>
      <c r="Q496" s="95">
        <f t="shared" si="35"/>
        <v>7.1093939820000003</v>
      </c>
      <c r="R496" s="94" t="s">
        <v>543</v>
      </c>
    </row>
    <row r="497" spans="1:18" x14ac:dyDescent="0.2">
      <c r="A497" s="75" t="s">
        <v>16</v>
      </c>
      <c r="B497" s="75" t="s">
        <v>158</v>
      </c>
      <c r="C497" s="75">
        <v>1601108</v>
      </c>
      <c r="D497" s="75" t="s">
        <v>123</v>
      </c>
      <c r="E497" s="76">
        <v>75</v>
      </c>
      <c r="F497" s="76">
        <v>75</v>
      </c>
      <c r="G497" s="76">
        <v>75</v>
      </c>
      <c r="H497" s="75" t="s">
        <v>114</v>
      </c>
      <c r="I497" s="78">
        <v>5250</v>
      </c>
      <c r="J497" s="78">
        <v>30961.511594820338</v>
      </c>
      <c r="K497" s="78">
        <v>15979.349850000001</v>
      </c>
      <c r="L497" s="78">
        <v>7718.6300900000006</v>
      </c>
      <c r="M497" s="78">
        <v>59371.735480355928</v>
      </c>
      <c r="N497" s="95">
        <f t="shared" si="32"/>
        <v>23.221133696115256</v>
      </c>
      <c r="O497" s="95">
        <f t="shared" si="33"/>
        <v>11.984512387500001</v>
      </c>
      <c r="P497" s="95">
        <f t="shared" si="34"/>
        <v>5.788972567500001</v>
      </c>
      <c r="Q497" s="95">
        <f t="shared" si="35"/>
        <v>17.773484955000001</v>
      </c>
      <c r="R497" s="94" t="s">
        <v>543</v>
      </c>
    </row>
    <row r="498" spans="1:18" x14ac:dyDescent="0.2">
      <c r="A498" s="75" t="s">
        <v>16</v>
      </c>
      <c r="B498" s="75" t="s">
        <v>159</v>
      </c>
      <c r="C498" s="75">
        <v>1600555</v>
      </c>
      <c r="D498" s="77" t="s">
        <v>124</v>
      </c>
      <c r="E498" s="76">
        <v>57</v>
      </c>
      <c r="F498" s="76">
        <v>57</v>
      </c>
      <c r="G498" s="76">
        <v>57</v>
      </c>
      <c r="H498" s="77" t="s">
        <v>161</v>
      </c>
      <c r="I498" s="78">
        <v>5250</v>
      </c>
      <c r="J498" s="78">
        <v>40515.931067269281</v>
      </c>
      <c r="K498" s="78">
        <v>18360.094369999999</v>
      </c>
      <c r="L498" s="78">
        <v>34270.658000000003</v>
      </c>
      <c r="M498" s="78">
        <v>114970.42324228735</v>
      </c>
      <c r="N498" s="95">
        <f t="shared" si="32"/>
        <v>23.09408070834349</v>
      </c>
      <c r="O498" s="95">
        <f t="shared" si="33"/>
        <v>10.4652537909</v>
      </c>
      <c r="P498" s="95">
        <f t="shared" si="34"/>
        <v>19.534275060000002</v>
      </c>
      <c r="Q498" s="95">
        <f t="shared" si="35"/>
        <v>29.999528850900003</v>
      </c>
      <c r="R498" s="94" t="s">
        <v>543</v>
      </c>
    </row>
    <row r="499" spans="1:18" x14ac:dyDescent="0.2">
      <c r="A499" s="75" t="s">
        <v>16</v>
      </c>
      <c r="B499" s="75" t="s">
        <v>159</v>
      </c>
      <c r="C499" s="75">
        <v>1600200</v>
      </c>
      <c r="D499" s="77" t="s">
        <v>125</v>
      </c>
      <c r="E499" s="76">
        <v>90</v>
      </c>
      <c r="F499" s="76">
        <v>90</v>
      </c>
      <c r="G499" s="76">
        <v>90</v>
      </c>
      <c r="H499" s="77" t="s">
        <v>161</v>
      </c>
      <c r="I499" s="78">
        <v>5250</v>
      </c>
      <c r="J499" s="78">
        <v>40515.931067269281</v>
      </c>
      <c r="K499" s="78">
        <v>18360.094369999999</v>
      </c>
      <c r="L499" s="78">
        <v>16462.692799999997</v>
      </c>
      <c r="M499" s="78">
        <v>111703.35646383473</v>
      </c>
      <c r="N499" s="95">
        <f t="shared" si="32"/>
        <v>36.464337960542352</v>
      </c>
      <c r="O499" s="95">
        <f t="shared" si="33"/>
        <v>16.524084933000001</v>
      </c>
      <c r="P499" s="95">
        <f t="shared" si="34"/>
        <v>14.816423519999997</v>
      </c>
      <c r="Q499" s="95">
        <f t="shared" si="35"/>
        <v>31.340508452999998</v>
      </c>
      <c r="R499" s="94" t="s">
        <v>543</v>
      </c>
    </row>
    <row r="500" spans="1:18" x14ac:dyDescent="0.2">
      <c r="A500" s="75" t="s">
        <v>16</v>
      </c>
      <c r="B500" s="75" t="s">
        <v>159</v>
      </c>
      <c r="C500" s="75">
        <v>1600208</v>
      </c>
      <c r="D500" s="77" t="s">
        <v>126</v>
      </c>
      <c r="E500" s="76">
        <v>21</v>
      </c>
      <c r="F500" s="76">
        <v>21</v>
      </c>
      <c r="G500" s="76">
        <v>21</v>
      </c>
      <c r="H500" s="77" t="s">
        <v>161</v>
      </c>
      <c r="I500" s="78">
        <v>5250</v>
      </c>
      <c r="J500" s="78">
        <v>40515.931067269281</v>
      </c>
      <c r="K500" s="78">
        <v>18360.094369999999</v>
      </c>
      <c r="L500" s="78">
        <v>11669.704800000001</v>
      </c>
      <c r="M500" s="78">
        <v>101211.14642198299</v>
      </c>
      <c r="N500" s="95">
        <f t="shared" si="32"/>
        <v>8.5083455241265487</v>
      </c>
      <c r="O500" s="95">
        <f t="shared" si="33"/>
        <v>3.8556198176999996</v>
      </c>
      <c r="P500" s="95">
        <f t="shared" si="34"/>
        <v>2.4506380080000003</v>
      </c>
      <c r="Q500" s="95">
        <f t="shared" si="35"/>
        <v>6.3062578256999995</v>
      </c>
      <c r="R500" s="94" t="s">
        <v>543</v>
      </c>
    </row>
    <row r="501" spans="1:18" x14ac:dyDescent="0.2">
      <c r="A501" s="75" t="s">
        <v>16</v>
      </c>
      <c r="B501" s="75" t="s">
        <v>160</v>
      </c>
      <c r="C501" s="75">
        <v>1600568</v>
      </c>
      <c r="D501" s="77" t="s">
        <v>127</v>
      </c>
      <c r="E501" s="76">
        <v>8</v>
      </c>
      <c r="F501" s="76">
        <v>8</v>
      </c>
      <c r="G501" s="76">
        <v>8</v>
      </c>
      <c r="H501" s="77" t="s">
        <v>161</v>
      </c>
      <c r="I501" s="78">
        <v>5250</v>
      </c>
      <c r="J501" s="78">
        <v>74378.871419999996</v>
      </c>
      <c r="K501" s="78">
        <v>109353.98439</v>
      </c>
      <c r="L501" s="78">
        <v>26486.006799999999</v>
      </c>
      <c r="M501" s="78">
        <v>221005.7710993278</v>
      </c>
      <c r="N501" s="95">
        <f t="shared" si="32"/>
        <v>5.9503097135999994</v>
      </c>
      <c r="O501" s="95">
        <f t="shared" si="33"/>
        <v>8.7483187511999994</v>
      </c>
      <c r="P501" s="95">
        <f t="shared" si="34"/>
        <v>2.118880544</v>
      </c>
      <c r="Q501" s="95">
        <f t="shared" si="35"/>
        <v>10.867199295199999</v>
      </c>
      <c r="R501" s="94" t="s">
        <v>543</v>
      </c>
    </row>
    <row r="502" spans="1:18" x14ac:dyDescent="0.2">
      <c r="A502" s="75" t="s">
        <v>16</v>
      </c>
      <c r="B502" s="75" t="s">
        <v>160</v>
      </c>
      <c r="C502" s="75">
        <v>1600601</v>
      </c>
      <c r="D502" s="77" t="s">
        <v>128</v>
      </c>
      <c r="E502" s="76">
        <v>5</v>
      </c>
      <c r="F502" s="76">
        <v>5</v>
      </c>
      <c r="G502" s="76">
        <v>5</v>
      </c>
      <c r="H502" s="77" t="s">
        <v>161</v>
      </c>
      <c r="I502" s="78">
        <v>5250</v>
      </c>
      <c r="J502" s="78">
        <v>74378.871419999996</v>
      </c>
      <c r="K502" s="78">
        <v>109353.98439</v>
      </c>
      <c r="L502" s="78">
        <v>40304.228000000003</v>
      </c>
      <c r="M502" s="78">
        <v>238697.84729926658</v>
      </c>
      <c r="N502" s="95">
        <f t="shared" si="32"/>
        <v>3.7189435709999996</v>
      </c>
      <c r="O502" s="95">
        <f t="shared" si="33"/>
        <v>5.4676992195</v>
      </c>
      <c r="P502" s="95">
        <f t="shared" si="34"/>
        <v>2.0152114000000001</v>
      </c>
      <c r="Q502" s="95">
        <f t="shared" si="35"/>
        <v>7.4829106195000001</v>
      </c>
      <c r="R502" s="94" t="s">
        <v>543</v>
      </c>
    </row>
    <row r="503" spans="1:18" x14ac:dyDescent="0.2">
      <c r="A503" s="75" t="s">
        <v>16</v>
      </c>
      <c r="B503" s="75" t="s">
        <v>158</v>
      </c>
      <c r="C503" s="75">
        <v>1600062</v>
      </c>
      <c r="D503" s="77" t="s">
        <v>129</v>
      </c>
      <c r="E503" s="76">
        <v>22</v>
      </c>
      <c r="F503" s="76">
        <v>22</v>
      </c>
      <c r="G503" s="76">
        <v>22</v>
      </c>
      <c r="H503" s="77" t="s">
        <v>161</v>
      </c>
      <c r="I503" s="78">
        <v>5250</v>
      </c>
      <c r="J503" s="78">
        <v>33576.771033292454</v>
      </c>
      <c r="K503" s="78">
        <v>12128.7338</v>
      </c>
      <c r="L503" s="78">
        <v>7063.4551000000001</v>
      </c>
      <c r="M503" s="78">
        <v>57592.401207704926</v>
      </c>
      <c r="N503" s="95">
        <f t="shared" si="32"/>
        <v>7.3868896273243401</v>
      </c>
      <c r="O503" s="95">
        <f t="shared" si="33"/>
        <v>2.6683214360000003</v>
      </c>
      <c r="P503" s="95">
        <f t="shared" si="34"/>
        <v>1.5539601219999999</v>
      </c>
      <c r="Q503" s="95">
        <f t="shared" si="35"/>
        <v>4.2222815580000006</v>
      </c>
      <c r="R503" s="94" t="s">
        <v>543</v>
      </c>
    </row>
    <row r="504" spans="1:18" x14ac:dyDescent="0.2">
      <c r="A504" s="75" t="s">
        <v>16</v>
      </c>
      <c r="B504" s="75" t="s">
        <v>158</v>
      </c>
      <c r="C504" s="75">
        <v>1600826</v>
      </c>
      <c r="D504" s="77" t="s">
        <v>130</v>
      </c>
      <c r="E504" s="76">
        <v>14</v>
      </c>
      <c r="F504" s="76">
        <v>14</v>
      </c>
      <c r="G504" s="76">
        <v>14</v>
      </c>
      <c r="H504" s="77" t="s">
        <v>161</v>
      </c>
      <c r="I504" s="78">
        <v>5250</v>
      </c>
      <c r="J504" s="78">
        <v>32706.90233187571</v>
      </c>
      <c r="K504" s="78">
        <v>16817.491999999998</v>
      </c>
      <c r="L504" s="78">
        <v>21074.663800000002</v>
      </c>
      <c r="M504" s="78">
        <v>75737.729299677449</v>
      </c>
      <c r="N504" s="95">
        <f t="shared" si="32"/>
        <v>4.5789663264625995</v>
      </c>
      <c r="O504" s="95">
        <f t="shared" si="33"/>
        <v>2.3544488799999996</v>
      </c>
      <c r="P504" s="95">
        <f t="shared" si="34"/>
        <v>2.9504529320000001</v>
      </c>
      <c r="Q504" s="95">
        <f t="shared" si="35"/>
        <v>5.3049018119999998</v>
      </c>
      <c r="R504" s="94" t="s">
        <v>543</v>
      </c>
    </row>
    <row r="505" spans="1:18" x14ac:dyDescent="0.2">
      <c r="A505" s="75" t="s">
        <v>16</v>
      </c>
      <c r="B505" s="75" t="s">
        <v>158</v>
      </c>
      <c r="C505" s="75">
        <v>1600670</v>
      </c>
      <c r="D505" s="77" t="s">
        <v>131</v>
      </c>
      <c r="E505" s="76">
        <v>15</v>
      </c>
      <c r="F505" s="76">
        <v>15</v>
      </c>
      <c r="G505" s="76">
        <v>15</v>
      </c>
      <c r="H505" s="77" t="s">
        <v>161</v>
      </c>
      <c r="I505" s="78">
        <v>5250</v>
      </c>
      <c r="J505" s="78">
        <v>31169.80633522581</v>
      </c>
      <c r="K505" s="78">
        <v>18184.665417999997</v>
      </c>
      <c r="L505" s="78">
        <v>21464.599399999999</v>
      </c>
      <c r="M505" s="78">
        <v>76365.998945078594</v>
      </c>
      <c r="N505" s="95">
        <f t="shared" si="32"/>
        <v>4.6754709502838718</v>
      </c>
      <c r="O505" s="95">
        <f t="shared" si="33"/>
        <v>2.7276998126999992</v>
      </c>
      <c r="P505" s="95">
        <f t="shared" si="34"/>
        <v>3.2196899099999996</v>
      </c>
      <c r="Q505" s="95">
        <f t="shared" si="35"/>
        <v>5.9473897226999988</v>
      </c>
      <c r="R505" s="94" t="s">
        <v>543</v>
      </c>
    </row>
    <row r="506" spans="1:18" x14ac:dyDescent="0.2">
      <c r="A506" s="75" t="s">
        <v>16</v>
      </c>
      <c r="B506" s="75" t="s">
        <v>158</v>
      </c>
      <c r="C506" s="75">
        <v>1600478</v>
      </c>
      <c r="D506" s="75" t="s">
        <v>132</v>
      </c>
      <c r="E506" s="76">
        <v>26</v>
      </c>
      <c r="F506" s="76">
        <v>26</v>
      </c>
      <c r="G506" s="76">
        <v>26</v>
      </c>
      <c r="H506" s="77" t="s">
        <v>161</v>
      </c>
      <c r="I506" s="78">
        <v>5250</v>
      </c>
      <c r="J506" s="78">
        <v>31125.242258869752</v>
      </c>
      <c r="K506" s="78">
        <v>16795.526399999999</v>
      </c>
      <c r="L506" s="78">
        <v>21783.801599999999</v>
      </c>
      <c r="M506" s="78">
        <v>75244.822566665171</v>
      </c>
      <c r="N506" s="95">
        <f t="shared" si="32"/>
        <v>8.0925629873061347</v>
      </c>
      <c r="O506" s="95">
        <f t="shared" si="33"/>
        <v>4.3668368639999997</v>
      </c>
      <c r="P506" s="95">
        <f t="shared" si="34"/>
        <v>5.6637884159999992</v>
      </c>
      <c r="Q506" s="95">
        <f t="shared" si="35"/>
        <v>10.030625279999999</v>
      </c>
      <c r="R506" s="94" t="s">
        <v>543</v>
      </c>
    </row>
    <row r="507" spans="1:18" x14ac:dyDescent="0.2">
      <c r="A507" s="75" t="s">
        <v>15</v>
      </c>
      <c r="B507" s="75" t="s">
        <v>159</v>
      </c>
      <c r="C507" s="75">
        <v>1600199</v>
      </c>
      <c r="D507" s="75" t="s">
        <v>141</v>
      </c>
      <c r="E507" s="76">
        <v>42</v>
      </c>
      <c r="F507" s="76">
        <v>42</v>
      </c>
      <c r="G507" s="76"/>
      <c r="H507" s="75" t="s">
        <v>142</v>
      </c>
      <c r="I507" s="78">
        <v>5250</v>
      </c>
      <c r="J507" s="78">
        <v>40515.931067269281</v>
      </c>
      <c r="K507" s="78">
        <v>18360.094369999999</v>
      </c>
      <c r="L507" s="78">
        <v>19205.305799999998</v>
      </c>
      <c r="M507" s="78">
        <v>128864.20655100196</v>
      </c>
      <c r="N507" s="95">
        <f t="shared" si="32"/>
        <v>17.016691048253097</v>
      </c>
      <c r="O507" s="95">
        <f t="shared" si="33"/>
        <v>7.7112396353999992</v>
      </c>
      <c r="P507" s="95">
        <f t="shared" si="34"/>
        <v>0</v>
      </c>
      <c r="Q507" s="95">
        <f t="shared" si="35"/>
        <v>7.7112396353999992</v>
      </c>
      <c r="R507" s="94" t="s">
        <v>543</v>
      </c>
    </row>
    <row r="508" spans="1:18" x14ac:dyDescent="0.2">
      <c r="A508" s="75" t="s">
        <v>15</v>
      </c>
      <c r="B508" s="75" t="s">
        <v>159</v>
      </c>
      <c r="C508" s="75">
        <v>1600200</v>
      </c>
      <c r="D508" s="75" t="s">
        <v>125</v>
      </c>
      <c r="E508" s="76">
        <v>66</v>
      </c>
      <c r="F508" s="76">
        <v>66</v>
      </c>
      <c r="G508" s="76">
        <v>66</v>
      </c>
      <c r="H508" s="75" t="s">
        <v>142</v>
      </c>
      <c r="I508" s="78">
        <v>5250</v>
      </c>
      <c r="J508" s="78">
        <v>40515.931067269281</v>
      </c>
      <c r="K508" s="78">
        <v>18360.094369999999</v>
      </c>
      <c r="L508" s="78">
        <v>16462.692799999997</v>
      </c>
      <c r="M508" s="78">
        <v>111703.35646383473</v>
      </c>
      <c r="N508" s="95">
        <f t="shared" si="32"/>
        <v>26.740514504397726</v>
      </c>
      <c r="O508" s="95">
        <f t="shared" si="33"/>
        <v>12.117662284199998</v>
      </c>
      <c r="P508" s="95">
        <f t="shared" si="34"/>
        <v>10.865377247999998</v>
      </c>
      <c r="Q508" s="95">
        <f t="shared" si="35"/>
        <v>22.983039532199996</v>
      </c>
      <c r="R508" s="94" t="s">
        <v>543</v>
      </c>
    </row>
    <row r="509" spans="1:18" x14ac:dyDescent="0.2">
      <c r="A509" s="75" t="s">
        <v>15</v>
      </c>
      <c r="B509" s="75" t="s">
        <v>159</v>
      </c>
      <c r="C509" s="75" t="s">
        <v>143</v>
      </c>
      <c r="D509" s="75" t="s">
        <v>144</v>
      </c>
      <c r="E509" s="76">
        <v>72</v>
      </c>
      <c r="F509" s="76">
        <v>72</v>
      </c>
      <c r="G509" s="76"/>
      <c r="H509" s="75" t="s">
        <v>145</v>
      </c>
      <c r="I509" s="78">
        <v>5250</v>
      </c>
      <c r="J509" s="78">
        <v>45765.931067269281</v>
      </c>
      <c r="K509" s="78">
        <v>13110.094369999999</v>
      </c>
      <c r="L509" s="78">
        <v>16462.692799999997</v>
      </c>
      <c r="M509" s="78">
        <v>111703.35646383473</v>
      </c>
      <c r="N509" s="95">
        <f t="shared" si="32"/>
        <v>32.951470368433881</v>
      </c>
      <c r="O509" s="95">
        <f t="shared" si="33"/>
        <v>9.4392679463999993</v>
      </c>
      <c r="P509" s="95">
        <f t="shared" si="34"/>
        <v>0</v>
      </c>
      <c r="Q509" s="95">
        <f t="shared" si="35"/>
        <v>9.4392679463999993</v>
      </c>
      <c r="R509" s="94" t="s">
        <v>543</v>
      </c>
    </row>
    <row r="510" spans="1:18" x14ac:dyDescent="0.2">
      <c r="A510" s="75" t="s">
        <v>15</v>
      </c>
      <c r="B510" s="75" t="s">
        <v>159</v>
      </c>
      <c r="C510" s="75">
        <v>1600208</v>
      </c>
      <c r="D510" s="75" t="s">
        <v>126</v>
      </c>
      <c r="E510" s="76">
        <v>64</v>
      </c>
      <c r="F510" s="76">
        <v>64</v>
      </c>
      <c r="G510" s="76">
        <v>64</v>
      </c>
      <c r="H510" s="75" t="s">
        <v>142</v>
      </c>
      <c r="I510" s="78">
        <v>5250</v>
      </c>
      <c r="J510" s="78">
        <v>40515.931067269281</v>
      </c>
      <c r="K510" s="78">
        <v>18360.094369999999</v>
      </c>
      <c r="L510" s="78">
        <v>11669.704800000001</v>
      </c>
      <c r="M510" s="78">
        <v>101211.14642198299</v>
      </c>
      <c r="N510" s="95">
        <f t="shared" si="32"/>
        <v>25.930195883052338</v>
      </c>
      <c r="O510" s="95">
        <f t="shared" si="33"/>
        <v>11.750460396799999</v>
      </c>
      <c r="P510" s="95">
        <f t="shared" si="34"/>
        <v>7.4686110720000007</v>
      </c>
      <c r="Q510" s="95">
        <f t="shared" si="35"/>
        <v>19.219071468799999</v>
      </c>
      <c r="R510" s="94" t="s">
        <v>543</v>
      </c>
    </row>
    <row r="511" spans="1:18" x14ac:dyDescent="0.2">
      <c r="A511" s="75" t="s">
        <v>15</v>
      </c>
      <c r="B511" s="75" t="s">
        <v>156</v>
      </c>
      <c r="C511" s="75">
        <v>1600753</v>
      </c>
      <c r="D511" s="75" t="s">
        <v>146</v>
      </c>
      <c r="E511" s="76">
        <v>1.96</v>
      </c>
      <c r="F511" s="76"/>
      <c r="G511" s="76">
        <v>1.96</v>
      </c>
      <c r="H511" s="75" t="s">
        <v>142</v>
      </c>
      <c r="I511" s="78">
        <v>5250</v>
      </c>
      <c r="J511" s="78">
        <v>32521.553612115218</v>
      </c>
      <c r="K511" s="78">
        <v>26991.857</v>
      </c>
      <c r="L511" s="78">
        <v>32470.860099999994</v>
      </c>
      <c r="M511" s="78">
        <v>102613.72997552963</v>
      </c>
      <c r="N511" s="95">
        <f t="shared" si="32"/>
        <v>0</v>
      </c>
      <c r="O511" s="95">
        <f t="shared" si="33"/>
        <v>0</v>
      </c>
      <c r="P511" s="95">
        <f t="shared" si="34"/>
        <v>0.63642885795999993</v>
      </c>
      <c r="Q511" s="95">
        <f t="shared" si="35"/>
        <v>0.63642885795999993</v>
      </c>
      <c r="R511" s="94" t="s">
        <v>543</v>
      </c>
    </row>
    <row r="512" spans="1:18" x14ac:dyDescent="0.2">
      <c r="A512" s="75" t="s">
        <v>15</v>
      </c>
      <c r="B512" s="75" t="s">
        <v>156</v>
      </c>
      <c r="C512" s="75">
        <v>1600757</v>
      </c>
      <c r="D512" s="75" t="s">
        <v>110</v>
      </c>
      <c r="E512" s="76">
        <v>7</v>
      </c>
      <c r="F512" s="76"/>
      <c r="G512" s="76">
        <v>7</v>
      </c>
      <c r="H512" s="75" t="s">
        <v>142</v>
      </c>
      <c r="I512" s="78">
        <v>5250</v>
      </c>
      <c r="J512" s="78">
        <v>32521.553612115204</v>
      </c>
      <c r="K512" s="78">
        <v>26991.857</v>
      </c>
      <c r="L512" s="78">
        <v>20770.035</v>
      </c>
      <c r="M512" s="78">
        <v>91266.652330320358</v>
      </c>
      <c r="N512" s="95">
        <f t="shared" si="32"/>
        <v>0</v>
      </c>
      <c r="O512" s="95">
        <f t="shared" si="33"/>
        <v>0</v>
      </c>
      <c r="P512" s="95">
        <f t="shared" si="34"/>
        <v>1.45390245</v>
      </c>
      <c r="Q512" s="95">
        <f t="shared" si="35"/>
        <v>1.45390245</v>
      </c>
      <c r="R512" s="94" t="s">
        <v>543</v>
      </c>
    </row>
    <row r="513" spans="1:18" x14ac:dyDescent="0.2">
      <c r="A513" s="75" t="s">
        <v>15</v>
      </c>
      <c r="B513" s="75" t="s">
        <v>157</v>
      </c>
      <c r="C513" s="75">
        <v>1600230</v>
      </c>
      <c r="D513" s="75" t="s">
        <v>111</v>
      </c>
      <c r="E513" s="76">
        <v>61</v>
      </c>
      <c r="F513" s="76">
        <v>61</v>
      </c>
      <c r="G513" s="76">
        <v>61</v>
      </c>
      <c r="H513" s="75" t="s">
        <v>147</v>
      </c>
      <c r="I513" s="78">
        <v>5250</v>
      </c>
      <c r="J513" s="78">
        <v>36171.040872467413</v>
      </c>
      <c r="K513" s="78">
        <v>16198.055</v>
      </c>
      <c r="L513" s="78">
        <v>11985.720599999999</v>
      </c>
      <c r="M513" s="78">
        <v>91407.206127651763</v>
      </c>
      <c r="N513" s="95">
        <f t="shared" si="32"/>
        <v>22.064334932205124</v>
      </c>
      <c r="O513" s="95">
        <f t="shared" si="33"/>
        <v>9.8808135499999992</v>
      </c>
      <c r="P513" s="95">
        <f t="shared" si="34"/>
        <v>7.3112895659999992</v>
      </c>
      <c r="Q513" s="95">
        <f t="shared" si="35"/>
        <v>17.192103115999998</v>
      </c>
      <c r="R513" s="94" t="s">
        <v>543</v>
      </c>
    </row>
    <row r="514" spans="1:18" x14ac:dyDescent="0.2">
      <c r="A514" s="75" t="s">
        <v>15</v>
      </c>
      <c r="B514" s="75" t="s">
        <v>160</v>
      </c>
      <c r="C514" s="75" t="s">
        <v>143</v>
      </c>
      <c r="D514" s="75" t="s">
        <v>148</v>
      </c>
      <c r="E514" s="76">
        <v>9</v>
      </c>
      <c r="F514" s="76">
        <v>9</v>
      </c>
      <c r="G514" s="76">
        <v>9</v>
      </c>
      <c r="H514" s="75" t="s">
        <v>142</v>
      </c>
      <c r="I514" s="78">
        <v>5250</v>
      </c>
      <c r="J514" s="78">
        <v>58119.483124999999</v>
      </c>
      <c r="K514" s="78">
        <v>49006</v>
      </c>
      <c r="L514" s="78">
        <v>15909.821852549021</v>
      </c>
      <c r="M514" s="78">
        <v>72104.149788063893</v>
      </c>
      <c r="N514" s="95">
        <f t="shared" si="32"/>
        <v>5.2307534812499998</v>
      </c>
      <c r="O514" s="95">
        <f t="shared" si="33"/>
        <v>4.4105400000000001</v>
      </c>
      <c r="P514" s="95">
        <f t="shared" si="34"/>
        <v>1.4318839667294119</v>
      </c>
      <c r="Q514" s="95">
        <f t="shared" si="35"/>
        <v>5.8424239667294122</v>
      </c>
      <c r="R514" s="94" t="s">
        <v>543</v>
      </c>
    </row>
    <row r="515" spans="1:18" x14ac:dyDescent="0.2">
      <c r="A515" s="75" t="s">
        <v>15</v>
      </c>
      <c r="B515" s="75" t="s">
        <v>158</v>
      </c>
      <c r="C515" s="75">
        <v>1600029</v>
      </c>
      <c r="D515" s="75" t="s">
        <v>149</v>
      </c>
      <c r="E515" s="76">
        <v>16</v>
      </c>
      <c r="F515" s="76">
        <v>16</v>
      </c>
      <c r="G515" s="76">
        <v>16</v>
      </c>
      <c r="H515" s="75" t="s">
        <v>150</v>
      </c>
      <c r="I515" s="78">
        <v>5250</v>
      </c>
      <c r="J515" s="78">
        <v>33037.897456417064</v>
      </c>
      <c r="K515" s="78">
        <v>12428.3577</v>
      </c>
      <c r="L515" s="78">
        <v>6120.2888999999996</v>
      </c>
      <c r="M515" s="78">
        <v>56434.457352303827</v>
      </c>
      <c r="N515" s="95">
        <f t="shared" si="32"/>
        <v>5.2860635930267303</v>
      </c>
      <c r="O515" s="95">
        <f t="shared" si="33"/>
        <v>1.9885372320000001</v>
      </c>
      <c r="P515" s="95">
        <f t="shared" si="34"/>
        <v>0.97924622399999994</v>
      </c>
      <c r="Q515" s="95">
        <f t="shared" si="35"/>
        <v>2.9677834560000003</v>
      </c>
      <c r="R515" s="94" t="s">
        <v>543</v>
      </c>
    </row>
    <row r="516" spans="1:18" x14ac:dyDescent="0.2">
      <c r="A516" s="75" t="s">
        <v>15</v>
      </c>
      <c r="B516" s="75" t="s">
        <v>158</v>
      </c>
      <c r="C516" s="75">
        <v>1600971</v>
      </c>
      <c r="D516" s="75" t="s">
        <v>112</v>
      </c>
      <c r="E516" s="76">
        <v>60</v>
      </c>
      <c r="F516" s="76">
        <v>60</v>
      </c>
      <c r="G516" s="76">
        <v>60</v>
      </c>
      <c r="H516" s="75" t="s">
        <v>142</v>
      </c>
      <c r="I516" s="78">
        <v>5250</v>
      </c>
      <c r="J516" s="78">
        <v>33037.897456417064</v>
      </c>
      <c r="K516" s="78">
        <v>12428.3577</v>
      </c>
      <c r="L516" s="78">
        <v>7718.6300900000006</v>
      </c>
      <c r="M516" s="78">
        <v>59371.735480355928</v>
      </c>
      <c r="N516" s="95">
        <f t="shared" si="32"/>
        <v>19.822738473850237</v>
      </c>
      <c r="O516" s="95">
        <f t="shared" si="33"/>
        <v>7.4570146200000007</v>
      </c>
      <c r="P516" s="95">
        <f t="shared" si="34"/>
        <v>4.6311780540000003</v>
      </c>
      <c r="Q516" s="95">
        <f t="shared" si="35"/>
        <v>12.088192674000002</v>
      </c>
      <c r="R516" s="94" t="s">
        <v>543</v>
      </c>
    </row>
    <row r="517" spans="1:18" x14ac:dyDescent="0.2">
      <c r="A517" s="75" t="s">
        <v>15</v>
      </c>
      <c r="B517" s="75" t="s">
        <v>158</v>
      </c>
      <c r="C517" s="75">
        <v>1600924</v>
      </c>
      <c r="D517" s="75" t="s">
        <v>113</v>
      </c>
      <c r="E517" s="76">
        <v>35</v>
      </c>
      <c r="F517" s="76">
        <v>35</v>
      </c>
      <c r="G517" s="76">
        <v>35</v>
      </c>
      <c r="H517" s="75" t="s">
        <v>151</v>
      </c>
      <c r="I517" s="78">
        <v>5250</v>
      </c>
      <c r="J517" s="78">
        <v>33037.897456417064</v>
      </c>
      <c r="K517" s="78">
        <v>12428.3577</v>
      </c>
      <c r="L517" s="78">
        <v>6289.4019000000008</v>
      </c>
      <c r="M517" s="78">
        <v>56512.154184220948</v>
      </c>
      <c r="N517" s="95">
        <f t="shared" si="32"/>
        <v>11.563264109745973</v>
      </c>
      <c r="O517" s="95">
        <f t="shared" si="33"/>
        <v>4.349925195</v>
      </c>
      <c r="P517" s="95">
        <f t="shared" si="34"/>
        <v>2.2012906650000001</v>
      </c>
      <c r="Q517" s="95">
        <f t="shared" si="35"/>
        <v>6.5512158600000001</v>
      </c>
      <c r="R517" s="94" t="s">
        <v>543</v>
      </c>
    </row>
    <row r="518" spans="1:18" x14ac:dyDescent="0.2">
      <c r="A518" s="75" t="s">
        <v>15</v>
      </c>
      <c r="B518" s="75" t="s">
        <v>158</v>
      </c>
      <c r="C518" s="75">
        <v>1600972</v>
      </c>
      <c r="D518" s="75" t="s">
        <v>115</v>
      </c>
      <c r="E518" s="76">
        <v>22</v>
      </c>
      <c r="F518" s="76">
        <v>22</v>
      </c>
      <c r="G518" s="76">
        <v>22</v>
      </c>
      <c r="H518" s="75" t="s">
        <v>151</v>
      </c>
      <c r="I518" s="78">
        <v>5250</v>
      </c>
      <c r="J518" s="78">
        <v>30961.511594820338</v>
      </c>
      <c r="K518" s="78">
        <v>15979.349850000001</v>
      </c>
      <c r="L518" s="78">
        <v>7718.6300900000006</v>
      </c>
      <c r="M518" s="78">
        <v>59371.735480355928</v>
      </c>
      <c r="N518" s="95">
        <f t="shared" si="32"/>
        <v>6.8115325508604743</v>
      </c>
      <c r="O518" s="95">
        <f t="shared" si="33"/>
        <v>3.5154569670000004</v>
      </c>
      <c r="P518" s="95">
        <f t="shared" si="34"/>
        <v>1.6980986198000001</v>
      </c>
      <c r="Q518" s="95">
        <f t="shared" si="35"/>
        <v>5.2135555868000001</v>
      </c>
      <c r="R518" s="94" t="s">
        <v>543</v>
      </c>
    </row>
    <row r="519" spans="1:18" x14ac:dyDescent="0.2">
      <c r="A519" s="75" t="s">
        <v>15</v>
      </c>
      <c r="B519" s="75" t="s">
        <v>158</v>
      </c>
      <c r="C519" s="75">
        <v>1600860</v>
      </c>
      <c r="D519" s="75" t="s">
        <v>152</v>
      </c>
      <c r="E519" s="76">
        <v>10</v>
      </c>
      <c r="F519" s="76">
        <v>10</v>
      </c>
      <c r="G519" s="76">
        <v>10</v>
      </c>
      <c r="H519" s="75" t="s">
        <v>151</v>
      </c>
      <c r="I519" s="78">
        <v>5250</v>
      </c>
      <c r="J519" s="78">
        <v>33344.421599957801</v>
      </c>
      <c r="K519" s="78">
        <v>13297.8035</v>
      </c>
      <c r="L519" s="78">
        <v>6576.0447000000004</v>
      </c>
      <c r="M519" s="78">
        <v>58012.846355079775</v>
      </c>
      <c r="N519" s="95">
        <f t="shared" si="32"/>
        <v>3.3344421599957803</v>
      </c>
      <c r="O519" s="95">
        <f t="shared" si="33"/>
        <v>1.3297803500000001</v>
      </c>
      <c r="P519" s="95">
        <f t="shared" si="34"/>
        <v>0.65760447</v>
      </c>
      <c r="Q519" s="95">
        <f t="shared" si="35"/>
        <v>1.9873848199999999</v>
      </c>
      <c r="R519" s="94" t="s">
        <v>543</v>
      </c>
    </row>
    <row r="520" spans="1:18" x14ac:dyDescent="0.2">
      <c r="A520" s="75" t="s">
        <v>15</v>
      </c>
      <c r="B520" s="75" t="s">
        <v>158</v>
      </c>
      <c r="C520" s="75">
        <v>1600106</v>
      </c>
      <c r="D520" s="75" t="s">
        <v>119</v>
      </c>
      <c r="E520" s="76">
        <v>12</v>
      </c>
      <c r="F520" s="76">
        <v>12</v>
      </c>
      <c r="G520" s="76">
        <v>12</v>
      </c>
      <c r="H520" s="75" t="s">
        <v>151</v>
      </c>
      <c r="I520" s="78">
        <v>5250</v>
      </c>
      <c r="J520" s="78">
        <v>27430.727919119818</v>
      </c>
      <c r="K520" s="78">
        <v>19047.165000000001</v>
      </c>
      <c r="L520" s="78">
        <v>8254.2760000000017</v>
      </c>
      <c r="M520" s="78">
        <v>58883.504769623934</v>
      </c>
      <c r="N520" s="95">
        <f t="shared" si="32"/>
        <v>3.291687350294378</v>
      </c>
      <c r="O520" s="95">
        <f t="shared" si="33"/>
        <v>2.2856597999999999</v>
      </c>
      <c r="P520" s="95">
        <f t="shared" si="34"/>
        <v>0.99051312000000025</v>
      </c>
      <c r="Q520" s="95">
        <f t="shared" si="35"/>
        <v>3.27617292</v>
      </c>
      <c r="R520" s="94" t="s">
        <v>543</v>
      </c>
    </row>
    <row r="521" spans="1:18" x14ac:dyDescent="0.2">
      <c r="A521" s="75" t="s">
        <v>15</v>
      </c>
      <c r="B521" s="75" t="s">
        <v>158</v>
      </c>
      <c r="C521" s="75">
        <v>1600578</v>
      </c>
      <c r="D521" s="75" t="s">
        <v>153</v>
      </c>
      <c r="E521" s="76">
        <v>5</v>
      </c>
      <c r="F521" s="76">
        <v>5</v>
      </c>
      <c r="G521" s="76">
        <v>5</v>
      </c>
      <c r="H521" s="75" t="s">
        <v>142</v>
      </c>
      <c r="I521" s="78">
        <v>5250</v>
      </c>
      <c r="J521" s="78">
        <v>27430.727919119818</v>
      </c>
      <c r="K521" s="78">
        <v>19047.165000000001</v>
      </c>
      <c r="L521" s="78">
        <v>6041.9466000000002</v>
      </c>
      <c r="M521" s="78">
        <v>56671.175369623939</v>
      </c>
      <c r="N521" s="95">
        <f t="shared" si="32"/>
        <v>1.371536395955991</v>
      </c>
      <c r="O521" s="95">
        <f t="shared" si="33"/>
        <v>0.95235825000000007</v>
      </c>
      <c r="P521" s="95">
        <f t="shared" si="34"/>
        <v>0.30209733</v>
      </c>
      <c r="Q521" s="95">
        <f t="shared" si="35"/>
        <v>1.2544555800000001</v>
      </c>
      <c r="R521" s="94" t="s">
        <v>543</v>
      </c>
    </row>
    <row r="522" spans="1:18" x14ac:dyDescent="0.2">
      <c r="A522" s="75" t="s">
        <v>15</v>
      </c>
      <c r="B522" s="75" t="s">
        <v>158</v>
      </c>
      <c r="C522" s="75">
        <v>1600821</v>
      </c>
      <c r="D522" s="75" t="s">
        <v>154</v>
      </c>
      <c r="E522" s="76">
        <v>4</v>
      </c>
      <c r="F522" s="76"/>
      <c r="G522" s="76">
        <v>4</v>
      </c>
      <c r="H522" s="75" t="s">
        <v>151</v>
      </c>
      <c r="I522" s="78">
        <v>5250</v>
      </c>
      <c r="J522" s="78">
        <v>27430.727919119818</v>
      </c>
      <c r="K522" s="78">
        <v>19047.165000000001</v>
      </c>
      <c r="L522" s="78">
        <v>6041.9466000000002</v>
      </c>
      <c r="M522" s="78">
        <v>56671.175369623939</v>
      </c>
      <c r="N522" s="95">
        <f t="shared" si="32"/>
        <v>0</v>
      </c>
      <c r="O522" s="95">
        <f t="shared" si="33"/>
        <v>0</v>
      </c>
      <c r="P522" s="95">
        <f t="shared" si="34"/>
        <v>0.24167786400000002</v>
      </c>
      <c r="Q522" s="95">
        <f t="shared" si="35"/>
        <v>0.24167786400000002</v>
      </c>
      <c r="R522" s="94" t="s">
        <v>543</v>
      </c>
    </row>
    <row r="523" spans="1:18" x14ac:dyDescent="0.2">
      <c r="A523" s="75" t="s">
        <v>38</v>
      </c>
      <c r="B523" s="75" t="s">
        <v>156</v>
      </c>
      <c r="C523" s="75">
        <v>1600750</v>
      </c>
      <c r="D523" s="75" t="s">
        <v>162</v>
      </c>
      <c r="E523" s="76"/>
      <c r="F523" s="76">
        <v>24</v>
      </c>
      <c r="G523" s="76">
        <v>11</v>
      </c>
      <c r="H523" s="75" t="s">
        <v>201</v>
      </c>
      <c r="I523" s="78">
        <v>5250</v>
      </c>
      <c r="J523" s="78">
        <v>32521.553612115204</v>
      </c>
      <c r="K523" s="78">
        <v>26991.857</v>
      </c>
      <c r="L523" s="78">
        <v>16984.575400000002</v>
      </c>
      <c r="M523" s="78">
        <v>106042.64425979552</v>
      </c>
      <c r="N523" s="95">
        <f t="shared" si="32"/>
        <v>7.8051728669076486</v>
      </c>
      <c r="O523" s="95">
        <f t="shared" si="33"/>
        <v>6.4780456800000001</v>
      </c>
      <c r="P523" s="95">
        <f t="shared" si="34"/>
        <v>1.8683032940000002</v>
      </c>
      <c r="Q523" s="95">
        <f t="shared" si="35"/>
        <v>8.3463489739999996</v>
      </c>
      <c r="R523" s="94" t="s">
        <v>543</v>
      </c>
    </row>
    <row r="524" spans="1:18" x14ac:dyDescent="0.2">
      <c r="A524" s="75" t="s">
        <v>38</v>
      </c>
      <c r="B524" s="75" t="s">
        <v>156</v>
      </c>
      <c r="C524" s="75">
        <v>1600752</v>
      </c>
      <c r="D524" s="75" t="s">
        <v>108</v>
      </c>
      <c r="E524" s="76"/>
      <c r="F524" s="76"/>
      <c r="G524" s="76">
        <v>18</v>
      </c>
      <c r="H524" s="75" t="s">
        <v>202</v>
      </c>
      <c r="I524" s="78">
        <v>5250</v>
      </c>
      <c r="J524" s="78">
        <v>32521.553612115204</v>
      </c>
      <c r="K524" s="78">
        <v>26991.857</v>
      </c>
      <c r="L524" s="78">
        <v>27479.694900000002</v>
      </c>
      <c r="M524" s="78">
        <v>102418.28465902977</v>
      </c>
      <c r="N524" s="95">
        <f t="shared" si="32"/>
        <v>0</v>
      </c>
      <c r="O524" s="95">
        <f t="shared" si="33"/>
        <v>0</v>
      </c>
      <c r="P524" s="95">
        <f t="shared" si="34"/>
        <v>4.9463450820000006</v>
      </c>
      <c r="Q524" s="95">
        <f t="shared" si="35"/>
        <v>4.9463450820000006</v>
      </c>
      <c r="R524" s="94" t="s">
        <v>543</v>
      </c>
    </row>
    <row r="525" spans="1:18" x14ac:dyDescent="0.2">
      <c r="A525" s="75" t="s">
        <v>38</v>
      </c>
      <c r="B525" s="75" t="s">
        <v>206</v>
      </c>
      <c r="C525" s="75">
        <v>1600854</v>
      </c>
      <c r="D525" s="75" t="s">
        <v>163</v>
      </c>
      <c r="E525" s="76"/>
      <c r="F525" s="76">
        <v>30</v>
      </c>
      <c r="G525" s="76">
        <v>30</v>
      </c>
      <c r="H525" s="75" t="s">
        <v>202</v>
      </c>
      <c r="I525" s="78">
        <v>5250</v>
      </c>
      <c r="J525" s="78">
        <v>33383.225173852501</v>
      </c>
      <c r="K525" s="78">
        <v>18542.051623200001</v>
      </c>
      <c r="L525" s="78">
        <v>6310.0995489899997</v>
      </c>
      <c r="M525" s="78">
        <v>72104.149788063893</v>
      </c>
      <c r="N525" s="95">
        <f t="shared" si="32"/>
        <v>10.014967552155749</v>
      </c>
      <c r="O525" s="95">
        <f t="shared" si="33"/>
        <v>5.5626154869600004</v>
      </c>
      <c r="P525" s="95">
        <f t="shared" si="34"/>
        <v>1.8930298646970001</v>
      </c>
      <c r="Q525" s="95">
        <f t="shared" si="35"/>
        <v>7.4556453516570009</v>
      </c>
      <c r="R525" s="94" t="s">
        <v>543</v>
      </c>
    </row>
    <row r="526" spans="1:18" x14ac:dyDescent="0.2">
      <c r="A526" s="75" t="s">
        <v>38</v>
      </c>
      <c r="B526" s="75" t="s">
        <v>158</v>
      </c>
      <c r="C526" s="75">
        <v>1601005</v>
      </c>
      <c r="D526" s="75" t="s">
        <v>164</v>
      </c>
      <c r="E526" s="76"/>
      <c r="F526" s="76">
        <v>180</v>
      </c>
      <c r="G526" s="76">
        <v>100</v>
      </c>
      <c r="H526" s="75" t="s">
        <v>203</v>
      </c>
      <c r="I526" s="78">
        <v>5250</v>
      </c>
      <c r="J526" s="78">
        <v>28556.105458566861</v>
      </c>
      <c r="K526" s="78">
        <v>13483.34</v>
      </c>
      <c r="L526" s="78">
        <v>9240.8520000000008</v>
      </c>
      <c r="M526" s="78">
        <v>55476.79716184346</v>
      </c>
      <c r="N526" s="95">
        <f t="shared" si="32"/>
        <v>51.400989825420353</v>
      </c>
      <c r="O526" s="95">
        <f t="shared" si="33"/>
        <v>24.270012000000001</v>
      </c>
      <c r="P526" s="95">
        <f t="shared" si="34"/>
        <v>9.2408520000000003</v>
      </c>
      <c r="Q526" s="95">
        <f t="shared" si="35"/>
        <v>33.510863999999998</v>
      </c>
      <c r="R526" s="94" t="s">
        <v>543</v>
      </c>
    </row>
    <row r="527" spans="1:18" x14ac:dyDescent="0.2">
      <c r="A527" s="75" t="s">
        <v>38</v>
      </c>
      <c r="B527" s="75" t="s">
        <v>158</v>
      </c>
      <c r="C527" s="75">
        <v>1600027</v>
      </c>
      <c r="D527" s="75" t="s">
        <v>165</v>
      </c>
      <c r="E527" s="76"/>
      <c r="F527" s="76"/>
      <c r="G527" s="76">
        <v>12</v>
      </c>
      <c r="H527" s="75" t="s">
        <v>166</v>
      </c>
      <c r="I527" s="78">
        <v>5250</v>
      </c>
      <c r="J527" s="78">
        <v>33037.897456417064</v>
      </c>
      <c r="K527" s="78">
        <v>12428.3577</v>
      </c>
      <c r="L527" s="78">
        <v>7029.5510999999997</v>
      </c>
      <c r="M527" s="78">
        <v>57343.719552303824</v>
      </c>
      <c r="N527" s="95">
        <f t="shared" si="32"/>
        <v>0</v>
      </c>
      <c r="O527" s="95">
        <f t="shared" si="33"/>
        <v>0</v>
      </c>
      <c r="P527" s="95">
        <f t="shared" si="34"/>
        <v>0.84354613199999995</v>
      </c>
      <c r="Q527" s="95">
        <f t="shared" si="35"/>
        <v>0.84354613199999995</v>
      </c>
      <c r="R527" s="94" t="s">
        <v>543</v>
      </c>
    </row>
    <row r="528" spans="1:18" x14ac:dyDescent="0.2">
      <c r="A528" s="75" t="s">
        <v>38</v>
      </c>
      <c r="B528" s="75" t="s">
        <v>158</v>
      </c>
      <c r="C528" s="75">
        <v>1600488</v>
      </c>
      <c r="D528" s="75" t="s">
        <v>167</v>
      </c>
      <c r="E528" s="76"/>
      <c r="F528" s="76"/>
      <c r="G528" s="76">
        <v>17</v>
      </c>
      <c r="H528" s="75" t="s">
        <v>204</v>
      </c>
      <c r="I528" s="78">
        <v>5250</v>
      </c>
      <c r="J528" s="78">
        <v>33037.897456417064</v>
      </c>
      <c r="K528" s="78">
        <v>12453.0232</v>
      </c>
      <c r="L528" s="78">
        <v>9440.6481999999996</v>
      </c>
      <c r="M528" s="78">
        <v>59688.065984220935</v>
      </c>
      <c r="N528" s="95">
        <f t="shared" si="32"/>
        <v>0</v>
      </c>
      <c r="O528" s="95">
        <f t="shared" si="33"/>
        <v>0</v>
      </c>
      <c r="P528" s="95">
        <f t="shared" si="34"/>
        <v>1.6049101939999999</v>
      </c>
      <c r="Q528" s="95">
        <f t="shared" si="35"/>
        <v>1.6049101939999999</v>
      </c>
      <c r="R528" s="94" t="s">
        <v>543</v>
      </c>
    </row>
    <row r="529" spans="1:18" x14ac:dyDescent="0.2">
      <c r="A529" s="75" t="s">
        <v>38</v>
      </c>
      <c r="B529" s="75" t="s">
        <v>158</v>
      </c>
      <c r="C529" s="75">
        <v>1600971</v>
      </c>
      <c r="D529" s="75" t="s">
        <v>112</v>
      </c>
      <c r="E529" s="76"/>
      <c r="F529" s="76"/>
      <c r="G529" s="76">
        <v>99</v>
      </c>
      <c r="H529" s="75" t="s">
        <v>168</v>
      </c>
      <c r="I529" s="78">
        <v>5250</v>
      </c>
      <c r="J529" s="78">
        <v>33037.897456417064</v>
      </c>
      <c r="K529" s="78">
        <v>12428.3577</v>
      </c>
      <c r="L529" s="78">
        <v>7718.6300900000006</v>
      </c>
      <c r="M529" s="78">
        <v>59371.735480355928</v>
      </c>
      <c r="N529" s="95">
        <f t="shared" si="32"/>
        <v>0</v>
      </c>
      <c r="O529" s="95">
        <f t="shared" si="33"/>
        <v>0</v>
      </c>
      <c r="P529" s="95">
        <f t="shared" si="34"/>
        <v>7.6414437891000011</v>
      </c>
      <c r="Q529" s="95">
        <f t="shared" si="35"/>
        <v>7.6414437891000011</v>
      </c>
      <c r="R529" s="94" t="s">
        <v>543</v>
      </c>
    </row>
    <row r="530" spans="1:18" x14ac:dyDescent="0.2">
      <c r="A530" s="75" t="s">
        <v>38</v>
      </c>
      <c r="B530" s="75" t="s">
        <v>158</v>
      </c>
      <c r="C530" s="75">
        <v>1601007</v>
      </c>
      <c r="D530" s="75" t="s">
        <v>169</v>
      </c>
      <c r="E530" s="76"/>
      <c r="F530" s="76">
        <v>24</v>
      </c>
      <c r="G530" s="76">
        <v>18</v>
      </c>
      <c r="H530" s="75" t="s">
        <v>168</v>
      </c>
      <c r="I530" s="78">
        <v>5250</v>
      </c>
      <c r="J530" s="78">
        <v>28535.225545363894</v>
      </c>
      <c r="K530" s="78">
        <v>14117.627</v>
      </c>
      <c r="L530" s="78">
        <v>9216.359199999999</v>
      </c>
      <c r="M530" s="78">
        <v>56063.175995746904</v>
      </c>
      <c r="N530" s="95">
        <f t="shared" ref="N530:N593" si="36">$F530*J530/100000</f>
        <v>6.8484541308873341</v>
      </c>
      <c r="O530" s="95">
        <f t="shared" ref="O530:O593" si="37">F530*K530/100000</f>
        <v>3.3882304800000003</v>
      </c>
      <c r="P530" s="95">
        <f t="shared" ref="P530:P593" si="38">L530*G530/100000</f>
        <v>1.6589446559999999</v>
      </c>
      <c r="Q530" s="95">
        <f t="shared" ref="Q530:Q593" si="39">O530+P530</f>
        <v>5.0471751359999999</v>
      </c>
      <c r="R530" s="94" t="s">
        <v>543</v>
      </c>
    </row>
    <row r="531" spans="1:18" x14ac:dyDescent="0.2">
      <c r="A531" s="75" t="s">
        <v>38</v>
      </c>
      <c r="B531" s="75" t="s">
        <v>158</v>
      </c>
      <c r="C531" s="75">
        <v>1600934</v>
      </c>
      <c r="D531" s="75" t="s">
        <v>170</v>
      </c>
      <c r="E531" s="76"/>
      <c r="F531" s="76"/>
      <c r="G531" s="76">
        <v>11</v>
      </c>
      <c r="H531" s="75" t="s">
        <v>168</v>
      </c>
      <c r="I531" s="78">
        <v>5250</v>
      </c>
      <c r="J531" s="78">
        <v>33344.421599957808</v>
      </c>
      <c r="K531" s="78">
        <v>13297.803499999998</v>
      </c>
      <c r="L531" s="78">
        <v>6389.6835999999994</v>
      </c>
      <c r="M531" s="78">
        <v>57010.045875787808</v>
      </c>
      <c r="N531" s="95">
        <f t="shared" si="36"/>
        <v>0</v>
      </c>
      <c r="O531" s="95">
        <f t="shared" si="37"/>
        <v>0</v>
      </c>
      <c r="P531" s="95">
        <f t="shared" si="38"/>
        <v>0.70286519599999997</v>
      </c>
      <c r="Q531" s="95">
        <f t="shared" si="39"/>
        <v>0.70286519599999997</v>
      </c>
      <c r="R531" s="94" t="s">
        <v>543</v>
      </c>
    </row>
    <row r="532" spans="1:18" x14ac:dyDescent="0.2">
      <c r="A532" s="75" t="s">
        <v>38</v>
      </c>
      <c r="B532" s="75" t="s">
        <v>158</v>
      </c>
      <c r="C532" s="75">
        <v>1600932</v>
      </c>
      <c r="D532" s="75" t="s">
        <v>171</v>
      </c>
      <c r="E532" s="76"/>
      <c r="F532" s="76"/>
      <c r="G532" s="76">
        <v>4</v>
      </c>
      <c r="H532" s="75" t="s">
        <v>168</v>
      </c>
      <c r="I532" s="78">
        <v>5250</v>
      </c>
      <c r="J532" s="78">
        <v>33344.421599957801</v>
      </c>
      <c r="K532" s="78">
        <v>13297.8035</v>
      </c>
      <c r="L532" s="78">
        <v>6576.0447000000004</v>
      </c>
      <c r="M532" s="78">
        <v>58012.846355079775</v>
      </c>
      <c r="N532" s="95">
        <f t="shared" si="36"/>
        <v>0</v>
      </c>
      <c r="O532" s="95">
        <f t="shared" si="37"/>
        <v>0</v>
      </c>
      <c r="P532" s="95">
        <f t="shared" si="38"/>
        <v>0.263041788</v>
      </c>
      <c r="Q532" s="95">
        <f t="shared" si="39"/>
        <v>0.263041788</v>
      </c>
      <c r="R532" s="94" t="s">
        <v>543</v>
      </c>
    </row>
    <row r="533" spans="1:18" x14ac:dyDescent="0.2">
      <c r="A533" s="75" t="s">
        <v>38</v>
      </c>
      <c r="B533" s="75" t="s">
        <v>158</v>
      </c>
      <c r="C533" s="75">
        <v>1600939</v>
      </c>
      <c r="D533" s="75" t="s">
        <v>172</v>
      </c>
      <c r="E533" s="76"/>
      <c r="F533" s="76"/>
      <c r="G533" s="76">
        <v>5</v>
      </c>
      <c r="H533" s="75" t="s">
        <v>168</v>
      </c>
      <c r="I533" s="78">
        <v>5250</v>
      </c>
      <c r="J533" s="78">
        <v>33344.421599957808</v>
      </c>
      <c r="K533" s="78">
        <v>13297.803499999998</v>
      </c>
      <c r="L533" s="78">
        <v>9441.2681999999986</v>
      </c>
      <c r="M533" s="78">
        <v>60878.069855079775</v>
      </c>
      <c r="N533" s="95">
        <f t="shared" si="36"/>
        <v>0</v>
      </c>
      <c r="O533" s="95">
        <f t="shared" si="37"/>
        <v>0</v>
      </c>
      <c r="P533" s="95">
        <f t="shared" si="38"/>
        <v>0.47206340999999991</v>
      </c>
      <c r="Q533" s="95">
        <f t="shared" si="39"/>
        <v>0.47206340999999991</v>
      </c>
      <c r="R533" s="94" t="s">
        <v>543</v>
      </c>
    </row>
    <row r="534" spans="1:18" x14ac:dyDescent="0.2">
      <c r="A534" s="75" t="s">
        <v>38</v>
      </c>
      <c r="B534" s="75" t="s">
        <v>158</v>
      </c>
      <c r="C534" s="75">
        <v>1601006</v>
      </c>
      <c r="D534" s="75" t="s">
        <v>173</v>
      </c>
      <c r="E534" s="76"/>
      <c r="F534" s="76">
        <v>89</v>
      </c>
      <c r="G534" s="76">
        <v>30</v>
      </c>
      <c r="H534" s="75" t="s">
        <v>168</v>
      </c>
      <c r="I534" s="78">
        <v>5250</v>
      </c>
      <c r="J534" s="78">
        <v>26566.74474430902</v>
      </c>
      <c r="K534" s="78">
        <v>17252.849999999999</v>
      </c>
      <c r="L534" s="78">
        <v>9177.0056000000004</v>
      </c>
      <c r="M534" s="78">
        <v>59957.73691112431</v>
      </c>
      <c r="N534" s="95">
        <f t="shared" si="36"/>
        <v>23.644402822435026</v>
      </c>
      <c r="O534" s="95">
        <f t="shared" si="37"/>
        <v>15.355036499999999</v>
      </c>
      <c r="P534" s="95">
        <f t="shared" si="38"/>
        <v>2.7531016799999999</v>
      </c>
      <c r="Q534" s="95">
        <f t="shared" si="39"/>
        <v>18.108138179999997</v>
      </c>
      <c r="R534" s="94" t="s">
        <v>543</v>
      </c>
    </row>
    <row r="535" spans="1:18" x14ac:dyDescent="0.2">
      <c r="A535" s="75" t="s">
        <v>38</v>
      </c>
      <c r="B535" s="75" t="s">
        <v>158</v>
      </c>
      <c r="C535" s="75">
        <v>1600768</v>
      </c>
      <c r="D535" s="75" t="s">
        <v>174</v>
      </c>
      <c r="E535" s="76"/>
      <c r="F535" s="76"/>
      <c r="G535" s="76">
        <v>10</v>
      </c>
      <c r="H535" s="75" t="s">
        <v>168</v>
      </c>
      <c r="I535" s="78">
        <v>5250</v>
      </c>
      <c r="J535" s="78">
        <v>30961.511594820338</v>
      </c>
      <c r="K535" s="78">
        <v>15979.349850000001</v>
      </c>
      <c r="L535" s="78">
        <v>6501.3526000000011</v>
      </c>
      <c r="M535" s="78">
        <v>58032.178379207195</v>
      </c>
      <c r="N535" s="95">
        <f t="shared" si="36"/>
        <v>0</v>
      </c>
      <c r="O535" s="95">
        <f t="shared" si="37"/>
        <v>0</v>
      </c>
      <c r="P535" s="95">
        <f t="shared" si="38"/>
        <v>0.6501352600000001</v>
      </c>
      <c r="Q535" s="95">
        <f t="shared" si="39"/>
        <v>0.6501352600000001</v>
      </c>
      <c r="R535" s="94" t="s">
        <v>543</v>
      </c>
    </row>
    <row r="536" spans="1:18" x14ac:dyDescent="0.2">
      <c r="A536" s="75" t="s">
        <v>38</v>
      </c>
      <c r="B536" s="75" t="s">
        <v>158</v>
      </c>
      <c r="C536" s="75">
        <v>1600856</v>
      </c>
      <c r="D536" s="75" t="s">
        <v>175</v>
      </c>
      <c r="E536" s="76"/>
      <c r="F536" s="76"/>
      <c r="G536" s="76">
        <v>10</v>
      </c>
      <c r="H536" s="75" t="s">
        <v>168</v>
      </c>
      <c r="I536" s="78">
        <v>5250</v>
      </c>
      <c r="J536" s="78">
        <v>36211.511594820338</v>
      </c>
      <c r="K536" s="78">
        <v>10729.349850000001</v>
      </c>
      <c r="L536" s="78">
        <v>6576.0447000000004</v>
      </c>
      <c r="M536" s="78">
        <v>58015.454311124311</v>
      </c>
      <c r="N536" s="95">
        <f t="shared" si="36"/>
        <v>0</v>
      </c>
      <c r="O536" s="95">
        <f t="shared" si="37"/>
        <v>0</v>
      </c>
      <c r="P536" s="95">
        <f t="shared" si="38"/>
        <v>0.65760447</v>
      </c>
      <c r="Q536" s="95">
        <f t="shared" si="39"/>
        <v>0.65760447</v>
      </c>
      <c r="R536" s="94" t="s">
        <v>543</v>
      </c>
    </row>
    <row r="537" spans="1:18" x14ac:dyDescent="0.2">
      <c r="A537" s="75" t="s">
        <v>38</v>
      </c>
      <c r="B537" s="75" t="s">
        <v>158</v>
      </c>
      <c r="C537" s="75">
        <v>1600972</v>
      </c>
      <c r="D537" s="75" t="s">
        <v>115</v>
      </c>
      <c r="E537" s="76"/>
      <c r="F537" s="76"/>
      <c r="G537" s="76">
        <v>30</v>
      </c>
      <c r="H537" s="75" t="s">
        <v>168</v>
      </c>
      <c r="I537" s="78">
        <v>5250</v>
      </c>
      <c r="J537" s="78">
        <v>30961.511594820338</v>
      </c>
      <c r="K537" s="78">
        <v>15979.349850000001</v>
      </c>
      <c r="L537" s="78">
        <v>7718.6300900000006</v>
      </c>
      <c r="M537" s="78">
        <v>59371.735480355928</v>
      </c>
      <c r="N537" s="95">
        <f t="shared" si="36"/>
        <v>0</v>
      </c>
      <c r="O537" s="95">
        <f t="shared" si="37"/>
        <v>0</v>
      </c>
      <c r="P537" s="95">
        <f t="shared" si="38"/>
        <v>2.3155890270000001</v>
      </c>
      <c r="Q537" s="95">
        <f t="shared" si="39"/>
        <v>2.3155890270000001</v>
      </c>
      <c r="R537" s="94" t="s">
        <v>543</v>
      </c>
    </row>
    <row r="538" spans="1:18" x14ac:dyDescent="0.2">
      <c r="A538" s="75" t="s">
        <v>38</v>
      </c>
      <c r="B538" s="75" t="s">
        <v>158</v>
      </c>
      <c r="C538" s="75">
        <v>1600927</v>
      </c>
      <c r="D538" s="75" t="s">
        <v>176</v>
      </c>
      <c r="E538" s="76"/>
      <c r="F538" s="76"/>
      <c r="G538" s="76">
        <v>11</v>
      </c>
      <c r="H538" s="75" t="s">
        <v>177</v>
      </c>
      <c r="I538" s="78">
        <v>5250</v>
      </c>
      <c r="J538" s="78">
        <v>30961.511594820338</v>
      </c>
      <c r="K538" s="78">
        <v>15979.349850000001</v>
      </c>
      <c r="L538" s="78">
        <v>7718.6300900000006</v>
      </c>
      <c r="M538" s="78">
        <v>59371.735480355928</v>
      </c>
      <c r="N538" s="95">
        <f t="shared" si="36"/>
        <v>0</v>
      </c>
      <c r="O538" s="95">
        <f t="shared" si="37"/>
        <v>0</v>
      </c>
      <c r="P538" s="95">
        <f t="shared" si="38"/>
        <v>0.84904930990000005</v>
      </c>
      <c r="Q538" s="95">
        <f t="shared" si="39"/>
        <v>0.84904930990000005</v>
      </c>
      <c r="R538" s="94" t="s">
        <v>543</v>
      </c>
    </row>
    <row r="539" spans="1:18" x14ac:dyDescent="0.2">
      <c r="A539" s="75" t="s">
        <v>38</v>
      </c>
      <c r="B539" s="75" t="s">
        <v>158</v>
      </c>
      <c r="C539" s="75">
        <v>1600925</v>
      </c>
      <c r="D539" s="75" t="s">
        <v>117</v>
      </c>
      <c r="E539" s="76"/>
      <c r="F539" s="76"/>
      <c r="G539" s="76">
        <v>15</v>
      </c>
      <c r="H539" s="75" t="s">
        <v>177</v>
      </c>
      <c r="I539" s="78">
        <v>5250</v>
      </c>
      <c r="J539" s="78">
        <v>30961.511594820302</v>
      </c>
      <c r="K539" s="78">
        <v>15979.349850000001</v>
      </c>
      <c r="L539" s="78">
        <v>6782.2644</v>
      </c>
      <c r="M539" s="78">
        <v>58221.674011124313</v>
      </c>
      <c r="N539" s="95">
        <f t="shared" si="36"/>
        <v>0</v>
      </c>
      <c r="O539" s="95">
        <f t="shared" si="37"/>
        <v>0</v>
      </c>
      <c r="P539" s="95">
        <f t="shared" si="38"/>
        <v>1.01733966</v>
      </c>
      <c r="Q539" s="95">
        <f t="shared" si="39"/>
        <v>1.01733966</v>
      </c>
      <c r="R539" s="94" t="s">
        <v>543</v>
      </c>
    </row>
    <row r="540" spans="1:18" x14ac:dyDescent="0.2">
      <c r="A540" s="75" t="s">
        <v>38</v>
      </c>
      <c r="B540" s="75" t="s">
        <v>158</v>
      </c>
      <c r="C540" s="75">
        <v>1600862</v>
      </c>
      <c r="D540" s="75" t="s">
        <v>178</v>
      </c>
      <c r="E540" s="76"/>
      <c r="F540" s="76"/>
      <c r="G540" s="76">
        <v>10</v>
      </c>
      <c r="H540" s="75" t="s">
        <v>168</v>
      </c>
      <c r="I540" s="78">
        <v>5250</v>
      </c>
      <c r="J540" s="78">
        <v>33869.969873578448</v>
      </c>
      <c r="K540" s="78">
        <v>17463.15035</v>
      </c>
      <c r="L540" s="78">
        <v>6501.1516000000001</v>
      </c>
      <c r="M540" s="78">
        <v>57937.953255079774</v>
      </c>
      <c r="N540" s="95">
        <f t="shared" si="36"/>
        <v>0</v>
      </c>
      <c r="O540" s="95">
        <f t="shared" si="37"/>
        <v>0</v>
      </c>
      <c r="P540" s="95">
        <f t="shared" si="38"/>
        <v>0.65011516000000003</v>
      </c>
      <c r="Q540" s="95">
        <f t="shared" si="39"/>
        <v>0.65011516000000003</v>
      </c>
      <c r="R540" s="94" t="s">
        <v>543</v>
      </c>
    </row>
    <row r="541" spans="1:18" x14ac:dyDescent="0.2">
      <c r="A541" s="75" t="s">
        <v>38</v>
      </c>
      <c r="B541" s="75" t="s">
        <v>158</v>
      </c>
      <c r="C541" s="75">
        <v>1600920</v>
      </c>
      <c r="D541" s="75" t="s">
        <v>179</v>
      </c>
      <c r="E541" s="76"/>
      <c r="F541" s="76"/>
      <c r="G541" s="76">
        <v>10</v>
      </c>
      <c r="H541" s="75" t="s">
        <v>177</v>
      </c>
      <c r="I541" s="78">
        <v>5250</v>
      </c>
      <c r="J541" s="78">
        <v>30364.065719777638</v>
      </c>
      <c r="K541" s="78">
        <v>18250.880650000003</v>
      </c>
      <c r="L541" s="78">
        <v>9423.2132000000001</v>
      </c>
      <c r="M541" s="78">
        <v>62462.487165680912</v>
      </c>
      <c r="N541" s="95">
        <f t="shared" si="36"/>
        <v>0</v>
      </c>
      <c r="O541" s="95">
        <f t="shared" si="37"/>
        <v>0</v>
      </c>
      <c r="P541" s="95">
        <f t="shared" si="38"/>
        <v>0.94232132000000002</v>
      </c>
      <c r="Q541" s="95">
        <f t="shared" si="39"/>
        <v>0.94232132000000002</v>
      </c>
      <c r="R541" s="94" t="s">
        <v>543</v>
      </c>
    </row>
    <row r="542" spans="1:18" x14ac:dyDescent="0.2">
      <c r="A542" s="75" t="s">
        <v>38</v>
      </c>
      <c r="B542" s="75" t="s">
        <v>158</v>
      </c>
      <c r="C542" s="75">
        <v>1600868</v>
      </c>
      <c r="D542" s="75" t="s">
        <v>180</v>
      </c>
      <c r="E542" s="76"/>
      <c r="F542" s="76"/>
      <c r="G542" s="76">
        <v>5</v>
      </c>
      <c r="H542" s="75" t="s">
        <v>168</v>
      </c>
      <c r="I542" s="78">
        <v>5250</v>
      </c>
      <c r="J542" s="78">
        <v>33869.969873578448</v>
      </c>
      <c r="K542" s="78">
        <v>17463.15035</v>
      </c>
      <c r="L542" s="78">
        <v>7718.6300900000006</v>
      </c>
      <c r="M542" s="78">
        <v>59371.735480355928</v>
      </c>
      <c r="N542" s="95">
        <f t="shared" si="36"/>
        <v>0</v>
      </c>
      <c r="O542" s="95">
        <f t="shared" si="37"/>
        <v>0</v>
      </c>
      <c r="P542" s="95">
        <f t="shared" si="38"/>
        <v>0.38593150450000002</v>
      </c>
      <c r="Q542" s="95">
        <f t="shared" si="39"/>
        <v>0.38593150450000002</v>
      </c>
      <c r="R542" s="94" t="s">
        <v>543</v>
      </c>
    </row>
    <row r="543" spans="1:18" x14ac:dyDescent="0.2">
      <c r="A543" s="75" t="s">
        <v>38</v>
      </c>
      <c r="B543" s="75" t="s">
        <v>158</v>
      </c>
      <c r="C543" s="75">
        <v>1600826</v>
      </c>
      <c r="D543" s="75" t="s">
        <v>130</v>
      </c>
      <c r="E543" s="76"/>
      <c r="F543" s="76"/>
      <c r="G543" s="76">
        <v>10</v>
      </c>
      <c r="H543" s="75" t="s">
        <v>168</v>
      </c>
      <c r="I543" s="78">
        <v>5250</v>
      </c>
      <c r="J543" s="78">
        <v>32706.90233187571</v>
      </c>
      <c r="K543" s="78">
        <v>16817.491999999998</v>
      </c>
      <c r="L543" s="78">
        <v>21074.663800000002</v>
      </c>
      <c r="M543" s="78">
        <v>75737.729299677449</v>
      </c>
      <c r="N543" s="95">
        <f t="shared" si="36"/>
        <v>0</v>
      </c>
      <c r="O543" s="95">
        <f t="shared" si="37"/>
        <v>0</v>
      </c>
      <c r="P543" s="95">
        <f t="shared" si="38"/>
        <v>2.1074663800000004</v>
      </c>
      <c r="Q543" s="95">
        <f t="shared" si="39"/>
        <v>2.1074663800000004</v>
      </c>
      <c r="R543" s="94" t="s">
        <v>543</v>
      </c>
    </row>
    <row r="544" spans="1:18" x14ac:dyDescent="0.2">
      <c r="A544" s="75" t="s">
        <v>38</v>
      </c>
      <c r="B544" s="75" t="s">
        <v>158</v>
      </c>
      <c r="C544" s="75">
        <v>1600828</v>
      </c>
      <c r="D544" s="75" t="s">
        <v>181</v>
      </c>
      <c r="E544" s="76"/>
      <c r="F544" s="76"/>
      <c r="G544" s="76">
        <v>3</v>
      </c>
      <c r="H544" s="75" t="s">
        <v>177</v>
      </c>
      <c r="I544" s="78">
        <v>5250</v>
      </c>
      <c r="J544" s="78">
        <v>32706.90233187571</v>
      </c>
      <c r="K544" s="78">
        <v>16817.491999999998</v>
      </c>
      <c r="L544" s="78">
        <v>15144.239099999999</v>
      </c>
      <c r="M544" s="78">
        <v>69715.888431594562</v>
      </c>
      <c r="N544" s="95">
        <f t="shared" si="36"/>
        <v>0</v>
      </c>
      <c r="O544" s="95">
        <f t="shared" si="37"/>
        <v>0</v>
      </c>
      <c r="P544" s="95">
        <f t="shared" si="38"/>
        <v>0.45432717299999997</v>
      </c>
      <c r="Q544" s="95">
        <f t="shared" si="39"/>
        <v>0.45432717299999997</v>
      </c>
      <c r="R544" s="94" t="s">
        <v>543</v>
      </c>
    </row>
    <row r="545" spans="1:18" x14ac:dyDescent="0.2">
      <c r="A545" s="75" t="s">
        <v>38</v>
      </c>
      <c r="B545" s="75" t="s">
        <v>158</v>
      </c>
      <c r="C545" s="75">
        <v>1601038</v>
      </c>
      <c r="D545" s="75" t="s">
        <v>182</v>
      </c>
      <c r="E545" s="76"/>
      <c r="F545" s="76">
        <v>89</v>
      </c>
      <c r="G545" s="76">
        <v>30</v>
      </c>
      <c r="H545" s="75" t="s">
        <v>168</v>
      </c>
      <c r="I545" s="78">
        <v>5250</v>
      </c>
      <c r="J545" s="78">
        <v>31125.242258869803</v>
      </c>
      <c r="K545" s="78">
        <v>16795.526400000002</v>
      </c>
      <c r="L545" s="78">
        <v>20899.002700000001</v>
      </c>
      <c r="M545" s="78">
        <v>74360.023666665176</v>
      </c>
      <c r="N545" s="95">
        <f t="shared" si="36"/>
        <v>27.701465610394123</v>
      </c>
      <c r="O545" s="95">
        <f t="shared" si="37"/>
        <v>14.948018496000003</v>
      </c>
      <c r="P545" s="95">
        <f t="shared" si="38"/>
        <v>6.2697008099999998</v>
      </c>
      <c r="Q545" s="95">
        <f t="shared" si="39"/>
        <v>21.217719306000003</v>
      </c>
      <c r="R545" s="94" t="s">
        <v>543</v>
      </c>
    </row>
    <row r="546" spans="1:18" x14ac:dyDescent="0.2">
      <c r="A546" s="75" t="s">
        <v>38</v>
      </c>
      <c r="B546" s="75" t="s">
        <v>158</v>
      </c>
      <c r="C546" s="75">
        <v>1601018</v>
      </c>
      <c r="D546" s="75" t="s">
        <v>183</v>
      </c>
      <c r="E546" s="76"/>
      <c r="F546" s="76"/>
      <c r="G546" s="76">
        <v>50</v>
      </c>
      <c r="H546" s="75" t="s">
        <v>168</v>
      </c>
      <c r="I546" s="78">
        <v>5250</v>
      </c>
      <c r="J546" s="78">
        <v>31125.242258869803</v>
      </c>
      <c r="K546" s="78">
        <v>16795.526400000002</v>
      </c>
      <c r="L546" s="78">
        <v>17491.7546</v>
      </c>
      <c r="M546" s="78">
        <v>70861.359398582295</v>
      </c>
      <c r="N546" s="95">
        <f t="shared" si="36"/>
        <v>0</v>
      </c>
      <c r="O546" s="95">
        <f t="shared" si="37"/>
        <v>0</v>
      </c>
      <c r="P546" s="95">
        <f t="shared" si="38"/>
        <v>8.7458773000000001</v>
      </c>
      <c r="Q546" s="95">
        <f t="shared" si="39"/>
        <v>8.7458773000000001</v>
      </c>
      <c r="R546" s="94" t="s">
        <v>543</v>
      </c>
    </row>
    <row r="547" spans="1:18" x14ac:dyDescent="0.2">
      <c r="A547" s="75" t="s">
        <v>38</v>
      </c>
      <c r="B547" s="75" t="s">
        <v>158</v>
      </c>
      <c r="C547" s="75" t="s">
        <v>208</v>
      </c>
      <c r="D547" s="75" t="s">
        <v>184</v>
      </c>
      <c r="E547" s="76"/>
      <c r="F547" s="76">
        <v>19</v>
      </c>
      <c r="G547" s="76"/>
      <c r="H547" s="75" t="s">
        <v>168</v>
      </c>
      <c r="I547" s="78">
        <v>5250</v>
      </c>
      <c r="J547" s="78">
        <v>31169.80633522581</v>
      </c>
      <c r="K547" s="78">
        <v>18184.665417999997</v>
      </c>
      <c r="L547" s="78">
        <v>17497.7696</v>
      </c>
      <c r="M547" s="78">
        <v>72307.752976995704</v>
      </c>
      <c r="N547" s="95">
        <f t="shared" si="36"/>
        <v>5.9222632036929044</v>
      </c>
      <c r="O547" s="95">
        <f t="shared" si="37"/>
        <v>3.4550864294199997</v>
      </c>
      <c r="P547" s="95">
        <f t="shared" si="38"/>
        <v>0</v>
      </c>
      <c r="Q547" s="95">
        <f t="shared" si="39"/>
        <v>3.4550864294199997</v>
      </c>
      <c r="R547" s="94" t="s">
        <v>543</v>
      </c>
    </row>
    <row r="548" spans="1:18" x14ac:dyDescent="0.2">
      <c r="A548" s="75" t="s">
        <v>38</v>
      </c>
      <c r="B548" s="75" t="s">
        <v>158</v>
      </c>
      <c r="C548" s="75">
        <v>1600816</v>
      </c>
      <c r="D548" s="75" t="s">
        <v>185</v>
      </c>
      <c r="E548" s="76"/>
      <c r="F548" s="76"/>
      <c r="G548" s="76">
        <v>8</v>
      </c>
      <c r="H548" s="75" t="s">
        <v>186</v>
      </c>
      <c r="I548" s="78">
        <v>5250</v>
      </c>
      <c r="J548" s="78">
        <v>33418.600411146661</v>
      </c>
      <c r="K548" s="78">
        <v>15509.18</v>
      </c>
      <c r="L548" s="78">
        <v>21464.599399999999</v>
      </c>
      <c r="M548" s="78">
        <v>75625.687829381641</v>
      </c>
      <c r="N548" s="95">
        <f t="shared" si="36"/>
        <v>0</v>
      </c>
      <c r="O548" s="95">
        <f t="shared" si="37"/>
        <v>0</v>
      </c>
      <c r="P548" s="95">
        <f t="shared" si="38"/>
        <v>1.7171679519999998</v>
      </c>
      <c r="Q548" s="95">
        <f t="shared" si="39"/>
        <v>1.7171679519999998</v>
      </c>
      <c r="R548" s="94" t="s">
        <v>543</v>
      </c>
    </row>
    <row r="549" spans="1:18" x14ac:dyDescent="0.2">
      <c r="A549" s="75" t="s">
        <v>38</v>
      </c>
      <c r="B549" s="75" t="s">
        <v>158</v>
      </c>
      <c r="C549" s="75">
        <v>1600961</v>
      </c>
      <c r="D549" s="75" t="s">
        <v>187</v>
      </c>
      <c r="E549" s="76"/>
      <c r="F549" s="76"/>
      <c r="G549" s="76">
        <v>12</v>
      </c>
      <c r="H549" s="75" t="s">
        <v>177</v>
      </c>
      <c r="I549" s="78">
        <v>5250</v>
      </c>
      <c r="J549" s="78">
        <v>31169.80633522581</v>
      </c>
      <c r="K549" s="78">
        <v>18184.665417999997</v>
      </c>
      <c r="L549" s="78">
        <v>20826.346700000002</v>
      </c>
      <c r="M549" s="78">
        <v>75489.412199677448</v>
      </c>
      <c r="N549" s="95">
        <f t="shared" si="36"/>
        <v>0</v>
      </c>
      <c r="O549" s="95">
        <f t="shared" si="37"/>
        <v>0</v>
      </c>
      <c r="P549" s="95">
        <f t="shared" si="38"/>
        <v>2.4991616040000002</v>
      </c>
      <c r="Q549" s="95">
        <f t="shared" si="39"/>
        <v>2.4991616040000002</v>
      </c>
      <c r="R549" s="94" t="s">
        <v>543</v>
      </c>
    </row>
    <row r="550" spans="1:18" x14ac:dyDescent="0.2">
      <c r="A550" s="75" t="s">
        <v>38</v>
      </c>
      <c r="B550" s="75" t="s">
        <v>158</v>
      </c>
      <c r="C550" s="75">
        <v>1600578</v>
      </c>
      <c r="D550" s="75" t="s">
        <v>153</v>
      </c>
      <c r="E550" s="76"/>
      <c r="F550" s="76">
        <v>16</v>
      </c>
      <c r="G550" s="76">
        <v>8</v>
      </c>
      <c r="H550" s="75" t="s">
        <v>168</v>
      </c>
      <c r="I550" s="78">
        <v>5250</v>
      </c>
      <c r="J550" s="78">
        <v>27430.727919119818</v>
      </c>
      <c r="K550" s="78">
        <v>19047.165000000001</v>
      </c>
      <c r="L550" s="78">
        <v>6041.9466000000002</v>
      </c>
      <c r="M550" s="78">
        <v>56671.175369623939</v>
      </c>
      <c r="N550" s="95">
        <f t="shared" si="36"/>
        <v>4.3889164670591709</v>
      </c>
      <c r="O550" s="95">
        <f t="shared" si="37"/>
        <v>3.0475464000000003</v>
      </c>
      <c r="P550" s="95">
        <f t="shared" si="38"/>
        <v>0.48335572800000004</v>
      </c>
      <c r="Q550" s="95">
        <f t="shared" si="39"/>
        <v>3.5309021280000001</v>
      </c>
      <c r="R550" s="94" t="s">
        <v>543</v>
      </c>
    </row>
    <row r="551" spans="1:18" x14ac:dyDescent="0.2">
      <c r="A551" s="75" t="s">
        <v>38</v>
      </c>
      <c r="B551" s="75" t="s">
        <v>158</v>
      </c>
      <c r="C551" s="75">
        <v>1600110</v>
      </c>
      <c r="D551" s="75" t="s">
        <v>188</v>
      </c>
      <c r="E551" s="76"/>
      <c r="F551" s="76"/>
      <c r="G551" s="76">
        <v>8</v>
      </c>
      <c r="H551" s="75" t="s">
        <v>168</v>
      </c>
      <c r="I551" s="78">
        <v>5250</v>
      </c>
      <c r="J551" s="78">
        <v>27430.727919119818</v>
      </c>
      <c r="K551" s="78">
        <v>19047.165000000001</v>
      </c>
      <c r="L551" s="78">
        <v>5187.5169999999998</v>
      </c>
      <c r="M551" s="78">
        <v>55816.745769623936</v>
      </c>
      <c r="N551" s="95">
        <f t="shared" si="36"/>
        <v>0</v>
      </c>
      <c r="O551" s="95">
        <f t="shared" si="37"/>
        <v>0</v>
      </c>
      <c r="P551" s="95">
        <f t="shared" si="38"/>
        <v>0.41500135999999999</v>
      </c>
      <c r="Q551" s="95">
        <f t="shared" si="39"/>
        <v>0.41500135999999999</v>
      </c>
      <c r="R551" s="94" t="s">
        <v>543</v>
      </c>
    </row>
    <row r="552" spans="1:18" x14ac:dyDescent="0.2">
      <c r="A552" s="75" t="s">
        <v>38</v>
      </c>
      <c r="B552" s="75" t="s">
        <v>158</v>
      </c>
      <c r="C552" s="75">
        <v>1600821</v>
      </c>
      <c r="D552" s="75" t="s">
        <v>154</v>
      </c>
      <c r="E552" s="76"/>
      <c r="F552" s="76">
        <v>21</v>
      </c>
      <c r="G552" s="76">
        <v>16</v>
      </c>
      <c r="H552" s="75" t="s">
        <v>168</v>
      </c>
      <c r="I552" s="78">
        <v>5250</v>
      </c>
      <c r="J552" s="78">
        <v>27430.727919119818</v>
      </c>
      <c r="K552" s="78">
        <v>19047.165000000001</v>
      </c>
      <c r="L552" s="78">
        <v>6041.9466000000002</v>
      </c>
      <c r="M552" s="78">
        <v>56671.175369623939</v>
      </c>
      <c r="N552" s="95">
        <f t="shared" si="36"/>
        <v>5.7604528630151624</v>
      </c>
      <c r="O552" s="95">
        <f t="shared" si="37"/>
        <v>3.9999046500000004</v>
      </c>
      <c r="P552" s="95">
        <f t="shared" si="38"/>
        <v>0.96671145600000008</v>
      </c>
      <c r="Q552" s="95">
        <f t="shared" si="39"/>
        <v>4.966616106</v>
      </c>
      <c r="R552" s="94" t="s">
        <v>543</v>
      </c>
    </row>
    <row r="553" spans="1:18" x14ac:dyDescent="0.2">
      <c r="A553" s="75" t="s">
        <v>38</v>
      </c>
      <c r="B553" s="75" t="s">
        <v>158</v>
      </c>
      <c r="C553" s="75">
        <v>1600825</v>
      </c>
      <c r="D553" s="75" t="s">
        <v>189</v>
      </c>
      <c r="E553" s="76"/>
      <c r="F553" s="76"/>
      <c r="G553" s="76">
        <v>5</v>
      </c>
      <c r="H553" s="75" t="s">
        <v>168</v>
      </c>
      <c r="I553" s="78">
        <v>5250</v>
      </c>
      <c r="J553" s="78">
        <v>27430.727919119818</v>
      </c>
      <c r="K553" s="78">
        <v>19047.165000000001</v>
      </c>
      <c r="L553" s="78">
        <v>5187.5169999999998</v>
      </c>
      <c r="M553" s="78">
        <v>55816.745769623936</v>
      </c>
      <c r="N553" s="95">
        <f t="shared" si="36"/>
        <v>0</v>
      </c>
      <c r="O553" s="95">
        <f t="shared" si="37"/>
        <v>0</v>
      </c>
      <c r="P553" s="95">
        <f t="shared" si="38"/>
        <v>0.25937585000000002</v>
      </c>
      <c r="Q553" s="95">
        <f t="shared" si="39"/>
        <v>0.25937585000000002</v>
      </c>
      <c r="R553" s="94" t="s">
        <v>543</v>
      </c>
    </row>
    <row r="554" spans="1:18" x14ac:dyDescent="0.2">
      <c r="A554" s="75" t="s">
        <v>38</v>
      </c>
      <c r="B554" s="75" t="s">
        <v>207</v>
      </c>
      <c r="C554" s="75">
        <v>1600520</v>
      </c>
      <c r="D554" s="75" t="s">
        <v>190</v>
      </c>
      <c r="E554" s="76"/>
      <c r="F554" s="76">
        <v>314760</v>
      </c>
      <c r="G554" s="76">
        <v>350688</v>
      </c>
      <c r="H554" s="75" t="s">
        <v>168</v>
      </c>
      <c r="I554" s="78"/>
      <c r="J554" s="78">
        <v>0</v>
      </c>
      <c r="K554" s="78">
        <v>3.5777382250193601</v>
      </c>
      <c r="L554" s="78">
        <v>4.2843681802182321</v>
      </c>
      <c r="M554" s="78">
        <v>10.581703516910569</v>
      </c>
      <c r="N554" s="95">
        <f t="shared" si="36"/>
        <v>0</v>
      </c>
      <c r="O554" s="95">
        <f t="shared" si="37"/>
        <v>11.261288837070937</v>
      </c>
      <c r="P554" s="95">
        <f t="shared" si="38"/>
        <v>15.024765083843715</v>
      </c>
      <c r="Q554" s="95">
        <f t="shared" si="39"/>
        <v>26.286053920914654</v>
      </c>
      <c r="R554" s="94" t="s">
        <v>543</v>
      </c>
    </row>
    <row r="555" spans="1:18" x14ac:dyDescent="0.2">
      <c r="A555" s="75" t="s">
        <v>38</v>
      </c>
      <c r="B555" s="75" t="s">
        <v>158</v>
      </c>
      <c r="C555" s="75">
        <v>1600686</v>
      </c>
      <c r="D555" s="75" t="s">
        <v>191</v>
      </c>
      <c r="E555" s="76">
        <f>F555*1.115/1000</f>
        <v>1.3426829999999999E-2</v>
      </c>
      <c r="F555" s="76">
        <v>12.042</v>
      </c>
      <c r="G555" s="76">
        <v>12.042</v>
      </c>
      <c r="H555" s="75" t="s">
        <v>192</v>
      </c>
      <c r="I555" s="78"/>
      <c r="J555" s="78">
        <v>0</v>
      </c>
      <c r="K555" s="78">
        <v>31834.3321</v>
      </c>
      <c r="L555" s="78">
        <v>10832.961579999999</v>
      </c>
      <c r="M555" s="78">
        <v>78630.99336977565</v>
      </c>
      <c r="N555" s="95">
        <f t="shared" si="36"/>
        <v>0</v>
      </c>
      <c r="O555" s="95">
        <f t="shared" si="37"/>
        <v>3.8334902714819998</v>
      </c>
      <c r="P555" s="95">
        <f t="shared" si="38"/>
        <v>1.3045052334635998</v>
      </c>
      <c r="Q555" s="95">
        <f t="shared" si="39"/>
        <v>5.1379955049456001</v>
      </c>
      <c r="R555" s="94" t="s">
        <v>543</v>
      </c>
    </row>
    <row r="556" spans="1:18" x14ac:dyDescent="0.2">
      <c r="A556" s="75" t="s">
        <v>38</v>
      </c>
      <c r="B556" s="75" t="s">
        <v>158</v>
      </c>
      <c r="C556" s="75">
        <v>1600677</v>
      </c>
      <c r="D556" s="75" t="s">
        <v>193</v>
      </c>
      <c r="E556" s="76">
        <f>F556*0.9/1000</f>
        <v>1.2636E-2</v>
      </c>
      <c r="F556" s="76">
        <v>14.04</v>
      </c>
      <c r="G556" s="76">
        <v>14.04</v>
      </c>
      <c r="H556" s="75" t="s">
        <v>194</v>
      </c>
      <c r="I556" s="78"/>
      <c r="J556" s="78">
        <v>0</v>
      </c>
      <c r="K556" s="78">
        <v>31834.3321</v>
      </c>
      <c r="L556" s="78">
        <v>10832.961579999999</v>
      </c>
      <c r="M556" s="78">
        <v>54722.575496338046</v>
      </c>
      <c r="N556" s="95">
        <f t="shared" si="36"/>
        <v>0</v>
      </c>
      <c r="O556" s="95">
        <f t="shared" si="37"/>
        <v>4.4695402268399995</v>
      </c>
      <c r="P556" s="95">
        <f t="shared" si="38"/>
        <v>1.5209478058319998</v>
      </c>
      <c r="Q556" s="95">
        <f t="shared" si="39"/>
        <v>5.9904880326719994</v>
      </c>
      <c r="R556" s="94" t="s">
        <v>543</v>
      </c>
    </row>
    <row r="557" spans="1:18" x14ac:dyDescent="0.2">
      <c r="A557" s="75" t="s">
        <v>38</v>
      </c>
      <c r="B557" s="75" t="s">
        <v>158</v>
      </c>
      <c r="C557" s="75">
        <v>1600807</v>
      </c>
      <c r="D557" s="75" t="s">
        <v>195</v>
      </c>
      <c r="E557" s="76">
        <f>F557*0.9/1000</f>
        <v>1.8403199999999999E-3</v>
      </c>
      <c r="F557" s="76">
        <v>2.0448</v>
      </c>
      <c r="G557" s="76">
        <v>2.0448</v>
      </c>
      <c r="H557" s="75" t="s">
        <v>194</v>
      </c>
      <c r="I557" s="78"/>
      <c r="J557" s="78"/>
      <c r="K557" s="78">
        <v>34225.846904400001</v>
      </c>
      <c r="L557" s="78">
        <v>10832.961579999999</v>
      </c>
      <c r="M557" s="78">
        <v>57182.467015376453</v>
      </c>
      <c r="N557" s="95">
        <f t="shared" si="36"/>
        <v>0</v>
      </c>
      <c r="O557" s="95">
        <f t="shared" si="37"/>
        <v>0.69985011750117121</v>
      </c>
      <c r="P557" s="95">
        <f t="shared" si="38"/>
        <v>0.22151239838783995</v>
      </c>
      <c r="Q557" s="95">
        <f t="shared" si="39"/>
        <v>0.92136251588901119</v>
      </c>
      <c r="R557" s="94" t="s">
        <v>543</v>
      </c>
    </row>
    <row r="558" spans="1:18" x14ac:dyDescent="0.2">
      <c r="A558" s="75" t="s">
        <v>38</v>
      </c>
      <c r="B558" s="75" t="s">
        <v>158</v>
      </c>
      <c r="C558" s="75">
        <v>1600981</v>
      </c>
      <c r="D558" s="75" t="s">
        <v>196</v>
      </c>
      <c r="E558" s="76">
        <f>F558*1.115/1000</f>
        <v>5.5199190000000007E-3</v>
      </c>
      <c r="F558" s="76">
        <v>4.9506000000000006</v>
      </c>
      <c r="G558" s="76">
        <v>4.9506000000000006</v>
      </c>
      <c r="H558" s="75" t="s">
        <v>194</v>
      </c>
      <c r="I558" s="78"/>
      <c r="J558" s="78">
        <v>0</v>
      </c>
      <c r="K558" s="78">
        <v>35039.874200000006</v>
      </c>
      <c r="L558" s="78">
        <v>19896.495699999999</v>
      </c>
      <c r="M558" s="78">
        <v>78630.99336977565</v>
      </c>
      <c r="N558" s="95">
        <f t="shared" si="36"/>
        <v>0</v>
      </c>
      <c r="O558" s="95">
        <f t="shared" si="37"/>
        <v>1.7346840121452003</v>
      </c>
      <c r="P558" s="95">
        <f t="shared" si="38"/>
        <v>0.98499591612420012</v>
      </c>
      <c r="Q558" s="95">
        <f t="shared" si="39"/>
        <v>2.7196799282694002</v>
      </c>
      <c r="R558" s="94" t="s">
        <v>543</v>
      </c>
    </row>
    <row r="559" spans="1:18" x14ac:dyDescent="0.2">
      <c r="A559" s="75" t="s">
        <v>38</v>
      </c>
      <c r="B559" s="75" t="s">
        <v>158</v>
      </c>
      <c r="C559" s="75">
        <v>1600620</v>
      </c>
      <c r="D559" s="75" t="s">
        <v>197</v>
      </c>
      <c r="E559" s="76">
        <f>F559*0.15/1000</f>
        <v>1.08E-3</v>
      </c>
      <c r="F559" s="76">
        <v>7.2</v>
      </c>
      <c r="G559" s="76">
        <v>7.2</v>
      </c>
      <c r="H559" s="75" t="s">
        <v>198</v>
      </c>
      <c r="I559" s="78"/>
      <c r="J559" s="78">
        <v>0</v>
      </c>
      <c r="K559" s="78">
        <v>94442.009319999997</v>
      </c>
      <c r="L559" s="78">
        <v>279175.68229999999</v>
      </c>
      <c r="M559" s="78">
        <v>396595.11745960917</v>
      </c>
      <c r="N559" s="95">
        <f t="shared" si="36"/>
        <v>0</v>
      </c>
      <c r="O559" s="95">
        <f t="shared" si="37"/>
        <v>6.7998246710400005</v>
      </c>
      <c r="P559" s="95">
        <f t="shared" si="38"/>
        <v>20.100649125599997</v>
      </c>
      <c r="Q559" s="95">
        <f t="shared" si="39"/>
        <v>26.900473796639996</v>
      </c>
      <c r="R559" s="94" t="s">
        <v>543</v>
      </c>
    </row>
    <row r="560" spans="1:18" x14ac:dyDescent="0.2">
      <c r="A560" s="75" t="s">
        <v>38</v>
      </c>
      <c r="B560" s="75" t="s">
        <v>158</v>
      </c>
      <c r="C560" s="75">
        <v>1600847</v>
      </c>
      <c r="D560" s="75" t="s">
        <v>199</v>
      </c>
      <c r="E560" s="76">
        <f>F560*0.1/1000</f>
        <v>8.4888000000000021E-4</v>
      </c>
      <c r="F560" s="76">
        <v>8.4888000000000012</v>
      </c>
      <c r="G560" s="76">
        <v>8.4888000000000012</v>
      </c>
      <c r="H560" s="75" t="s">
        <v>200</v>
      </c>
      <c r="I560" s="78"/>
      <c r="J560" s="78">
        <v>0</v>
      </c>
      <c r="K560" s="78">
        <v>93814.605519999983</v>
      </c>
      <c r="L560" s="78">
        <v>159218.44440000001</v>
      </c>
      <c r="M560" s="78">
        <v>267185.02463041915</v>
      </c>
      <c r="N560" s="95">
        <f t="shared" si="36"/>
        <v>0</v>
      </c>
      <c r="O560" s="95">
        <f t="shared" si="37"/>
        <v>7.9637342333817598</v>
      </c>
      <c r="P560" s="95">
        <f t="shared" si="38"/>
        <v>13.515735308227201</v>
      </c>
      <c r="Q560" s="95">
        <f t="shared" si="39"/>
        <v>21.47946954160896</v>
      </c>
      <c r="R560" s="94" t="s">
        <v>543</v>
      </c>
    </row>
    <row r="561" spans="1:18" x14ac:dyDescent="0.2">
      <c r="A561" s="75" t="s">
        <v>38</v>
      </c>
      <c r="B561" s="75" t="s">
        <v>158</v>
      </c>
      <c r="C561" s="75">
        <v>1600621</v>
      </c>
      <c r="D561" s="75" t="s">
        <v>205</v>
      </c>
      <c r="E561" s="76">
        <f>F561*0.05/1000</f>
        <v>3.0000000000000003E-4</v>
      </c>
      <c r="F561" s="76">
        <v>6</v>
      </c>
      <c r="G561" s="76">
        <v>6</v>
      </c>
      <c r="H561" s="75" t="s">
        <v>194</v>
      </c>
      <c r="I561" s="78"/>
      <c r="J561" s="78">
        <v>0</v>
      </c>
      <c r="K561" s="78">
        <v>94442.009319999997</v>
      </c>
      <c r="L561" s="78">
        <v>144659.52899999998</v>
      </c>
      <c r="M561" s="78">
        <v>297955.75419930019</v>
      </c>
      <c r="N561" s="95">
        <f t="shared" si="36"/>
        <v>0</v>
      </c>
      <c r="O561" s="95">
        <f t="shared" si="37"/>
        <v>5.6665205591999994</v>
      </c>
      <c r="P561" s="95">
        <f t="shared" si="38"/>
        <v>8.6795717399999983</v>
      </c>
      <c r="Q561" s="95">
        <f t="shared" si="39"/>
        <v>14.346092299199999</v>
      </c>
      <c r="R561" s="94" t="s">
        <v>543</v>
      </c>
    </row>
    <row r="562" spans="1:18" x14ac:dyDescent="0.2">
      <c r="A562" s="75" t="s">
        <v>13</v>
      </c>
      <c r="B562" s="75" t="s">
        <v>159</v>
      </c>
      <c r="C562" s="75">
        <v>1600555</v>
      </c>
      <c r="D562" s="75" t="s">
        <v>124</v>
      </c>
      <c r="E562" s="76">
        <v>128</v>
      </c>
      <c r="F562" s="76">
        <v>128</v>
      </c>
      <c r="G562" s="76">
        <v>128</v>
      </c>
      <c r="H562" s="75"/>
      <c r="I562" s="78">
        <v>5250</v>
      </c>
      <c r="J562" s="78">
        <v>40515.931067269281</v>
      </c>
      <c r="K562" s="78">
        <v>18360.094369999999</v>
      </c>
      <c r="L562" s="78">
        <v>34270.658000000003</v>
      </c>
      <c r="M562" s="78">
        <v>114970.42324228735</v>
      </c>
      <c r="N562" s="95">
        <f t="shared" si="36"/>
        <v>51.860391766104676</v>
      </c>
      <c r="O562" s="95">
        <f t="shared" si="37"/>
        <v>23.500920793599999</v>
      </c>
      <c r="P562" s="95">
        <f t="shared" si="38"/>
        <v>43.866442240000005</v>
      </c>
      <c r="Q562" s="95">
        <f t="shared" si="39"/>
        <v>67.3673630336</v>
      </c>
      <c r="R562" s="94" t="s">
        <v>543</v>
      </c>
    </row>
    <row r="563" spans="1:18" x14ac:dyDescent="0.2">
      <c r="A563" s="75" t="s">
        <v>13</v>
      </c>
      <c r="B563" s="75" t="s">
        <v>159</v>
      </c>
      <c r="C563" s="75">
        <v>1600200</v>
      </c>
      <c r="D563" s="75" t="s">
        <v>125</v>
      </c>
      <c r="E563" s="76">
        <v>71</v>
      </c>
      <c r="F563" s="76">
        <v>71</v>
      </c>
      <c r="G563" s="76">
        <v>71</v>
      </c>
      <c r="H563" s="75"/>
      <c r="I563" s="78">
        <v>5250</v>
      </c>
      <c r="J563" s="78">
        <v>40515.931067269281</v>
      </c>
      <c r="K563" s="78">
        <v>18360.094369999999</v>
      </c>
      <c r="L563" s="78">
        <v>16462.692799999997</v>
      </c>
      <c r="M563" s="78">
        <v>111703.35646383473</v>
      </c>
      <c r="N563" s="95">
        <f t="shared" si="36"/>
        <v>28.76631105776119</v>
      </c>
      <c r="O563" s="95">
        <f t="shared" si="37"/>
        <v>13.035667002699999</v>
      </c>
      <c r="P563" s="95">
        <f t="shared" si="38"/>
        <v>11.688511887999999</v>
      </c>
      <c r="Q563" s="95">
        <f t="shared" si="39"/>
        <v>24.724178890699996</v>
      </c>
      <c r="R563" s="94" t="s">
        <v>543</v>
      </c>
    </row>
    <row r="564" spans="1:18" x14ac:dyDescent="0.2">
      <c r="A564" s="75" t="s">
        <v>13</v>
      </c>
      <c r="B564" s="75" t="s">
        <v>156</v>
      </c>
      <c r="C564" s="75">
        <v>1600752</v>
      </c>
      <c r="D564" s="75" t="s">
        <v>108</v>
      </c>
      <c r="E564" s="76">
        <v>16</v>
      </c>
      <c r="F564" s="76">
        <v>0</v>
      </c>
      <c r="G564" s="76">
        <v>16</v>
      </c>
      <c r="H564" s="75"/>
      <c r="I564" s="78">
        <v>5250</v>
      </c>
      <c r="J564" s="78">
        <v>32521.553612115204</v>
      </c>
      <c r="K564" s="78">
        <v>26991.857</v>
      </c>
      <c r="L564" s="78">
        <v>27479.694900000002</v>
      </c>
      <c r="M564" s="78">
        <v>102418.28465902977</v>
      </c>
      <c r="N564" s="95">
        <f t="shared" si="36"/>
        <v>0</v>
      </c>
      <c r="O564" s="95">
        <f t="shared" si="37"/>
        <v>0</v>
      </c>
      <c r="P564" s="95">
        <f t="shared" si="38"/>
        <v>4.3967511840000002</v>
      </c>
      <c r="Q564" s="95">
        <f t="shared" si="39"/>
        <v>4.3967511840000002</v>
      </c>
      <c r="R564" s="94" t="s">
        <v>543</v>
      </c>
    </row>
    <row r="565" spans="1:18" x14ac:dyDescent="0.2">
      <c r="A565" s="75" t="s">
        <v>13</v>
      </c>
      <c r="B565" s="75" t="s">
        <v>158</v>
      </c>
      <c r="C565" s="75">
        <v>1600859</v>
      </c>
      <c r="D565" s="75" t="s">
        <v>213</v>
      </c>
      <c r="E565" s="76">
        <v>62</v>
      </c>
      <c r="F565" s="76">
        <v>62</v>
      </c>
      <c r="G565" s="76">
        <v>62</v>
      </c>
      <c r="H565" s="75"/>
      <c r="I565" s="78">
        <v>5250</v>
      </c>
      <c r="J565" s="78">
        <v>36211.511594820338</v>
      </c>
      <c r="K565" s="78">
        <v>10729.349850000001</v>
      </c>
      <c r="L565" s="78">
        <v>6576.0447000000004</v>
      </c>
      <c r="M565" s="78">
        <v>58015.454311124311</v>
      </c>
      <c r="N565" s="95">
        <f t="shared" si="36"/>
        <v>22.451137188788611</v>
      </c>
      <c r="O565" s="95">
        <f t="shared" si="37"/>
        <v>6.6521969070000004</v>
      </c>
      <c r="P565" s="95">
        <f t="shared" si="38"/>
        <v>4.0771477140000005</v>
      </c>
      <c r="Q565" s="95">
        <f t="shared" si="39"/>
        <v>10.729344621000001</v>
      </c>
      <c r="R565" s="94" t="s">
        <v>543</v>
      </c>
    </row>
    <row r="566" spans="1:18" x14ac:dyDescent="0.2">
      <c r="A566" s="75" t="s">
        <v>13</v>
      </c>
      <c r="B566" s="75" t="s">
        <v>158</v>
      </c>
      <c r="C566" s="75">
        <v>1600924</v>
      </c>
      <c r="D566" s="75" t="s">
        <v>113</v>
      </c>
      <c r="E566" s="76">
        <v>49</v>
      </c>
      <c r="F566" s="76">
        <v>49</v>
      </c>
      <c r="G566" s="76">
        <v>49</v>
      </c>
      <c r="H566" s="75"/>
      <c r="I566" s="78">
        <v>5250</v>
      </c>
      <c r="J566" s="78">
        <v>33037.897456417064</v>
      </c>
      <c r="K566" s="78">
        <v>12428.3577</v>
      </c>
      <c r="L566" s="78">
        <v>6289.4019000000008</v>
      </c>
      <c r="M566" s="78">
        <v>56512.154184220948</v>
      </c>
      <c r="N566" s="95">
        <f t="shared" si="36"/>
        <v>16.188569753644362</v>
      </c>
      <c r="O566" s="95">
        <f t="shared" si="37"/>
        <v>6.0898952730000007</v>
      </c>
      <c r="P566" s="95">
        <f t="shared" si="38"/>
        <v>3.0818069310000005</v>
      </c>
      <c r="Q566" s="95">
        <f t="shared" si="39"/>
        <v>9.1717022040000007</v>
      </c>
      <c r="R566" s="94" t="s">
        <v>543</v>
      </c>
    </row>
    <row r="567" spans="1:18" x14ac:dyDescent="0.2">
      <c r="A567" s="75" t="s">
        <v>13</v>
      </c>
      <c r="B567" s="75" t="s">
        <v>158</v>
      </c>
      <c r="C567" s="75">
        <v>1600696</v>
      </c>
      <c r="D567" s="75" t="s">
        <v>214</v>
      </c>
      <c r="E567" s="76">
        <v>35</v>
      </c>
      <c r="F567" s="76">
        <v>35</v>
      </c>
      <c r="G567" s="76">
        <v>35</v>
      </c>
      <c r="H567" s="75"/>
      <c r="I567" s="78">
        <v>5250</v>
      </c>
      <c r="J567" s="78">
        <v>30961.511594820338</v>
      </c>
      <c r="K567" s="78">
        <v>15979.349850000001</v>
      </c>
      <c r="L567" s="78">
        <v>8518.3273000000008</v>
      </c>
      <c r="M567" s="78">
        <v>59957.73691112431</v>
      </c>
      <c r="N567" s="95">
        <f t="shared" si="36"/>
        <v>10.836529058187118</v>
      </c>
      <c r="O567" s="95">
        <f t="shared" si="37"/>
        <v>5.5927724475000007</v>
      </c>
      <c r="P567" s="95">
        <f t="shared" si="38"/>
        <v>2.9814145550000002</v>
      </c>
      <c r="Q567" s="95">
        <f t="shared" si="39"/>
        <v>8.5741870025000004</v>
      </c>
      <c r="R567" s="94" t="s">
        <v>543</v>
      </c>
    </row>
    <row r="568" spans="1:18" x14ac:dyDescent="0.2">
      <c r="A568" s="75" t="s">
        <v>13</v>
      </c>
      <c r="B568" s="75" t="s">
        <v>158</v>
      </c>
      <c r="C568" s="75">
        <v>1600768</v>
      </c>
      <c r="D568" s="75" t="s">
        <v>174</v>
      </c>
      <c r="E568" s="76">
        <v>10</v>
      </c>
      <c r="F568" s="76">
        <v>10</v>
      </c>
      <c r="G568" s="76">
        <v>10</v>
      </c>
      <c r="H568" s="75"/>
      <c r="I568" s="78">
        <v>5250</v>
      </c>
      <c r="J568" s="78">
        <v>30961.511594820338</v>
      </c>
      <c r="K568" s="78">
        <v>15979.349850000001</v>
      </c>
      <c r="L568" s="78">
        <v>6501.3526000000011</v>
      </c>
      <c r="M568" s="78">
        <v>58032.178379207195</v>
      </c>
      <c r="N568" s="95">
        <f t="shared" si="36"/>
        <v>3.0961511594820337</v>
      </c>
      <c r="O568" s="95">
        <f t="shared" si="37"/>
        <v>1.5979349850000002</v>
      </c>
      <c r="P568" s="95">
        <f t="shared" si="38"/>
        <v>0.6501352600000001</v>
      </c>
      <c r="Q568" s="95">
        <f t="shared" si="39"/>
        <v>2.2480702450000001</v>
      </c>
      <c r="R568" s="94" t="s">
        <v>543</v>
      </c>
    </row>
    <row r="569" spans="1:18" x14ac:dyDescent="0.2">
      <c r="A569" s="75" t="s">
        <v>13</v>
      </c>
      <c r="B569" s="75" t="s">
        <v>158</v>
      </c>
      <c r="C569" s="75">
        <v>1600856</v>
      </c>
      <c r="D569" s="75" t="s">
        <v>175</v>
      </c>
      <c r="E569" s="76">
        <v>45</v>
      </c>
      <c r="F569" s="76">
        <v>45</v>
      </c>
      <c r="G569" s="76">
        <v>45</v>
      </c>
      <c r="H569" s="75"/>
      <c r="I569" s="78">
        <v>5250</v>
      </c>
      <c r="J569" s="78">
        <v>36211.511594820338</v>
      </c>
      <c r="K569" s="78">
        <v>10729.349850000001</v>
      </c>
      <c r="L569" s="78">
        <v>6576.0447000000004</v>
      </c>
      <c r="M569" s="78">
        <v>58015.454311124311</v>
      </c>
      <c r="N569" s="95">
        <f t="shared" si="36"/>
        <v>16.295180217669152</v>
      </c>
      <c r="O569" s="95">
        <f t="shared" si="37"/>
        <v>4.8282074325000002</v>
      </c>
      <c r="P569" s="95">
        <f t="shared" si="38"/>
        <v>2.9592201150000004</v>
      </c>
      <c r="Q569" s="95">
        <f t="shared" si="39"/>
        <v>7.7874275475000001</v>
      </c>
      <c r="R569" s="94" t="s">
        <v>543</v>
      </c>
    </row>
    <row r="570" spans="1:18" x14ac:dyDescent="0.2">
      <c r="A570" s="75" t="s">
        <v>13</v>
      </c>
      <c r="B570" s="75" t="s">
        <v>158</v>
      </c>
      <c r="C570" s="75">
        <v>1600866</v>
      </c>
      <c r="D570" s="75" t="s">
        <v>116</v>
      </c>
      <c r="E570" s="76">
        <v>30</v>
      </c>
      <c r="F570" s="76">
        <v>30</v>
      </c>
      <c r="G570" s="76">
        <v>30</v>
      </c>
      <c r="H570" s="75"/>
      <c r="I570" s="78">
        <v>5250</v>
      </c>
      <c r="J570" s="78">
        <v>30961.511594820338</v>
      </c>
      <c r="K570" s="78">
        <v>15979.349850000001</v>
      </c>
      <c r="L570" s="78">
        <v>7718.6300900000006</v>
      </c>
      <c r="M570" s="78">
        <v>59371.735480355928</v>
      </c>
      <c r="N570" s="95">
        <f t="shared" si="36"/>
        <v>9.288453478446101</v>
      </c>
      <c r="O570" s="95">
        <f t="shared" si="37"/>
        <v>4.7938049550000006</v>
      </c>
      <c r="P570" s="95">
        <f t="shared" si="38"/>
        <v>2.3155890270000001</v>
      </c>
      <c r="Q570" s="95">
        <f t="shared" si="39"/>
        <v>7.1093939820000003</v>
      </c>
      <c r="R570" s="94" t="s">
        <v>543</v>
      </c>
    </row>
    <row r="571" spans="1:18" x14ac:dyDescent="0.2">
      <c r="A571" s="75" t="s">
        <v>13</v>
      </c>
      <c r="B571" s="75" t="s">
        <v>158</v>
      </c>
      <c r="C571" s="75">
        <v>1600804</v>
      </c>
      <c r="D571" s="75" t="s">
        <v>215</v>
      </c>
      <c r="E571" s="76">
        <v>35</v>
      </c>
      <c r="F571" s="76">
        <v>35</v>
      </c>
      <c r="G571" s="76">
        <v>35</v>
      </c>
      <c r="H571" s="75"/>
      <c r="I571" s="78">
        <v>5250</v>
      </c>
      <c r="J571" s="78">
        <v>33869.969873578448</v>
      </c>
      <c r="K571" s="78">
        <v>17463.15035</v>
      </c>
      <c r="L571" s="78">
        <v>6501.1516000000001</v>
      </c>
      <c r="M571" s="78">
        <v>57937.953255079774</v>
      </c>
      <c r="N571" s="95">
        <f t="shared" si="36"/>
        <v>11.854489455752457</v>
      </c>
      <c r="O571" s="95">
        <f t="shared" si="37"/>
        <v>6.1121026225000001</v>
      </c>
      <c r="P571" s="95">
        <f t="shared" si="38"/>
        <v>2.2754030599999999</v>
      </c>
      <c r="Q571" s="95">
        <f t="shared" si="39"/>
        <v>8.3875056825000005</v>
      </c>
      <c r="R571" s="94" t="s">
        <v>543</v>
      </c>
    </row>
    <row r="572" spans="1:18" x14ac:dyDescent="0.2">
      <c r="A572" s="75" t="s">
        <v>13</v>
      </c>
      <c r="B572" s="75" t="s">
        <v>158</v>
      </c>
      <c r="C572" s="75">
        <v>1600862</v>
      </c>
      <c r="D572" s="75" t="s">
        <v>178</v>
      </c>
      <c r="E572" s="76">
        <v>12</v>
      </c>
      <c r="F572" s="76">
        <v>12</v>
      </c>
      <c r="G572" s="76">
        <v>12</v>
      </c>
      <c r="H572" s="75"/>
      <c r="I572" s="78">
        <v>5250</v>
      </c>
      <c r="J572" s="78">
        <v>33869.969873578448</v>
      </c>
      <c r="K572" s="78">
        <v>17463.15035</v>
      </c>
      <c r="L572" s="78">
        <v>6501.1516000000001</v>
      </c>
      <c r="M572" s="78">
        <v>57937.953255079774</v>
      </c>
      <c r="N572" s="95">
        <f t="shared" si="36"/>
        <v>4.064396384829414</v>
      </c>
      <c r="O572" s="95">
        <f t="shared" si="37"/>
        <v>2.0955780420000001</v>
      </c>
      <c r="P572" s="95">
        <f t="shared" si="38"/>
        <v>0.78013819200000001</v>
      </c>
      <c r="Q572" s="95">
        <f t="shared" si="39"/>
        <v>2.875716234</v>
      </c>
      <c r="R572" s="94" t="s">
        <v>543</v>
      </c>
    </row>
    <row r="573" spans="1:18" x14ac:dyDescent="0.2">
      <c r="A573" s="75" t="s">
        <v>13</v>
      </c>
      <c r="B573" s="75" t="s">
        <v>158</v>
      </c>
      <c r="C573" s="75">
        <v>1600868</v>
      </c>
      <c r="D573" s="75" t="s">
        <v>180</v>
      </c>
      <c r="E573" s="76">
        <v>20</v>
      </c>
      <c r="F573" s="76">
        <v>20</v>
      </c>
      <c r="G573" s="76">
        <v>20</v>
      </c>
      <c r="H573" s="75"/>
      <c r="I573" s="78">
        <v>5250</v>
      </c>
      <c r="J573" s="78">
        <v>33869.969873578448</v>
      </c>
      <c r="K573" s="78">
        <v>17463.15035</v>
      </c>
      <c r="L573" s="78">
        <v>7718.6300900000006</v>
      </c>
      <c r="M573" s="78">
        <v>59371.735480355928</v>
      </c>
      <c r="N573" s="95">
        <f t="shared" si="36"/>
        <v>6.7739939747156903</v>
      </c>
      <c r="O573" s="95">
        <f t="shared" si="37"/>
        <v>3.4926300699999997</v>
      </c>
      <c r="P573" s="95">
        <f t="shared" si="38"/>
        <v>1.5437260180000001</v>
      </c>
      <c r="Q573" s="95">
        <f t="shared" si="39"/>
        <v>5.0363560879999998</v>
      </c>
      <c r="R573" s="94" t="s">
        <v>543</v>
      </c>
    </row>
    <row r="574" spans="1:18" x14ac:dyDescent="0.2">
      <c r="A574" s="75" t="s">
        <v>13</v>
      </c>
      <c r="B574" s="75" t="s">
        <v>158</v>
      </c>
      <c r="C574" s="75">
        <v>1600088</v>
      </c>
      <c r="D574" s="75" t="s">
        <v>216</v>
      </c>
      <c r="E574" s="76">
        <v>10</v>
      </c>
      <c r="F574" s="76">
        <v>10</v>
      </c>
      <c r="G574" s="76">
        <v>10</v>
      </c>
      <c r="H574" s="75"/>
      <c r="I574" s="78">
        <v>5250</v>
      </c>
      <c r="J574" s="78">
        <v>31125.242258869752</v>
      </c>
      <c r="K574" s="78">
        <v>16795.526399999999</v>
      </c>
      <c r="L574" s="78">
        <v>15098.1196</v>
      </c>
      <c r="M574" s="78">
        <v>68467.724398582301</v>
      </c>
      <c r="N574" s="95">
        <f t="shared" si="36"/>
        <v>3.112524225886975</v>
      </c>
      <c r="O574" s="95">
        <f t="shared" si="37"/>
        <v>1.67955264</v>
      </c>
      <c r="P574" s="95">
        <f t="shared" si="38"/>
        <v>1.50981196</v>
      </c>
      <c r="Q574" s="95">
        <f t="shared" si="39"/>
        <v>3.1893646000000002</v>
      </c>
      <c r="R574" s="94" t="s">
        <v>543</v>
      </c>
    </row>
    <row r="575" spans="1:18" x14ac:dyDescent="0.2">
      <c r="A575" s="75" t="s">
        <v>13</v>
      </c>
      <c r="B575" s="75" t="s">
        <v>158</v>
      </c>
      <c r="C575" s="75">
        <v>1600816</v>
      </c>
      <c r="D575" s="75" t="s">
        <v>185</v>
      </c>
      <c r="E575" s="76">
        <v>12</v>
      </c>
      <c r="F575" s="76">
        <v>12</v>
      </c>
      <c r="G575" s="76">
        <v>12</v>
      </c>
      <c r="H575" s="75"/>
      <c r="I575" s="78">
        <v>5250</v>
      </c>
      <c r="J575" s="78">
        <v>33418.600411146661</v>
      </c>
      <c r="K575" s="78">
        <v>15509.18</v>
      </c>
      <c r="L575" s="78">
        <v>21464.599399999999</v>
      </c>
      <c r="M575" s="78">
        <v>75625.687829381641</v>
      </c>
      <c r="N575" s="95">
        <f t="shared" si="36"/>
        <v>4.0102320493375991</v>
      </c>
      <c r="O575" s="95">
        <f t="shared" si="37"/>
        <v>1.8611016</v>
      </c>
      <c r="P575" s="95">
        <f t="shared" si="38"/>
        <v>2.5757519279999999</v>
      </c>
      <c r="Q575" s="95">
        <f t="shared" si="39"/>
        <v>4.4368535280000003</v>
      </c>
      <c r="R575" s="94" t="s">
        <v>543</v>
      </c>
    </row>
    <row r="576" spans="1:18" x14ac:dyDescent="0.2">
      <c r="A576" s="75" t="s">
        <v>13</v>
      </c>
      <c r="B576" s="75" t="s">
        <v>158</v>
      </c>
      <c r="C576" s="75">
        <v>1600836</v>
      </c>
      <c r="D576" s="75" t="s">
        <v>120</v>
      </c>
      <c r="E576" s="76">
        <v>22</v>
      </c>
      <c r="F576" s="76">
        <v>22</v>
      </c>
      <c r="G576" s="76">
        <v>22</v>
      </c>
      <c r="H576" s="75"/>
      <c r="I576" s="78">
        <v>5250</v>
      </c>
      <c r="J576" s="78">
        <v>33418.600411146661</v>
      </c>
      <c r="K576" s="78">
        <v>15509.18</v>
      </c>
      <c r="L576" s="78">
        <v>17790.372599999999</v>
      </c>
      <c r="M576" s="78">
        <v>71860.044861298753</v>
      </c>
      <c r="N576" s="95">
        <f t="shared" si="36"/>
        <v>7.352092090452266</v>
      </c>
      <c r="O576" s="95">
        <f t="shared" si="37"/>
        <v>3.4120196000000003</v>
      </c>
      <c r="P576" s="95">
        <f t="shared" si="38"/>
        <v>3.913881972</v>
      </c>
      <c r="Q576" s="95">
        <f t="shared" si="39"/>
        <v>7.3259015720000003</v>
      </c>
      <c r="R576" s="94" t="s">
        <v>543</v>
      </c>
    </row>
    <row r="577" spans="1:18" x14ac:dyDescent="0.2">
      <c r="A577" s="75" t="s">
        <v>13</v>
      </c>
      <c r="B577" s="75" t="s">
        <v>158</v>
      </c>
      <c r="C577" s="75">
        <v>1600578</v>
      </c>
      <c r="D577" s="75" t="s">
        <v>153</v>
      </c>
      <c r="E577" s="76">
        <v>5</v>
      </c>
      <c r="F577" s="76">
        <v>5</v>
      </c>
      <c r="G577" s="76">
        <v>5</v>
      </c>
      <c r="H577" s="75"/>
      <c r="I577" s="78">
        <v>5250</v>
      </c>
      <c r="J577" s="78">
        <v>27430.727919119818</v>
      </c>
      <c r="K577" s="78">
        <v>19047.165000000001</v>
      </c>
      <c r="L577" s="78">
        <v>6041.9466000000002</v>
      </c>
      <c r="M577" s="78">
        <v>56671.175369623939</v>
      </c>
      <c r="N577" s="95">
        <f t="shared" si="36"/>
        <v>1.371536395955991</v>
      </c>
      <c r="O577" s="95">
        <f t="shared" si="37"/>
        <v>0.95235825000000007</v>
      </c>
      <c r="P577" s="95">
        <f t="shared" si="38"/>
        <v>0.30209733</v>
      </c>
      <c r="Q577" s="95">
        <f t="shared" si="39"/>
        <v>1.2544555800000001</v>
      </c>
      <c r="R577" s="94" t="s">
        <v>543</v>
      </c>
    </row>
    <row r="578" spans="1:18" x14ac:dyDescent="0.2">
      <c r="A578" s="75" t="s">
        <v>13</v>
      </c>
      <c r="B578" s="75" t="s">
        <v>158</v>
      </c>
      <c r="C578" s="75">
        <v>1600821</v>
      </c>
      <c r="D578" s="75" t="s">
        <v>154</v>
      </c>
      <c r="E578" s="76">
        <v>6</v>
      </c>
      <c r="F578" s="76">
        <v>6</v>
      </c>
      <c r="G578" s="76">
        <v>6</v>
      </c>
      <c r="H578" s="75"/>
      <c r="I578" s="78">
        <v>5250</v>
      </c>
      <c r="J578" s="78">
        <v>27430.727919119818</v>
      </c>
      <c r="K578" s="78">
        <v>19047.165000000001</v>
      </c>
      <c r="L578" s="78">
        <v>6041.9466000000002</v>
      </c>
      <c r="M578" s="78">
        <v>56671.175369623939</v>
      </c>
      <c r="N578" s="95">
        <f t="shared" si="36"/>
        <v>1.645843675147189</v>
      </c>
      <c r="O578" s="95">
        <f t="shared" si="37"/>
        <v>1.1428299</v>
      </c>
      <c r="P578" s="95">
        <f t="shared" si="38"/>
        <v>0.36251679600000003</v>
      </c>
      <c r="Q578" s="95">
        <f t="shared" si="39"/>
        <v>1.5053466959999999</v>
      </c>
      <c r="R578" s="94" t="s">
        <v>543</v>
      </c>
    </row>
    <row r="579" spans="1:18" x14ac:dyDescent="0.2">
      <c r="A579" s="75" t="s">
        <v>13</v>
      </c>
      <c r="B579" s="75" t="s">
        <v>158</v>
      </c>
      <c r="C579" s="75">
        <v>1600825</v>
      </c>
      <c r="D579" s="75" t="s">
        <v>189</v>
      </c>
      <c r="E579" s="76">
        <v>5</v>
      </c>
      <c r="F579" s="76">
        <v>5</v>
      </c>
      <c r="G579" s="76">
        <v>5</v>
      </c>
      <c r="H579" s="75"/>
      <c r="I579" s="78">
        <v>5250</v>
      </c>
      <c r="J579" s="78">
        <v>27430.727919119818</v>
      </c>
      <c r="K579" s="78">
        <v>19047.165000000001</v>
      </c>
      <c r="L579" s="78">
        <v>5187.5169999999998</v>
      </c>
      <c r="M579" s="78">
        <v>55816.745769623936</v>
      </c>
      <c r="N579" s="95">
        <f t="shared" si="36"/>
        <v>1.371536395955991</v>
      </c>
      <c r="O579" s="95">
        <f t="shared" si="37"/>
        <v>0.95235825000000007</v>
      </c>
      <c r="P579" s="95">
        <f t="shared" si="38"/>
        <v>0.25937585000000002</v>
      </c>
      <c r="Q579" s="95">
        <f t="shared" si="39"/>
        <v>1.2117341000000001</v>
      </c>
      <c r="R579" s="94" t="s">
        <v>543</v>
      </c>
    </row>
    <row r="580" spans="1:18" x14ac:dyDescent="0.2">
      <c r="A580" s="75" t="s">
        <v>13</v>
      </c>
      <c r="B580" s="75" t="s">
        <v>207</v>
      </c>
      <c r="C580" s="75" t="s">
        <v>143</v>
      </c>
      <c r="D580" s="75" t="s">
        <v>217</v>
      </c>
      <c r="E580" s="76">
        <v>100000</v>
      </c>
      <c r="F580" s="76">
        <v>0</v>
      </c>
      <c r="G580" s="76">
        <v>100000</v>
      </c>
      <c r="H580" s="75"/>
      <c r="I580" s="174"/>
      <c r="J580" s="78">
        <v>0</v>
      </c>
      <c r="K580" s="78">
        <v>3.5777382250193601</v>
      </c>
      <c r="L580" s="78">
        <v>4.2843681802182321</v>
      </c>
      <c r="M580" s="78">
        <v>10.581703516910569</v>
      </c>
      <c r="N580" s="95">
        <f t="shared" si="36"/>
        <v>0</v>
      </c>
      <c r="O580" s="95">
        <f t="shared" si="37"/>
        <v>0</v>
      </c>
      <c r="P580" s="95">
        <f t="shared" si="38"/>
        <v>4.2843681802182321</v>
      </c>
      <c r="Q580" s="95">
        <f t="shared" si="39"/>
        <v>4.2843681802182321</v>
      </c>
      <c r="R580" s="94" t="s">
        <v>543</v>
      </c>
    </row>
    <row r="581" spans="1:18" x14ac:dyDescent="0.2">
      <c r="A581" s="75" t="s">
        <v>13</v>
      </c>
      <c r="B581" s="75" t="s">
        <v>158</v>
      </c>
      <c r="C581" s="75">
        <v>1600560</v>
      </c>
      <c r="D581" s="75" t="s">
        <v>218</v>
      </c>
      <c r="E581" s="76">
        <v>3.9420000000000002</v>
      </c>
      <c r="F581" s="76">
        <v>3.9420000000000002</v>
      </c>
      <c r="G581" s="76">
        <v>3.9420000000000002</v>
      </c>
      <c r="H581" s="75"/>
      <c r="I581" s="174"/>
      <c r="J581" s="78">
        <v>0</v>
      </c>
      <c r="K581" s="78">
        <v>31834.3321</v>
      </c>
      <c r="L581" s="78">
        <v>37380.833999999995</v>
      </c>
      <c r="M581" s="78">
        <v>81336.623294367208</v>
      </c>
      <c r="N581" s="95">
        <f t="shared" si="36"/>
        <v>0</v>
      </c>
      <c r="O581" s="95">
        <f t="shared" si="37"/>
        <v>1.2549093713820001</v>
      </c>
      <c r="P581" s="95">
        <f t="shared" si="38"/>
        <v>1.4735524762799999</v>
      </c>
      <c r="Q581" s="95">
        <f t="shared" si="39"/>
        <v>2.728461847662</v>
      </c>
      <c r="R581" s="94" t="s">
        <v>543</v>
      </c>
    </row>
    <row r="582" spans="1:18" x14ac:dyDescent="0.2">
      <c r="A582" s="75" t="s">
        <v>13</v>
      </c>
      <c r="B582" s="75" t="s">
        <v>158</v>
      </c>
      <c r="C582" s="75">
        <v>1600686</v>
      </c>
      <c r="D582" s="75" t="s">
        <v>191</v>
      </c>
      <c r="E582" s="76">
        <v>14.048999999999999</v>
      </c>
      <c r="F582" s="76">
        <v>14.048999999999999</v>
      </c>
      <c r="G582" s="76">
        <v>14.048999999999999</v>
      </c>
      <c r="H582" s="75"/>
      <c r="I582" s="174"/>
      <c r="J582" s="78">
        <v>0</v>
      </c>
      <c r="K582" s="78">
        <v>31834.3321</v>
      </c>
      <c r="L582" s="78">
        <v>10832.961579999999</v>
      </c>
      <c r="M582" s="78">
        <v>78630.99336977565</v>
      </c>
      <c r="N582" s="95">
        <f t="shared" si="36"/>
        <v>0</v>
      </c>
      <c r="O582" s="95">
        <f t="shared" si="37"/>
        <v>4.4724053167289997</v>
      </c>
      <c r="P582" s="95">
        <f t="shared" si="38"/>
        <v>1.5219227723741997</v>
      </c>
      <c r="Q582" s="95">
        <f t="shared" si="39"/>
        <v>5.9943280891031989</v>
      </c>
      <c r="R582" s="94" t="s">
        <v>543</v>
      </c>
    </row>
    <row r="583" spans="1:18" x14ac:dyDescent="0.2">
      <c r="A583" s="75" t="s">
        <v>13</v>
      </c>
      <c r="B583" s="75" t="s">
        <v>158</v>
      </c>
      <c r="C583" s="75">
        <v>1600805</v>
      </c>
      <c r="D583" s="75" t="s">
        <v>219</v>
      </c>
      <c r="E583" s="76">
        <v>2.3435999999999999</v>
      </c>
      <c r="F583" s="76">
        <v>2.3435999999999999</v>
      </c>
      <c r="G583" s="76">
        <v>2.3435999999999999</v>
      </c>
      <c r="H583" s="75"/>
      <c r="I583" s="174"/>
      <c r="J583" s="78"/>
      <c r="K583" s="78">
        <v>34225.846904400001</v>
      </c>
      <c r="L583" s="78">
        <v>37380.833999999995</v>
      </c>
      <c r="M583" s="78">
        <v>83729.79446382662</v>
      </c>
      <c r="N583" s="95">
        <f t="shared" si="36"/>
        <v>0</v>
      </c>
      <c r="O583" s="95">
        <f t="shared" si="37"/>
        <v>0.80211694805151845</v>
      </c>
      <c r="P583" s="95">
        <f t="shared" si="38"/>
        <v>0.87605722562399979</v>
      </c>
      <c r="Q583" s="95">
        <f t="shared" si="39"/>
        <v>1.6781741736755182</v>
      </c>
      <c r="R583" s="94" t="s">
        <v>543</v>
      </c>
    </row>
    <row r="584" spans="1:18" x14ac:dyDescent="0.2">
      <c r="A584" s="75" t="s">
        <v>13</v>
      </c>
      <c r="B584" s="75" t="s">
        <v>158</v>
      </c>
      <c r="C584" s="75">
        <v>1600806</v>
      </c>
      <c r="D584" s="75" t="s">
        <v>220</v>
      </c>
      <c r="E584" s="76">
        <v>4.1669400000000003</v>
      </c>
      <c r="F584" s="76">
        <v>4.1669400000000003</v>
      </c>
      <c r="G584" s="76">
        <v>4.1669400000000003</v>
      </c>
      <c r="H584" s="75"/>
      <c r="I584" s="174"/>
      <c r="J584" s="78"/>
      <c r="K584" s="78">
        <v>34225.846904400001</v>
      </c>
      <c r="L584" s="78">
        <v>13463.2637</v>
      </c>
      <c r="M584" s="78">
        <v>59722.874502061393</v>
      </c>
      <c r="N584" s="95">
        <f t="shared" si="36"/>
        <v>0</v>
      </c>
      <c r="O584" s="95">
        <f t="shared" si="37"/>
        <v>1.4261705049982056</v>
      </c>
      <c r="P584" s="95">
        <f t="shared" si="38"/>
        <v>0.56100612042078002</v>
      </c>
      <c r="Q584" s="95">
        <f t="shared" si="39"/>
        <v>1.9871766254189858</v>
      </c>
      <c r="R584" s="94" t="s">
        <v>543</v>
      </c>
    </row>
    <row r="585" spans="1:18" x14ac:dyDescent="0.2">
      <c r="A585" s="75" t="s">
        <v>13</v>
      </c>
      <c r="B585" s="75" t="s">
        <v>158</v>
      </c>
      <c r="C585" s="75">
        <v>1600620</v>
      </c>
      <c r="D585" s="75" t="s">
        <v>197</v>
      </c>
      <c r="E585" s="76">
        <v>0.8478</v>
      </c>
      <c r="F585" s="76">
        <v>0.8478</v>
      </c>
      <c r="G585" s="76">
        <v>0.8478</v>
      </c>
      <c r="H585" s="75"/>
      <c r="I585" s="174"/>
      <c r="J585" s="78">
        <v>0</v>
      </c>
      <c r="K585" s="78">
        <v>94442.009319999997</v>
      </c>
      <c r="L585" s="78">
        <v>279175.68229999999</v>
      </c>
      <c r="M585" s="78">
        <v>396595.11745960917</v>
      </c>
      <c r="N585" s="95">
        <f t="shared" si="36"/>
        <v>0</v>
      </c>
      <c r="O585" s="95">
        <f t="shared" si="37"/>
        <v>0.80067935501496001</v>
      </c>
      <c r="P585" s="95">
        <f t="shared" si="38"/>
        <v>2.3668514345394001</v>
      </c>
      <c r="Q585" s="95">
        <f t="shared" si="39"/>
        <v>3.1675307895543598</v>
      </c>
      <c r="R585" s="94" t="s">
        <v>543</v>
      </c>
    </row>
    <row r="586" spans="1:18" x14ac:dyDescent="0.2">
      <c r="A586" s="75" t="s">
        <v>12</v>
      </c>
      <c r="B586" s="75" t="s">
        <v>159</v>
      </c>
      <c r="C586" s="75">
        <v>1600555</v>
      </c>
      <c r="D586" s="75" t="s">
        <v>124</v>
      </c>
      <c r="E586" s="76"/>
      <c r="F586" s="76">
        <v>108</v>
      </c>
      <c r="G586" s="76">
        <v>92</v>
      </c>
      <c r="H586" s="75"/>
      <c r="I586" s="78">
        <v>5250</v>
      </c>
      <c r="J586" s="78">
        <v>40515.931067269281</v>
      </c>
      <c r="K586" s="78">
        <v>18360.094369999999</v>
      </c>
      <c r="L586" s="78">
        <v>34270.658000000003</v>
      </c>
      <c r="M586" s="78">
        <v>114970.42324228735</v>
      </c>
      <c r="N586" s="95">
        <f t="shared" si="36"/>
        <v>43.757205552650824</v>
      </c>
      <c r="O586" s="95">
        <f t="shared" si="37"/>
        <v>19.8289019196</v>
      </c>
      <c r="P586" s="95">
        <f t="shared" si="38"/>
        <v>31.529005360000003</v>
      </c>
      <c r="Q586" s="95">
        <f t="shared" si="39"/>
        <v>51.357907279599999</v>
      </c>
      <c r="R586" s="94" t="s">
        <v>543</v>
      </c>
    </row>
    <row r="587" spans="1:18" x14ac:dyDescent="0.2">
      <c r="A587" s="75" t="s">
        <v>12</v>
      </c>
      <c r="B587" s="75" t="s">
        <v>159</v>
      </c>
      <c r="C587" s="75">
        <v>1600200</v>
      </c>
      <c r="D587" s="75" t="s">
        <v>125</v>
      </c>
      <c r="E587" s="76"/>
      <c r="F587" s="76">
        <v>78</v>
      </c>
      <c r="G587" s="76">
        <v>140</v>
      </c>
      <c r="H587" s="75"/>
      <c r="I587" s="78">
        <v>5250</v>
      </c>
      <c r="J587" s="78">
        <v>40515.931067269281</v>
      </c>
      <c r="K587" s="78">
        <v>18360.094369999999</v>
      </c>
      <c r="L587" s="78">
        <v>16462.692799999997</v>
      </c>
      <c r="M587" s="78">
        <v>111703.35646383473</v>
      </c>
      <c r="N587" s="95">
        <f t="shared" si="36"/>
        <v>31.602426232470041</v>
      </c>
      <c r="O587" s="95">
        <f t="shared" si="37"/>
        <v>14.320873608599999</v>
      </c>
      <c r="P587" s="95">
        <f t="shared" si="38"/>
        <v>23.047769919999997</v>
      </c>
      <c r="Q587" s="95">
        <f t="shared" si="39"/>
        <v>37.368643528599996</v>
      </c>
      <c r="R587" s="94" t="s">
        <v>543</v>
      </c>
    </row>
    <row r="588" spans="1:18" x14ac:dyDescent="0.2">
      <c r="A588" s="75" t="s">
        <v>12</v>
      </c>
      <c r="B588" s="75" t="s">
        <v>159</v>
      </c>
      <c r="C588" s="75">
        <v>1600202</v>
      </c>
      <c r="D588" s="75" t="s">
        <v>221</v>
      </c>
      <c r="E588" s="76"/>
      <c r="F588" s="76">
        <v>168</v>
      </c>
      <c r="G588" s="76">
        <v>0</v>
      </c>
      <c r="H588" s="75"/>
      <c r="I588" s="78">
        <v>5250</v>
      </c>
      <c r="J588" s="78">
        <v>40515.931067269281</v>
      </c>
      <c r="K588" s="78">
        <v>18360.094369999999</v>
      </c>
      <c r="L588" s="78">
        <v>13698.5031</v>
      </c>
      <c r="M588" s="78">
        <v>100869.48488340697</v>
      </c>
      <c r="N588" s="95">
        <f t="shared" si="36"/>
        <v>68.066764193012389</v>
      </c>
      <c r="O588" s="95">
        <f t="shared" si="37"/>
        <v>30.844958541599997</v>
      </c>
      <c r="P588" s="95">
        <f t="shared" si="38"/>
        <v>0</v>
      </c>
      <c r="Q588" s="95">
        <f t="shared" si="39"/>
        <v>30.844958541599997</v>
      </c>
      <c r="R588" s="94" t="s">
        <v>543</v>
      </c>
    </row>
    <row r="589" spans="1:18" x14ac:dyDescent="0.2">
      <c r="A589" s="75" t="s">
        <v>12</v>
      </c>
      <c r="B589" s="75" t="s">
        <v>233</v>
      </c>
      <c r="C589" s="75">
        <v>1600630</v>
      </c>
      <c r="D589" s="75" t="s">
        <v>222</v>
      </c>
      <c r="E589" s="76"/>
      <c r="F589" s="76">
        <v>110</v>
      </c>
      <c r="G589" s="76">
        <v>110</v>
      </c>
      <c r="H589" s="75"/>
      <c r="I589" s="78">
        <v>5250</v>
      </c>
      <c r="J589" s="78">
        <v>31104.955741734702</v>
      </c>
      <c r="K589" s="78">
        <v>17972.481619999999</v>
      </c>
      <c r="L589" s="78">
        <v>9766.2667999999994</v>
      </c>
      <c r="M589" s="78">
        <v>78970.685553604068</v>
      </c>
      <c r="N589" s="95">
        <f t="shared" si="36"/>
        <v>34.215451315908169</v>
      </c>
      <c r="O589" s="95">
        <f t="shared" si="37"/>
        <v>19.769729781999999</v>
      </c>
      <c r="P589" s="95">
        <f t="shared" si="38"/>
        <v>10.742893479999999</v>
      </c>
      <c r="Q589" s="95">
        <f t="shared" si="39"/>
        <v>30.512623261999998</v>
      </c>
      <c r="R589" s="94" t="s">
        <v>543</v>
      </c>
    </row>
    <row r="590" spans="1:18" x14ac:dyDescent="0.2">
      <c r="A590" s="75" t="s">
        <v>12</v>
      </c>
      <c r="B590" s="75" t="s">
        <v>234</v>
      </c>
      <c r="C590" s="75">
        <v>1600685</v>
      </c>
      <c r="D590" s="75" t="s">
        <v>223</v>
      </c>
      <c r="E590" s="76"/>
      <c r="F590" s="76">
        <v>13</v>
      </c>
      <c r="G590" s="76">
        <v>0</v>
      </c>
      <c r="H590" s="75"/>
      <c r="I590" s="78">
        <v>5250</v>
      </c>
      <c r="J590" s="78">
        <v>34496.991128468391</v>
      </c>
      <c r="K590" s="78">
        <v>64578.951999999997</v>
      </c>
      <c r="L590" s="78">
        <v>18180.198399999997</v>
      </c>
      <c r="M590" s="78">
        <v>122801.28397948144</v>
      </c>
      <c r="N590" s="95">
        <f t="shared" si="36"/>
        <v>4.4846088467008913</v>
      </c>
      <c r="O590" s="95">
        <f t="shared" si="37"/>
        <v>8.3952637599999989</v>
      </c>
      <c r="P590" s="95">
        <f t="shared" si="38"/>
        <v>0</v>
      </c>
      <c r="Q590" s="95">
        <f t="shared" si="39"/>
        <v>8.3952637599999989</v>
      </c>
      <c r="R590" s="94" t="s">
        <v>543</v>
      </c>
    </row>
    <row r="591" spans="1:18" x14ac:dyDescent="0.2">
      <c r="A591" s="75" t="s">
        <v>12</v>
      </c>
      <c r="B591" s="75" t="s">
        <v>158</v>
      </c>
      <c r="C591" s="75">
        <v>1600029</v>
      </c>
      <c r="D591" s="75" t="s">
        <v>149</v>
      </c>
      <c r="E591" s="76"/>
      <c r="F591" s="76">
        <v>0</v>
      </c>
      <c r="G591" s="76">
        <v>13</v>
      </c>
      <c r="H591" s="75"/>
      <c r="I591" s="78">
        <v>5250</v>
      </c>
      <c r="J591" s="78">
        <v>33037.897456417064</v>
      </c>
      <c r="K591" s="78">
        <v>12428.3577</v>
      </c>
      <c r="L591" s="78">
        <v>6120.2888999999996</v>
      </c>
      <c r="M591" s="78">
        <v>56434.457352303827</v>
      </c>
      <c r="N591" s="95">
        <f t="shared" si="36"/>
        <v>0</v>
      </c>
      <c r="O591" s="95">
        <f t="shared" si="37"/>
        <v>0</v>
      </c>
      <c r="P591" s="95">
        <f t="shared" si="38"/>
        <v>0.79563755699999994</v>
      </c>
      <c r="Q591" s="95">
        <f t="shared" si="39"/>
        <v>0.79563755699999994</v>
      </c>
      <c r="R591" s="94" t="s">
        <v>543</v>
      </c>
    </row>
    <row r="592" spans="1:18" x14ac:dyDescent="0.2">
      <c r="A592" s="75" t="s">
        <v>12</v>
      </c>
      <c r="B592" s="75" t="s">
        <v>158</v>
      </c>
      <c r="C592" s="75">
        <v>1600924</v>
      </c>
      <c r="D592" s="75" t="s">
        <v>113</v>
      </c>
      <c r="E592" s="76"/>
      <c r="F592" s="76">
        <v>0</v>
      </c>
      <c r="G592" s="76">
        <v>30</v>
      </c>
      <c r="H592" s="75"/>
      <c r="I592" s="78">
        <v>5250</v>
      </c>
      <c r="J592" s="78">
        <v>33037.897456417064</v>
      </c>
      <c r="K592" s="78">
        <v>12428.3577</v>
      </c>
      <c r="L592" s="78">
        <v>6289.4019000000008</v>
      </c>
      <c r="M592" s="78">
        <v>56512.154184220948</v>
      </c>
      <c r="N592" s="95">
        <f t="shared" si="36"/>
        <v>0</v>
      </c>
      <c r="O592" s="95">
        <f t="shared" si="37"/>
        <v>0</v>
      </c>
      <c r="P592" s="95">
        <f t="shared" si="38"/>
        <v>1.8868205700000003</v>
      </c>
      <c r="Q592" s="95">
        <f t="shared" si="39"/>
        <v>1.8868205700000003</v>
      </c>
      <c r="R592" s="94" t="s">
        <v>543</v>
      </c>
    </row>
    <row r="593" spans="1:18" x14ac:dyDescent="0.2">
      <c r="A593" s="75" t="s">
        <v>12</v>
      </c>
      <c r="B593" s="75" t="s">
        <v>158</v>
      </c>
      <c r="C593" s="75">
        <v>1600856</v>
      </c>
      <c r="D593" s="75" t="s">
        <v>175</v>
      </c>
      <c r="E593" s="76"/>
      <c r="F593" s="76">
        <v>0</v>
      </c>
      <c r="G593" s="76">
        <v>28</v>
      </c>
      <c r="H593" s="75"/>
      <c r="I593" s="78">
        <v>5250</v>
      </c>
      <c r="J593" s="78">
        <v>36211.511594820338</v>
      </c>
      <c r="K593" s="78">
        <v>10729.349850000001</v>
      </c>
      <c r="L593" s="78">
        <v>6576.0447000000004</v>
      </c>
      <c r="M593" s="78">
        <v>58015.454311124311</v>
      </c>
      <c r="N593" s="95">
        <f t="shared" si="36"/>
        <v>0</v>
      </c>
      <c r="O593" s="95">
        <f t="shared" si="37"/>
        <v>0</v>
      </c>
      <c r="P593" s="95">
        <f t="shared" si="38"/>
        <v>1.8412925160000002</v>
      </c>
      <c r="Q593" s="95">
        <f t="shared" si="39"/>
        <v>1.8412925160000002</v>
      </c>
      <c r="R593" s="94" t="s">
        <v>543</v>
      </c>
    </row>
    <row r="594" spans="1:18" x14ac:dyDescent="0.2">
      <c r="A594" s="75" t="s">
        <v>12</v>
      </c>
      <c r="B594" s="75" t="s">
        <v>158</v>
      </c>
      <c r="C594" s="75">
        <v>1600039</v>
      </c>
      <c r="D594" s="75" t="s">
        <v>224</v>
      </c>
      <c r="E594" s="76"/>
      <c r="F594" s="76">
        <v>0</v>
      </c>
      <c r="G594" s="76">
        <v>20</v>
      </c>
      <c r="H594" s="75"/>
      <c r="I594" s="78">
        <v>5250</v>
      </c>
      <c r="J594" s="78">
        <v>30961.511594820338</v>
      </c>
      <c r="K594" s="78">
        <v>15979.349850000001</v>
      </c>
      <c r="L594" s="78">
        <v>7011.2470999999996</v>
      </c>
      <c r="M594" s="78">
        <v>58542.072879207197</v>
      </c>
      <c r="N594" s="95">
        <f t="shared" ref="N594:N611" si="40">$F594*J594/100000</f>
        <v>0</v>
      </c>
      <c r="O594" s="95">
        <f t="shared" ref="O594:O611" si="41">F594*K594/100000</f>
        <v>0</v>
      </c>
      <c r="P594" s="95">
        <f t="shared" ref="P594:P611" si="42">L594*G594/100000</f>
        <v>1.4022494199999997</v>
      </c>
      <c r="Q594" s="95">
        <f t="shared" ref="Q594:Q611" si="43">O594+P594</f>
        <v>1.4022494199999997</v>
      </c>
      <c r="R594" s="94" t="s">
        <v>543</v>
      </c>
    </row>
    <row r="595" spans="1:18" x14ac:dyDescent="0.2">
      <c r="A595" s="75" t="s">
        <v>12</v>
      </c>
      <c r="B595" s="75" t="s">
        <v>158</v>
      </c>
      <c r="C595" s="75">
        <v>1600862</v>
      </c>
      <c r="D595" s="75" t="s">
        <v>178</v>
      </c>
      <c r="E595" s="76"/>
      <c r="F595" s="76">
        <v>0</v>
      </c>
      <c r="G595" s="76">
        <v>10</v>
      </c>
      <c r="H595" s="75"/>
      <c r="I595" s="78">
        <v>5250</v>
      </c>
      <c r="J595" s="78">
        <v>33869.969873578448</v>
      </c>
      <c r="K595" s="78">
        <v>17463.15035</v>
      </c>
      <c r="L595" s="78">
        <v>6501.1516000000001</v>
      </c>
      <c r="M595" s="78">
        <v>57937.953255079774</v>
      </c>
      <c r="N595" s="95">
        <f t="shared" si="40"/>
        <v>0</v>
      </c>
      <c r="O595" s="95">
        <f t="shared" si="41"/>
        <v>0</v>
      </c>
      <c r="P595" s="95">
        <f t="shared" si="42"/>
        <v>0.65011516000000003</v>
      </c>
      <c r="Q595" s="95">
        <f t="shared" si="43"/>
        <v>0.65011516000000003</v>
      </c>
      <c r="R595" s="94" t="s">
        <v>543</v>
      </c>
    </row>
    <row r="596" spans="1:18" x14ac:dyDescent="0.2">
      <c r="A596" s="75" t="s">
        <v>12</v>
      </c>
      <c r="B596" s="75" t="s">
        <v>158</v>
      </c>
      <c r="C596" s="75">
        <v>1600804</v>
      </c>
      <c r="D596" s="75" t="s">
        <v>225</v>
      </c>
      <c r="E596" s="76"/>
      <c r="F596" s="76">
        <v>0</v>
      </c>
      <c r="G596" s="76">
        <v>35</v>
      </c>
      <c r="H596" s="75"/>
      <c r="I596" s="78">
        <v>5250</v>
      </c>
      <c r="J596" s="78">
        <v>33869.969873578448</v>
      </c>
      <c r="K596" s="78">
        <v>17463.15035</v>
      </c>
      <c r="L596" s="78">
        <v>6501.1516000000001</v>
      </c>
      <c r="M596" s="78">
        <v>57937.953255079774</v>
      </c>
      <c r="N596" s="95">
        <f t="shared" si="40"/>
        <v>0</v>
      </c>
      <c r="O596" s="95">
        <f t="shared" si="41"/>
        <v>0</v>
      </c>
      <c r="P596" s="95">
        <f t="shared" si="42"/>
        <v>2.2754030599999999</v>
      </c>
      <c r="Q596" s="95">
        <f t="shared" si="43"/>
        <v>2.2754030599999999</v>
      </c>
      <c r="R596" s="94" t="s">
        <v>543</v>
      </c>
    </row>
    <row r="597" spans="1:18" x14ac:dyDescent="0.2">
      <c r="A597" s="75" t="s">
        <v>12</v>
      </c>
      <c r="B597" s="75" t="s">
        <v>158</v>
      </c>
      <c r="C597" s="75">
        <v>1600826</v>
      </c>
      <c r="D597" s="75" t="s">
        <v>130</v>
      </c>
      <c r="E597" s="76"/>
      <c r="F597" s="76">
        <v>45</v>
      </c>
      <c r="G597" s="76">
        <v>10</v>
      </c>
      <c r="H597" s="75"/>
      <c r="I597" s="78">
        <v>5250</v>
      </c>
      <c r="J597" s="78">
        <v>32706.90233187571</v>
      </c>
      <c r="K597" s="78">
        <v>16817.491999999998</v>
      </c>
      <c r="L597" s="78">
        <v>21074.663800000002</v>
      </c>
      <c r="M597" s="78">
        <v>75737.729299677449</v>
      </c>
      <c r="N597" s="95">
        <f t="shared" si="40"/>
        <v>14.718106049344069</v>
      </c>
      <c r="O597" s="95">
        <f t="shared" si="41"/>
        <v>7.5678713999999987</v>
      </c>
      <c r="P597" s="95">
        <f t="shared" si="42"/>
        <v>2.1074663800000004</v>
      </c>
      <c r="Q597" s="95">
        <f t="shared" si="43"/>
        <v>9.6753377799999996</v>
      </c>
      <c r="R597" s="94" t="s">
        <v>543</v>
      </c>
    </row>
    <row r="598" spans="1:18" x14ac:dyDescent="0.2">
      <c r="A598" s="75" t="s">
        <v>12</v>
      </c>
      <c r="B598" s="75" t="s">
        <v>158</v>
      </c>
      <c r="C598" s="75">
        <v>1600828</v>
      </c>
      <c r="D598" s="75" t="s">
        <v>181</v>
      </c>
      <c r="E598" s="76"/>
      <c r="F598" s="76">
        <v>0</v>
      </c>
      <c r="G598" s="76">
        <v>17</v>
      </c>
      <c r="H598" s="75"/>
      <c r="I598" s="78">
        <v>5250</v>
      </c>
      <c r="J598" s="78">
        <v>32706.90233187571</v>
      </c>
      <c r="K598" s="78">
        <v>16817.491999999998</v>
      </c>
      <c r="L598" s="78">
        <v>15144.239099999999</v>
      </c>
      <c r="M598" s="78">
        <v>69715.888431594562</v>
      </c>
      <c r="N598" s="95">
        <f t="shared" si="40"/>
        <v>0</v>
      </c>
      <c r="O598" s="95">
        <f t="shared" si="41"/>
        <v>0</v>
      </c>
      <c r="P598" s="95">
        <f t="shared" si="42"/>
        <v>2.5745206469999999</v>
      </c>
      <c r="Q598" s="95">
        <f t="shared" si="43"/>
        <v>2.5745206469999999</v>
      </c>
      <c r="R598" s="94" t="s">
        <v>543</v>
      </c>
    </row>
    <row r="599" spans="1:18" x14ac:dyDescent="0.2">
      <c r="A599" s="75" t="s">
        <v>12</v>
      </c>
      <c r="B599" s="75" t="s">
        <v>158</v>
      </c>
      <c r="C599" s="75">
        <v>1600831</v>
      </c>
      <c r="D599" s="75" t="s">
        <v>226</v>
      </c>
      <c r="E599" s="76"/>
      <c r="F599" s="76">
        <v>0</v>
      </c>
      <c r="G599" s="76">
        <v>7</v>
      </c>
      <c r="H599" s="75"/>
      <c r="I599" s="78">
        <v>5250</v>
      </c>
      <c r="J599" s="78">
        <v>32706.90233187571</v>
      </c>
      <c r="K599" s="78">
        <v>16817.491999999998</v>
      </c>
      <c r="L599" s="78">
        <v>25553.744999999999</v>
      </c>
      <c r="M599" s="78">
        <v>78923.349798582291</v>
      </c>
      <c r="N599" s="95">
        <f t="shared" si="40"/>
        <v>0</v>
      </c>
      <c r="O599" s="95">
        <f t="shared" si="41"/>
        <v>0</v>
      </c>
      <c r="P599" s="95">
        <f t="shared" si="42"/>
        <v>1.7887621499999999</v>
      </c>
      <c r="Q599" s="95">
        <f t="shared" si="43"/>
        <v>1.7887621499999999</v>
      </c>
      <c r="R599" s="94" t="s">
        <v>543</v>
      </c>
    </row>
    <row r="600" spans="1:18" x14ac:dyDescent="0.2">
      <c r="A600" s="75" t="s">
        <v>12</v>
      </c>
      <c r="B600" s="75" t="s">
        <v>158</v>
      </c>
      <c r="C600" s="75">
        <v>1600827</v>
      </c>
      <c r="D600" s="75" t="s">
        <v>227</v>
      </c>
      <c r="E600" s="76"/>
      <c r="F600" s="76">
        <v>0</v>
      </c>
      <c r="G600" s="76">
        <v>12</v>
      </c>
      <c r="H600" s="75"/>
      <c r="I600" s="78">
        <v>5250</v>
      </c>
      <c r="J600" s="78">
        <v>32706.90233187571</v>
      </c>
      <c r="K600" s="78">
        <v>16817.491999999998</v>
      </c>
      <c r="L600" s="78">
        <v>20826.346700000002</v>
      </c>
      <c r="M600" s="78">
        <v>75489.412199677448</v>
      </c>
      <c r="N600" s="95">
        <f t="shared" si="40"/>
        <v>0</v>
      </c>
      <c r="O600" s="95">
        <f t="shared" si="41"/>
        <v>0</v>
      </c>
      <c r="P600" s="95">
        <f t="shared" si="42"/>
        <v>2.4991616040000002</v>
      </c>
      <c r="Q600" s="95">
        <f t="shared" si="43"/>
        <v>2.4991616040000002</v>
      </c>
      <c r="R600" s="94" t="s">
        <v>543</v>
      </c>
    </row>
    <row r="601" spans="1:18" x14ac:dyDescent="0.2">
      <c r="A601" s="75" t="s">
        <v>12</v>
      </c>
      <c r="B601" s="75" t="s">
        <v>158</v>
      </c>
      <c r="C601" s="75">
        <v>1600478</v>
      </c>
      <c r="D601" s="75" t="s">
        <v>132</v>
      </c>
      <c r="E601" s="76"/>
      <c r="F601" s="76">
        <v>37</v>
      </c>
      <c r="G601" s="76">
        <v>10</v>
      </c>
      <c r="H601" s="75"/>
      <c r="I601" s="78">
        <v>5250</v>
      </c>
      <c r="J601" s="78">
        <v>31125.242258869752</v>
      </c>
      <c r="K601" s="78">
        <v>16795.526399999999</v>
      </c>
      <c r="L601" s="78">
        <v>21783.801599999999</v>
      </c>
      <c r="M601" s="78">
        <v>75244.822566665171</v>
      </c>
      <c r="N601" s="95">
        <f t="shared" si="40"/>
        <v>11.516339635781808</v>
      </c>
      <c r="O601" s="95">
        <f t="shared" si="41"/>
        <v>6.2143447679999992</v>
      </c>
      <c r="P601" s="95">
        <f t="shared" si="42"/>
        <v>2.1783801600000001</v>
      </c>
      <c r="Q601" s="95">
        <f t="shared" si="43"/>
        <v>8.3927249279999998</v>
      </c>
      <c r="R601" s="94" t="s">
        <v>543</v>
      </c>
    </row>
    <row r="602" spans="1:18" x14ac:dyDescent="0.2">
      <c r="A602" s="75" t="s">
        <v>12</v>
      </c>
      <c r="B602" s="75" t="s">
        <v>158</v>
      </c>
      <c r="C602" s="75">
        <v>1600085</v>
      </c>
      <c r="D602" s="75" t="s">
        <v>228</v>
      </c>
      <c r="E602" s="76"/>
      <c r="F602" s="76">
        <v>0</v>
      </c>
      <c r="G602" s="76">
        <v>5</v>
      </c>
      <c r="H602" s="75"/>
      <c r="I602" s="78">
        <v>5250</v>
      </c>
      <c r="J602" s="78">
        <v>31125.242258869752</v>
      </c>
      <c r="K602" s="78">
        <v>16795.526399999999</v>
      </c>
      <c r="L602" s="78">
        <v>20899.002700000001</v>
      </c>
      <c r="M602" s="78">
        <v>74360.023666665176</v>
      </c>
      <c r="N602" s="95">
        <f t="shared" si="40"/>
        <v>0</v>
      </c>
      <c r="O602" s="95">
        <f t="shared" si="41"/>
        <v>0</v>
      </c>
      <c r="P602" s="95">
        <f t="shared" si="42"/>
        <v>1.0449501350000001</v>
      </c>
      <c r="Q602" s="95">
        <f t="shared" si="43"/>
        <v>1.0449501350000001</v>
      </c>
      <c r="R602" s="94" t="s">
        <v>543</v>
      </c>
    </row>
    <row r="603" spans="1:18" x14ac:dyDescent="0.2">
      <c r="A603" s="75" t="s">
        <v>12</v>
      </c>
      <c r="B603" s="75" t="s">
        <v>158</v>
      </c>
      <c r="C603" s="75">
        <v>1600088</v>
      </c>
      <c r="D603" s="75" t="s">
        <v>216</v>
      </c>
      <c r="E603" s="76"/>
      <c r="F603" s="76">
        <v>0</v>
      </c>
      <c r="G603" s="76">
        <v>12</v>
      </c>
      <c r="H603" s="75"/>
      <c r="I603" s="78">
        <v>5250</v>
      </c>
      <c r="J603" s="78">
        <v>31125.242258869752</v>
      </c>
      <c r="K603" s="78">
        <v>16795.526399999999</v>
      </c>
      <c r="L603" s="78">
        <v>15098.1196</v>
      </c>
      <c r="M603" s="78">
        <v>68467.724398582301</v>
      </c>
      <c r="N603" s="95">
        <f t="shared" si="40"/>
        <v>0</v>
      </c>
      <c r="O603" s="95">
        <f t="shared" si="41"/>
        <v>0</v>
      </c>
      <c r="P603" s="95">
        <f t="shared" si="42"/>
        <v>1.811774352</v>
      </c>
      <c r="Q603" s="95">
        <f t="shared" si="43"/>
        <v>1.811774352</v>
      </c>
      <c r="R603" s="94" t="s">
        <v>543</v>
      </c>
    </row>
    <row r="604" spans="1:18" x14ac:dyDescent="0.2">
      <c r="A604" s="75" t="s">
        <v>12</v>
      </c>
      <c r="B604" s="75" t="s">
        <v>158</v>
      </c>
      <c r="C604" s="75">
        <v>1600090</v>
      </c>
      <c r="D604" s="75" t="s">
        <v>229</v>
      </c>
      <c r="E604" s="76"/>
      <c r="F604" s="76">
        <v>0</v>
      </c>
      <c r="G604" s="76">
        <v>2</v>
      </c>
      <c r="H604" s="75"/>
      <c r="I604" s="78">
        <v>5250</v>
      </c>
      <c r="J604" s="78">
        <v>31125.242258869752</v>
      </c>
      <c r="K604" s="78">
        <v>16795.526399999999</v>
      </c>
      <c r="L604" s="78">
        <v>17491.7546</v>
      </c>
      <c r="M604" s="78">
        <v>70861.359398582295</v>
      </c>
      <c r="N604" s="95">
        <f t="shared" si="40"/>
        <v>0</v>
      </c>
      <c r="O604" s="95">
        <f t="shared" si="41"/>
        <v>0</v>
      </c>
      <c r="P604" s="95">
        <f t="shared" si="42"/>
        <v>0.34983509200000001</v>
      </c>
      <c r="Q604" s="95">
        <f t="shared" si="43"/>
        <v>0.34983509200000001</v>
      </c>
      <c r="R604" s="94" t="s">
        <v>543</v>
      </c>
    </row>
    <row r="605" spans="1:18" x14ac:dyDescent="0.2">
      <c r="A605" s="75" t="s">
        <v>12</v>
      </c>
      <c r="B605" s="75" t="s">
        <v>158</v>
      </c>
      <c r="C605" s="75">
        <v>1600716</v>
      </c>
      <c r="D605" s="75" t="s">
        <v>230</v>
      </c>
      <c r="E605" s="76"/>
      <c r="F605" s="76">
        <v>6</v>
      </c>
      <c r="G605" s="76">
        <v>6</v>
      </c>
      <c r="H605" s="75"/>
      <c r="I605" s="78">
        <v>5250</v>
      </c>
      <c r="J605" s="78">
        <v>31169.80633522581</v>
      </c>
      <c r="K605" s="78">
        <v>18184.665417999997</v>
      </c>
      <c r="L605" s="78">
        <v>25973.760000000002</v>
      </c>
      <c r="M605" s="78">
        <v>80783.743376995713</v>
      </c>
      <c r="N605" s="95">
        <f t="shared" si="40"/>
        <v>1.8701883801135484</v>
      </c>
      <c r="O605" s="95">
        <f t="shared" si="41"/>
        <v>1.0910799250799998</v>
      </c>
      <c r="P605" s="95">
        <f t="shared" si="42"/>
        <v>1.5584256000000001</v>
      </c>
      <c r="Q605" s="95">
        <f t="shared" si="43"/>
        <v>2.6495055250799999</v>
      </c>
      <c r="R605" s="94" t="s">
        <v>543</v>
      </c>
    </row>
    <row r="606" spans="1:18" x14ac:dyDescent="0.2">
      <c r="A606" s="75" t="s">
        <v>12</v>
      </c>
      <c r="B606" s="75" t="s">
        <v>158</v>
      </c>
      <c r="C606" s="75">
        <v>1600816</v>
      </c>
      <c r="D606" s="75" t="s">
        <v>185</v>
      </c>
      <c r="E606" s="76"/>
      <c r="F606" s="76">
        <v>58</v>
      </c>
      <c r="G606" s="76">
        <v>14</v>
      </c>
      <c r="H606" s="75"/>
      <c r="I606" s="78">
        <v>5250</v>
      </c>
      <c r="J606" s="78">
        <v>33418.600411146661</v>
      </c>
      <c r="K606" s="78">
        <v>15509.18</v>
      </c>
      <c r="L606" s="78">
        <v>21464.599399999999</v>
      </c>
      <c r="M606" s="78">
        <v>75625.687829381641</v>
      </c>
      <c r="N606" s="95">
        <f t="shared" si="40"/>
        <v>19.382788238465064</v>
      </c>
      <c r="O606" s="95">
        <f t="shared" si="41"/>
        <v>8.9953244000000012</v>
      </c>
      <c r="P606" s="95">
        <f t="shared" si="42"/>
        <v>3.0050439159999995</v>
      </c>
      <c r="Q606" s="95">
        <f t="shared" si="43"/>
        <v>12.000368316000001</v>
      </c>
      <c r="R606" s="94" t="s">
        <v>543</v>
      </c>
    </row>
    <row r="607" spans="1:18" x14ac:dyDescent="0.2">
      <c r="A607" s="75" t="s">
        <v>12</v>
      </c>
      <c r="B607" s="75" t="s">
        <v>158</v>
      </c>
      <c r="C607" s="75">
        <v>1600817</v>
      </c>
      <c r="D607" s="75" t="s">
        <v>231</v>
      </c>
      <c r="E607" s="76"/>
      <c r="F607" s="76">
        <v>0</v>
      </c>
      <c r="G607" s="76">
        <v>36</v>
      </c>
      <c r="H607" s="75"/>
      <c r="I607" s="78">
        <v>5250</v>
      </c>
      <c r="J607" s="78">
        <v>33418.600411146661</v>
      </c>
      <c r="K607" s="78">
        <v>15509.18</v>
      </c>
      <c r="L607" s="78">
        <v>17999.0056</v>
      </c>
      <c r="M607" s="78">
        <v>72068.677861298755</v>
      </c>
      <c r="N607" s="95">
        <f t="shared" si="40"/>
        <v>0</v>
      </c>
      <c r="O607" s="95">
        <f t="shared" si="41"/>
        <v>0</v>
      </c>
      <c r="P607" s="95">
        <f t="shared" si="42"/>
        <v>6.4796420160000006</v>
      </c>
      <c r="Q607" s="95">
        <f t="shared" si="43"/>
        <v>6.4796420160000006</v>
      </c>
      <c r="R607" s="94" t="s">
        <v>543</v>
      </c>
    </row>
    <row r="608" spans="1:18" x14ac:dyDescent="0.2">
      <c r="A608" s="75" t="s">
        <v>12</v>
      </c>
      <c r="B608" s="75" t="s">
        <v>158</v>
      </c>
      <c r="C608" s="75">
        <v>1600836</v>
      </c>
      <c r="D608" s="75" t="s">
        <v>120</v>
      </c>
      <c r="E608" s="76"/>
      <c r="F608" s="76">
        <v>0</v>
      </c>
      <c r="G608" s="76">
        <v>8</v>
      </c>
      <c r="H608" s="75"/>
      <c r="I608" s="78">
        <v>5250</v>
      </c>
      <c r="J608" s="78">
        <v>33418.600411146661</v>
      </c>
      <c r="K608" s="78">
        <v>15509.18</v>
      </c>
      <c r="L608" s="78">
        <v>17790.372599999999</v>
      </c>
      <c r="M608" s="78">
        <v>71860.044861298753</v>
      </c>
      <c r="N608" s="95">
        <f t="shared" si="40"/>
        <v>0</v>
      </c>
      <c r="O608" s="95">
        <f t="shared" si="41"/>
        <v>0</v>
      </c>
      <c r="P608" s="95">
        <f t="shared" si="42"/>
        <v>1.4232298079999999</v>
      </c>
      <c r="Q608" s="95">
        <f t="shared" si="43"/>
        <v>1.4232298079999999</v>
      </c>
      <c r="R608" s="94" t="s">
        <v>543</v>
      </c>
    </row>
    <row r="609" spans="1:18" x14ac:dyDescent="0.2">
      <c r="A609" s="75" t="s">
        <v>12</v>
      </c>
      <c r="B609" s="75" t="s">
        <v>158</v>
      </c>
      <c r="C609" s="75">
        <v>1600819</v>
      </c>
      <c r="D609" s="75" t="s">
        <v>232</v>
      </c>
      <c r="E609" s="76"/>
      <c r="F609" s="76">
        <v>37</v>
      </c>
      <c r="G609" s="76">
        <v>12</v>
      </c>
      <c r="H609" s="75"/>
      <c r="I609" s="78">
        <v>5250</v>
      </c>
      <c r="J609" s="78">
        <v>27430.727919119818</v>
      </c>
      <c r="K609" s="78">
        <v>19047.165000000001</v>
      </c>
      <c r="L609" s="78">
        <v>8254.2760000000017</v>
      </c>
      <c r="M609" s="78">
        <v>58883.504769623934</v>
      </c>
      <c r="N609" s="95">
        <f t="shared" si="40"/>
        <v>10.149369330074332</v>
      </c>
      <c r="O609" s="95">
        <f t="shared" si="41"/>
        <v>7.0474510499999994</v>
      </c>
      <c r="P609" s="95">
        <f t="shared" si="42"/>
        <v>0.99051312000000025</v>
      </c>
      <c r="Q609" s="95">
        <f t="shared" si="43"/>
        <v>8.0379641700000004</v>
      </c>
      <c r="R609" s="94" t="s">
        <v>543</v>
      </c>
    </row>
    <row r="610" spans="1:18" x14ac:dyDescent="0.2">
      <c r="A610" s="75" t="s">
        <v>12</v>
      </c>
      <c r="B610" s="75" t="s">
        <v>158</v>
      </c>
      <c r="C610" s="75">
        <v>1600821</v>
      </c>
      <c r="D610" s="75" t="s">
        <v>154</v>
      </c>
      <c r="E610" s="76"/>
      <c r="F610" s="76">
        <v>0</v>
      </c>
      <c r="G610" s="76">
        <v>15</v>
      </c>
      <c r="H610" s="75"/>
      <c r="I610" s="78">
        <v>5250</v>
      </c>
      <c r="J610" s="78">
        <v>27430.727919119818</v>
      </c>
      <c r="K610" s="78">
        <v>19047.165000000001</v>
      </c>
      <c r="L610" s="78">
        <v>6041.9466000000002</v>
      </c>
      <c r="M610" s="78">
        <v>56671.175369623939</v>
      </c>
      <c r="N610" s="95">
        <f t="shared" si="40"/>
        <v>0</v>
      </c>
      <c r="O610" s="95">
        <f t="shared" si="41"/>
        <v>0</v>
      </c>
      <c r="P610" s="95">
        <f t="shared" si="42"/>
        <v>0.90629199000000005</v>
      </c>
      <c r="Q610" s="95">
        <f t="shared" si="43"/>
        <v>0.90629199000000005</v>
      </c>
      <c r="R610" s="94" t="s">
        <v>543</v>
      </c>
    </row>
    <row r="611" spans="1:18" x14ac:dyDescent="0.2">
      <c r="A611" s="75" t="s">
        <v>12</v>
      </c>
      <c r="B611" s="75" t="s">
        <v>158</v>
      </c>
      <c r="C611" s="75">
        <v>1600825</v>
      </c>
      <c r="D611" s="75" t="s">
        <v>189</v>
      </c>
      <c r="E611" s="76"/>
      <c r="F611" s="76">
        <v>0</v>
      </c>
      <c r="G611" s="76">
        <v>10</v>
      </c>
      <c r="H611" s="75"/>
      <c r="I611" s="78">
        <v>5250</v>
      </c>
      <c r="J611" s="78">
        <v>27430.727919119818</v>
      </c>
      <c r="K611" s="78">
        <v>19047.165000000001</v>
      </c>
      <c r="L611" s="78">
        <v>5187.5169999999998</v>
      </c>
      <c r="M611" s="78">
        <v>55816.745769623936</v>
      </c>
      <c r="N611" s="95">
        <f t="shared" si="40"/>
        <v>0</v>
      </c>
      <c r="O611" s="95">
        <f t="shared" si="41"/>
        <v>0</v>
      </c>
      <c r="P611" s="95">
        <f t="shared" si="42"/>
        <v>0.51875170000000004</v>
      </c>
      <c r="Q611" s="95">
        <f t="shared" si="43"/>
        <v>0.51875170000000004</v>
      </c>
      <c r="R611" s="94" t="s">
        <v>543</v>
      </c>
    </row>
    <row r="612" spans="1:18" x14ac:dyDescent="0.2">
      <c r="A612" s="173"/>
      <c r="B612" s="173"/>
      <c r="C612" s="75"/>
      <c r="D612" s="75"/>
      <c r="E612" s="76"/>
      <c r="F612" s="76"/>
      <c r="G612" s="76"/>
      <c r="H612" s="75"/>
      <c r="I612" s="174"/>
      <c r="J612" s="174"/>
      <c r="K612" s="174"/>
      <c r="L612" s="174"/>
      <c r="M612" s="174"/>
      <c r="N612" s="175"/>
      <c r="O612" s="175"/>
      <c r="P612" s="175"/>
      <c r="Q612" s="175"/>
      <c r="R612" s="173"/>
    </row>
    <row r="613" spans="1:18" x14ac:dyDescent="0.2">
      <c r="A613" s="173"/>
      <c r="B613" s="173"/>
      <c r="C613" s="75"/>
      <c r="D613" s="75"/>
      <c r="E613" s="76"/>
      <c r="F613" s="76"/>
      <c r="G613" s="76"/>
      <c r="H613" s="75"/>
      <c r="I613" s="174"/>
      <c r="J613" s="174"/>
      <c r="K613" s="174"/>
      <c r="L613" s="174"/>
      <c r="M613" s="174"/>
      <c r="N613" s="175"/>
      <c r="O613" s="175"/>
      <c r="P613" s="175"/>
      <c r="Q613" s="175"/>
      <c r="R613" s="173"/>
    </row>
    <row r="614" spans="1:18" x14ac:dyDescent="0.2">
      <c r="A614" s="173"/>
      <c r="B614" s="173"/>
      <c r="C614" s="75"/>
      <c r="D614" s="75"/>
      <c r="E614" s="76"/>
      <c r="F614" s="76"/>
      <c r="G614" s="76"/>
      <c r="H614" s="75"/>
      <c r="I614" s="174"/>
      <c r="J614" s="174"/>
      <c r="K614" s="174"/>
      <c r="L614" s="174"/>
      <c r="M614" s="174"/>
      <c r="N614" s="175"/>
      <c r="O614" s="175"/>
      <c r="P614" s="175"/>
      <c r="Q614" s="175"/>
      <c r="R614" s="173"/>
    </row>
    <row r="615" spans="1:18" x14ac:dyDescent="0.2">
      <c r="A615" s="173"/>
      <c r="B615" s="173"/>
      <c r="C615" s="75"/>
      <c r="D615" s="75"/>
      <c r="E615" s="76"/>
      <c r="F615" s="76"/>
      <c r="G615" s="76"/>
      <c r="H615" s="75"/>
      <c r="I615" s="174"/>
      <c r="J615" s="174"/>
      <c r="K615" s="174"/>
      <c r="L615" s="174"/>
      <c r="M615" s="174"/>
      <c r="N615" s="175"/>
      <c r="O615" s="175"/>
      <c r="P615" s="175"/>
      <c r="Q615" s="175"/>
      <c r="R615" s="173"/>
    </row>
    <row r="616" spans="1:18" x14ac:dyDescent="0.2">
      <c r="A616" s="173"/>
      <c r="B616" s="173"/>
      <c r="C616" s="75"/>
      <c r="D616" s="75"/>
      <c r="E616" s="76"/>
      <c r="F616" s="76"/>
      <c r="G616" s="76"/>
      <c r="H616" s="75"/>
      <c r="I616" s="174"/>
      <c r="J616" s="174"/>
      <c r="K616" s="174"/>
      <c r="L616" s="174"/>
      <c r="M616" s="174"/>
      <c r="N616" s="175"/>
      <c r="O616" s="175"/>
      <c r="P616" s="175"/>
      <c r="Q616" s="175"/>
      <c r="R616" s="173"/>
    </row>
    <row r="617" spans="1:18" x14ac:dyDescent="0.2">
      <c r="A617" s="173"/>
      <c r="B617" s="173"/>
      <c r="C617" s="75"/>
      <c r="D617" s="75"/>
      <c r="E617" s="76"/>
      <c r="F617" s="76"/>
      <c r="G617" s="76"/>
      <c r="H617" s="75"/>
      <c r="I617" s="174"/>
      <c r="J617" s="174"/>
      <c r="K617" s="174"/>
      <c r="L617" s="174"/>
      <c r="M617" s="174"/>
      <c r="N617" s="175"/>
      <c r="O617" s="175"/>
      <c r="P617" s="175"/>
      <c r="Q617" s="175"/>
      <c r="R617" s="173"/>
    </row>
    <row r="618" spans="1:18" x14ac:dyDescent="0.2">
      <c r="A618" s="173"/>
      <c r="B618" s="173"/>
      <c r="C618" s="75"/>
      <c r="D618" s="75"/>
      <c r="E618" s="76"/>
      <c r="F618" s="76"/>
      <c r="G618" s="76"/>
      <c r="H618" s="75"/>
      <c r="I618" s="174"/>
      <c r="J618" s="174"/>
      <c r="K618" s="174"/>
      <c r="L618" s="174"/>
      <c r="M618" s="174"/>
      <c r="N618" s="175"/>
      <c r="O618" s="175"/>
      <c r="P618" s="175"/>
      <c r="Q618" s="175"/>
      <c r="R618" s="173"/>
    </row>
    <row r="619" spans="1:18" x14ac:dyDescent="0.2">
      <c r="A619" s="173"/>
      <c r="B619" s="173"/>
      <c r="C619" s="75"/>
      <c r="D619" s="75"/>
      <c r="E619" s="76"/>
      <c r="F619" s="76"/>
      <c r="G619" s="76"/>
      <c r="H619" s="75"/>
      <c r="I619" s="174"/>
      <c r="J619" s="174"/>
      <c r="K619" s="174"/>
      <c r="L619" s="174"/>
      <c r="M619" s="174"/>
      <c r="N619" s="175"/>
      <c r="O619" s="175"/>
      <c r="P619" s="175"/>
      <c r="Q619" s="175"/>
      <c r="R619" s="173"/>
    </row>
    <row r="620" spans="1:18" x14ac:dyDescent="0.2">
      <c r="A620" s="173"/>
      <c r="B620" s="173"/>
      <c r="C620" s="75"/>
      <c r="D620" s="75"/>
      <c r="E620" s="76"/>
      <c r="F620" s="76"/>
      <c r="G620" s="76"/>
      <c r="H620" s="75"/>
      <c r="I620" s="174"/>
      <c r="J620" s="174"/>
      <c r="K620" s="174"/>
      <c r="L620" s="174"/>
      <c r="M620" s="174"/>
      <c r="N620" s="175"/>
      <c r="O620" s="175"/>
      <c r="P620" s="175"/>
      <c r="Q620" s="175"/>
      <c r="R620" s="173"/>
    </row>
    <row r="621" spans="1:18" x14ac:dyDescent="0.2">
      <c r="A621" s="173"/>
      <c r="B621" s="173"/>
      <c r="C621" s="75"/>
      <c r="D621" s="75"/>
      <c r="E621" s="76"/>
      <c r="F621" s="76"/>
      <c r="G621" s="76"/>
      <c r="H621" s="75"/>
      <c r="I621" s="174"/>
      <c r="J621" s="174"/>
      <c r="K621" s="174"/>
      <c r="L621" s="174"/>
      <c r="M621" s="174"/>
      <c r="N621" s="175"/>
      <c r="O621" s="175"/>
      <c r="P621" s="175"/>
      <c r="Q621" s="175"/>
      <c r="R621" s="173"/>
    </row>
    <row r="622" spans="1:18" x14ac:dyDescent="0.2">
      <c r="A622" s="173"/>
      <c r="B622" s="173"/>
      <c r="C622" s="75"/>
      <c r="D622" s="75"/>
      <c r="E622" s="76"/>
      <c r="F622" s="76"/>
      <c r="G622" s="76"/>
      <c r="H622" s="75"/>
      <c r="I622" s="174"/>
      <c r="J622" s="174"/>
      <c r="K622" s="174"/>
      <c r="L622" s="174"/>
      <c r="M622" s="174"/>
      <c r="N622" s="175"/>
      <c r="O622" s="175"/>
      <c r="P622" s="175"/>
      <c r="Q622" s="175"/>
      <c r="R622" s="173"/>
    </row>
    <row r="623" spans="1:18" x14ac:dyDescent="0.2">
      <c r="A623" s="173"/>
      <c r="B623" s="173"/>
      <c r="C623" s="75"/>
      <c r="D623" s="75"/>
      <c r="E623" s="76"/>
      <c r="F623" s="76"/>
      <c r="G623" s="76"/>
      <c r="H623" s="75"/>
      <c r="I623" s="174"/>
      <c r="J623" s="174"/>
      <c r="K623" s="174"/>
      <c r="L623" s="174"/>
      <c r="M623" s="174"/>
      <c r="N623" s="175"/>
      <c r="O623" s="175"/>
      <c r="P623" s="175"/>
      <c r="Q623" s="175"/>
      <c r="R623" s="173"/>
    </row>
    <row r="624" spans="1:18" x14ac:dyDescent="0.2">
      <c r="A624" s="173"/>
      <c r="B624" s="173"/>
      <c r="C624" s="75"/>
      <c r="D624" s="75"/>
      <c r="E624" s="76"/>
      <c r="F624" s="76"/>
      <c r="G624" s="76"/>
      <c r="H624" s="75"/>
      <c r="I624" s="174"/>
      <c r="J624" s="174"/>
      <c r="K624" s="174"/>
      <c r="L624" s="174"/>
      <c r="M624" s="174"/>
      <c r="N624" s="175"/>
      <c r="O624" s="175"/>
      <c r="P624" s="175"/>
      <c r="Q624" s="175"/>
      <c r="R624" s="173"/>
    </row>
    <row r="625" spans="1:18" x14ac:dyDescent="0.2">
      <c r="A625" s="173"/>
      <c r="B625" s="173"/>
      <c r="C625" s="75"/>
      <c r="D625" s="75"/>
      <c r="E625" s="76"/>
      <c r="F625" s="76"/>
      <c r="G625" s="76"/>
      <c r="H625" s="75"/>
      <c r="I625" s="174"/>
      <c r="J625" s="174"/>
      <c r="K625" s="174"/>
      <c r="L625" s="174"/>
      <c r="M625" s="174"/>
      <c r="N625" s="175"/>
      <c r="O625" s="175"/>
      <c r="P625" s="175"/>
      <c r="Q625" s="175"/>
      <c r="R625" s="173"/>
    </row>
    <row r="626" spans="1:18" x14ac:dyDescent="0.2">
      <c r="A626" s="173"/>
      <c r="B626" s="173"/>
      <c r="C626" s="75"/>
      <c r="D626" s="75"/>
      <c r="E626" s="76"/>
      <c r="F626" s="76"/>
      <c r="G626" s="76"/>
      <c r="H626" s="75"/>
      <c r="I626" s="174"/>
      <c r="J626" s="174"/>
      <c r="K626" s="174"/>
      <c r="L626" s="174"/>
      <c r="M626" s="174"/>
      <c r="N626" s="175"/>
      <c r="O626" s="175"/>
      <c r="P626" s="175"/>
      <c r="Q626" s="175"/>
      <c r="R626" s="173"/>
    </row>
    <row r="627" spans="1:18" x14ac:dyDescent="0.2">
      <c r="A627" s="173"/>
      <c r="B627" s="173"/>
      <c r="C627" s="75"/>
      <c r="D627" s="75"/>
      <c r="E627" s="76"/>
      <c r="F627" s="76"/>
      <c r="G627" s="76"/>
      <c r="H627" s="75"/>
      <c r="I627" s="174"/>
      <c r="J627" s="174"/>
      <c r="K627" s="174"/>
      <c r="L627" s="174"/>
      <c r="M627" s="174"/>
      <c r="N627" s="175"/>
      <c r="O627" s="175"/>
      <c r="P627" s="175"/>
      <c r="Q627" s="175"/>
      <c r="R627" s="173"/>
    </row>
    <row r="628" spans="1:18" x14ac:dyDescent="0.2">
      <c r="A628" s="173"/>
      <c r="B628" s="173"/>
      <c r="C628" s="75"/>
      <c r="D628" s="75"/>
      <c r="E628" s="76"/>
      <c r="F628" s="76"/>
      <c r="G628" s="76"/>
      <c r="H628" s="75"/>
      <c r="I628" s="174"/>
      <c r="J628" s="174"/>
      <c r="K628" s="174"/>
      <c r="L628" s="174"/>
      <c r="M628" s="174"/>
      <c r="N628" s="175"/>
      <c r="O628" s="175"/>
      <c r="P628" s="175"/>
      <c r="Q628" s="175"/>
      <c r="R628" s="173"/>
    </row>
    <row r="629" spans="1:18" x14ac:dyDescent="0.2">
      <c r="A629" s="173"/>
      <c r="B629" s="173"/>
      <c r="C629" s="75"/>
      <c r="D629" s="75"/>
      <c r="E629" s="76"/>
      <c r="F629" s="76"/>
      <c r="G629" s="76"/>
      <c r="H629" s="75"/>
      <c r="I629" s="174"/>
      <c r="J629" s="174"/>
      <c r="K629" s="174"/>
      <c r="L629" s="174"/>
      <c r="M629" s="174"/>
      <c r="N629" s="175"/>
      <c r="O629" s="175"/>
      <c r="P629" s="175"/>
      <c r="Q629" s="175"/>
      <c r="R629" s="173"/>
    </row>
    <row r="630" spans="1:18" x14ac:dyDescent="0.2">
      <c r="A630" s="173"/>
      <c r="B630" s="173"/>
      <c r="C630" s="75"/>
      <c r="D630" s="75"/>
      <c r="E630" s="76"/>
      <c r="F630" s="76"/>
      <c r="G630" s="76"/>
      <c r="H630" s="75"/>
      <c r="I630" s="174"/>
      <c r="J630" s="174"/>
      <c r="K630" s="174"/>
      <c r="L630" s="174"/>
      <c r="M630" s="174"/>
      <c r="N630" s="175"/>
      <c r="O630" s="175"/>
      <c r="P630" s="175"/>
      <c r="Q630" s="175"/>
      <c r="R630" s="173"/>
    </row>
    <row r="631" spans="1:18" x14ac:dyDescent="0.2">
      <c r="A631" s="173"/>
      <c r="B631" s="173"/>
      <c r="C631" s="75"/>
      <c r="D631" s="75"/>
      <c r="E631" s="76"/>
      <c r="F631" s="76"/>
      <c r="G631" s="76"/>
      <c r="H631" s="75"/>
      <c r="I631" s="174"/>
      <c r="J631" s="174"/>
      <c r="K631" s="174"/>
      <c r="L631" s="174"/>
      <c r="M631" s="174"/>
      <c r="N631" s="175"/>
      <c r="O631" s="175"/>
      <c r="P631" s="175"/>
      <c r="Q631" s="175"/>
      <c r="R631" s="173"/>
    </row>
    <row r="632" spans="1:18" x14ac:dyDescent="0.2">
      <c r="A632" s="173"/>
      <c r="B632" s="173"/>
      <c r="C632" s="75"/>
      <c r="D632" s="75"/>
      <c r="E632" s="76"/>
      <c r="F632" s="76"/>
      <c r="G632" s="76"/>
      <c r="H632" s="75"/>
      <c r="I632" s="174"/>
      <c r="J632" s="174"/>
      <c r="K632" s="174"/>
      <c r="L632" s="174"/>
      <c r="M632" s="174"/>
      <c r="N632" s="175"/>
      <c r="O632" s="175"/>
      <c r="P632" s="175"/>
      <c r="Q632" s="175"/>
      <c r="R632" s="173"/>
    </row>
    <row r="633" spans="1:18" x14ac:dyDescent="0.2">
      <c r="A633" s="173"/>
      <c r="B633" s="173"/>
      <c r="C633" s="75"/>
      <c r="D633" s="75"/>
      <c r="E633" s="76"/>
      <c r="F633" s="76"/>
      <c r="G633" s="76"/>
      <c r="H633" s="75"/>
      <c r="I633" s="174"/>
      <c r="J633" s="174"/>
      <c r="K633" s="174"/>
      <c r="L633" s="174"/>
      <c r="M633" s="174"/>
      <c r="N633" s="175"/>
      <c r="O633" s="175"/>
      <c r="P633" s="175"/>
      <c r="Q633" s="175"/>
      <c r="R633" s="173"/>
    </row>
    <row r="634" spans="1:18" x14ac:dyDescent="0.2">
      <c r="A634" s="173"/>
      <c r="B634" s="173"/>
      <c r="C634" s="75"/>
      <c r="D634" s="75"/>
      <c r="E634" s="76"/>
      <c r="F634" s="76"/>
      <c r="G634" s="76"/>
      <c r="H634" s="75"/>
      <c r="I634" s="174"/>
      <c r="J634" s="174"/>
      <c r="K634" s="174"/>
      <c r="L634" s="174"/>
      <c r="M634" s="174"/>
      <c r="N634" s="175"/>
      <c r="O634" s="175"/>
      <c r="P634" s="175"/>
      <c r="Q634" s="175"/>
      <c r="R634" s="173"/>
    </row>
    <row r="635" spans="1:18" x14ac:dyDescent="0.2">
      <c r="A635" s="173"/>
      <c r="B635" s="173"/>
      <c r="C635" s="75"/>
      <c r="D635" s="75"/>
      <c r="E635" s="76"/>
      <c r="F635" s="76"/>
      <c r="G635" s="76"/>
      <c r="H635" s="75"/>
      <c r="I635" s="174"/>
      <c r="J635" s="174"/>
      <c r="K635" s="174"/>
      <c r="L635" s="174"/>
      <c r="M635" s="174"/>
      <c r="N635" s="175"/>
      <c r="O635" s="175"/>
      <c r="P635" s="175"/>
      <c r="Q635" s="175"/>
      <c r="R635" s="173"/>
    </row>
    <row r="636" spans="1:18" x14ac:dyDescent="0.2">
      <c r="A636" s="173"/>
      <c r="B636" s="173"/>
      <c r="C636" s="75"/>
      <c r="D636" s="75"/>
      <c r="E636" s="76"/>
      <c r="F636" s="76"/>
      <c r="G636" s="76"/>
      <c r="H636" s="75"/>
      <c r="I636" s="174"/>
      <c r="J636" s="174"/>
      <c r="K636" s="174"/>
      <c r="L636" s="174"/>
      <c r="M636" s="174"/>
      <c r="N636" s="175"/>
      <c r="O636" s="175"/>
      <c r="P636" s="175"/>
      <c r="Q636" s="175"/>
      <c r="R636" s="173"/>
    </row>
    <row r="637" spans="1:18" x14ac:dyDescent="0.2">
      <c r="C637" s="75"/>
      <c r="D637" s="75"/>
      <c r="E637" s="76"/>
      <c r="F637" s="76"/>
      <c r="G637" s="76"/>
      <c r="H637" s="75"/>
      <c r="I637" s="96"/>
      <c r="J637" s="96"/>
      <c r="K637" s="96"/>
      <c r="L637" s="96"/>
      <c r="M637" s="96"/>
      <c r="N637" s="175"/>
      <c r="O637" s="175"/>
      <c r="P637" s="175"/>
      <c r="Q637" s="175"/>
    </row>
    <row r="638" spans="1:18" x14ac:dyDescent="0.2">
      <c r="C638" s="75"/>
      <c r="D638" s="75"/>
      <c r="E638" s="76"/>
      <c r="F638" s="76"/>
      <c r="G638" s="76"/>
      <c r="H638" s="75"/>
      <c r="I638" s="96"/>
      <c r="J638" s="96"/>
      <c r="K638" s="96"/>
      <c r="L638" s="96"/>
      <c r="M638" s="96"/>
      <c r="N638" s="175"/>
      <c r="O638" s="175"/>
      <c r="P638" s="175"/>
      <c r="Q638" s="175"/>
    </row>
    <row r="639" spans="1:18" x14ac:dyDescent="0.2">
      <c r="C639" s="75"/>
      <c r="D639" s="75"/>
      <c r="E639" s="76"/>
      <c r="F639" s="76"/>
      <c r="G639" s="76"/>
      <c r="H639" s="75"/>
      <c r="I639" s="96"/>
      <c r="J639" s="96"/>
      <c r="K639" s="96"/>
      <c r="L639" s="96"/>
      <c r="M639" s="96"/>
      <c r="N639" s="175"/>
      <c r="O639" s="175"/>
      <c r="P639" s="175"/>
      <c r="Q639" s="175"/>
    </row>
    <row r="640" spans="1:18" x14ac:dyDescent="0.2">
      <c r="C640" s="75"/>
      <c r="D640" s="75"/>
      <c r="E640" s="76"/>
      <c r="F640" s="76"/>
      <c r="G640" s="76"/>
      <c r="H640" s="75"/>
      <c r="I640" s="96"/>
      <c r="J640" s="96"/>
      <c r="K640" s="96"/>
      <c r="L640" s="96"/>
      <c r="M640" s="96"/>
      <c r="N640" s="175"/>
      <c r="O640" s="175"/>
      <c r="P640" s="175"/>
      <c r="Q640" s="175"/>
    </row>
    <row r="641" spans="3:17" x14ac:dyDescent="0.2">
      <c r="C641" s="75"/>
      <c r="D641" s="75"/>
      <c r="E641" s="76"/>
      <c r="F641" s="76"/>
      <c r="G641" s="76"/>
      <c r="H641" s="75"/>
      <c r="I641" s="96"/>
      <c r="J641" s="96"/>
      <c r="K641" s="96"/>
      <c r="L641" s="96"/>
      <c r="M641" s="96"/>
      <c r="N641" s="175"/>
      <c r="O641" s="175"/>
      <c r="P641" s="175"/>
      <c r="Q641" s="175"/>
    </row>
    <row r="642" spans="3:17" x14ac:dyDescent="0.2">
      <c r="C642" s="75"/>
      <c r="D642" s="75"/>
      <c r="E642" s="76"/>
      <c r="F642" s="76"/>
      <c r="G642" s="76"/>
      <c r="H642" s="75"/>
      <c r="N642" s="76"/>
      <c r="O642" s="76"/>
      <c r="P642" s="76"/>
      <c r="Q642" s="76"/>
    </row>
    <row r="643" spans="3:17" x14ac:dyDescent="0.2">
      <c r="N643" s="76"/>
      <c r="O643" s="76"/>
      <c r="P643" s="76"/>
      <c r="Q643" s="76"/>
    </row>
    <row r="644" spans="3:17" x14ac:dyDescent="0.2">
      <c r="N644" s="76"/>
      <c r="O644" s="76"/>
      <c r="P644" s="76"/>
      <c r="Q644" s="76"/>
    </row>
    <row r="645" spans="3:17" x14ac:dyDescent="0.2">
      <c r="N645" s="76"/>
      <c r="O645" s="76"/>
      <c r="P645" s="76"/>
      <c r="Q645" s="76"/>
    </row>
    <row r="646" spans="3:17" x14ac:dyDescent="0.2">
      <c r="N646" s="76"/>
      <c r="O646" s="76"/>
      <c r="P646" s="76"/>
      <c r="Q646" s="76"/>
    </row>
    <row r="647" spans="3:17" x14ac:dyDescent="0.2">
      <c r="N647" s="76"/>
      <c r="O647" s="76"/>
      <c r="P647" s="76"/>
      <c r="Q647" s="76"/>
    </row>
    <row r="648" spans="3:17" x14ac:dyDescent="0.2">
      <c r="N648" s="76"/>
      <c r="O648" s="76"/>
      <c r="P648" s="76"/>
      <c r="Q648" s="76"/>
    </row>
    <row r="649" spans="3:17" x14ac:dyDescent="0.2">
      <c r="N649" s="76"/>
      <c r="O649" s="76"/>
      <c r="P649" s="76"/>
      <c r="Q649" s="76"/>
    </row>
    <row r="650" spans="3:17" x14ac:dyDescent="0.2">
      <c r="N650" s="76"/>
      <c r="O650" s="76"/>
      <c r="P650" s="76"/>
      <c r="Q650" s="76"/>
    </row>
    <row r="651" spans="3:17" x14ac:dyDescent="0.2">
      <c r="N651" s="76"/>
      <c r="O651" s="76"/>
      <c r="P651" s="76"/>
      <c r="Q651" s="76"/>
    </row>
    <row r="652" spans="3:17" x14ac:dyDescent="0.2">
      <c r="N652" s="76"/>
      <c r="O652" s="76"/>
      <c r="P652" s="76"/>
      <c r="Q652" s="76"/>
    </row>
    <row r="653" spans="3:17" x14ac:dyDescent="0.2">
      <c r="N653" s="76"/>
      <c r="O653" s="76"/>
      <c r="P653" s="76"/>
      <c r="Q653" s="76"/>
    </row>
    <row r="654" spans="3:17" x14ac:dyDescent="0.2">
      <c r="N654" s="76"/>
      <c r="O654" s="76"/>
      <c r="P654" s="76"/>
      <c r="Q654" s="76"/>
    </row>
    <row r="655" spans="3:17" x14ac:dyDescent="0.2">
      <c r="N655" s="76"/>
      <c r="O655" s="76"/>
      <c r="P655" s="76"/>
      <c r="Q655" s="76"/>
    </row>
    <row r="656" spans="3:17" x14ac:dyDescent="0.2">
      <c r="N656" s="76"/>
      <c r="O656" s="76"/>
      <c r="P656" s="76"/>
      <c r="Q656" s="76"/>
    </row>
    <row r="657" spans="14:17" x14ac:dyDescent="0.2">
      <c r="N657" s="76"/>
      <c r="O657" s="76"/>
      <c r="P657" s="76"/>
      <c r="Q657" s="76"/>
    </row>
    <row r="658" spans="14:17" x14ac:dyDescent="0.2">
      <c r="N658" s="76"/>
      <c r="O658" s="76"/>
      <c r="P658" s="76"/>
      <c r="Q658" s="76"/>
    </row>
    <row r="659" spans="14:17" x14ac:dyDescent="0.2">
      <c r="N659" s="76"/>
      <c r="O659" s="76"/>
      <c r="P659" s="76"/>
      <c r="Q659" s="76"/>
    </row>
    <row r="660" spans="14:17" x14ac:dyDescent="0.2">
      <c r="N660" s="76"/>
      <c r="O660" s="76"/>
      <c r="P660" s="76"/>
      <c r="Q660" s="76"/>
    </row>
    <row r="661" spans="14:17" x14ac:dyDescent="0.2">
      <c r="N661" s="76"/>
      <c r="O661" s="76"/>
      <c r="P661" s="76"/>
      <c r="Q661" s="76"/>
    </row>
    <row r="662" spans="14:17" x14ac:dyDescent="0.2">
      <c r="N662" s="76"/>
      <c r="O662" s="76"/>
      <c r="P662" s="76"/>
      <c r="Q662" s="76"/>
    </row>
    <row r="663" spans="14:17" x14ac:dyDescent="0.2">
      <c r="N663" s="76"/>
      <c r="O663" s="76"/>
      <c r="P663" s="76"/>
      <c r="Q663" s="76"/>
    </row>
    <row r="664" spans="14:17" x14ac:dyDescent="0.2">
      <c r="N664" s="76"/>
      <c r="O664" s="76"/>
      <c r="P664" s="76"/>
      <c r="Q664" s="76"/>
    </row>
    <row r="665" spans="14:17" x14ac:dyDescent="0.2">
      <c r="N665" s="76"/>
      <c r="O665" s="76"/>
      <c r="P665" s="76"/>
      <c r="Q665" s="76"/>
    </row>
    <row r="666" spans="14:17" x14ac:dyDescent="0.2">
      <c r="N666" s="76"/>
      <c r="O666" s="76"/>
      <c r="P666" s="76"/>
      <c r="Q666" s="76"/>
    </row>
    <row r="667" spans="14:17" x14ac:dyDescent="0.2">
      <c r="N667" s="76"/>
      <c r="O667" s="76"/>
      <c r="P667" s="76"/>
      <c r="Q667" s="76"/>
    </row>
    <row r="668" spans="14:17" x14ac:dyDescent="0.2">
      <c r="N668" s="76"/>
      <c r="O668" s="76"/>
      <c r="P668" s="76"/>
      <c r="Q668" s="76"/>
    </row>
    <row r="669" spans="14:17" x14ac:dyDescent="0.2">
      <c r="N669" s="76"/>
      <c r="O669" s="76"/>
      <c r="P669" s="76"/>
      <c r="Q669" s="76"/>
    </row>
    <row r="670" spans="14:17" x14ac:dyDescent="0.2">
      <c r="N670" s="76"/>
      <c r="O670" s="76"/>
      <c r="P670" s="76"/>
      <c r="Q670" s="76"/>
    </row>
    <row r="671" spans="14:17" x14ac:dyDescent="0.2">
      <c r="N671" s="76"/>
      <c r="O671" s="76"/>
      <c r="P671" s="76"/>
      <c r="Q671" s="76"/>
    </row>
    <row r="672" spans="14:17" x14ac:dyDescent="0.2">
      <c r="N672" s="76"/>
      <c r="O672" s="76"/>
      <c r="P672" s="76"/>
      <c r="Q672" s="76"/>
    </row>
    <row r="673" spans="14:17" x14ac:dyDescent="0.2">
      <c r="N673" s="76"/>
      <c r="O673" s="76"/>
      <c r="P673" s="76"/>
      <c r="Q673" s="76"/>
    </row>
    <row r="674" spans="14:17" x14ac:dyDescent="0.2">
      <c r="N674" s="76"/>
      <c r="O674" s="76"/>
      <c r="P674" s="76"/>
      <c r="Q674" s="76"/>
    </row>
    <row r="675" spans="14:17" x14ac:dyDescent="0.2">
      <c r="N675" s="76"/>
      <c r="O675" s="76"/>
      <c r="P675" s="76"/>
      <c r="Q675" s="76"/>
    </row>
    <row r="676" spans="14:17" x14ac:dyDescent="0.2">
      <c r="N676" s="76"/>
      <c r="O676" s="76"/>
      <c r="P676" s="76"/>
      <c r="Q676" s="76"/>
    </row>
    <row r="677" spans="14:17" x14ac:dyDescent="0.2">
      <c r="N677" s="76"/>
      <c r="O677" s="76"/>
      <c r="P677" s="76"/>
      <c r="Q677" s="76"/>
    </row>
    <row r="678" spans="14:17" x14ac:dyDescent="0.2">
      <c r="N678" s="76"/>
      <c r="O678" s="76"/>
      <c r="P678" s="76"/>
      <c r="Q678" s="76"/>
    </row>
    <row r="679" spans="14:17" x14ac:dyDescent="0.2">
      <c r="N679" s="76"/>
      <c r="O679" s="76"/>
      <c r="P679" s="76"/>
      <c r="Q679" s="76"/>
    </row>
    <row r="680" spans="14:17" x14ac:dyDescent="0.2">
      <c r="N680" s="76"/>
      <c r="O680" s="76"/>
      <c r="P680" s="76"/>
      <c r="Q680" s="76"/>
    </row>
    <row r="681" spans="14:17" x14ac:dyDescent="0.2">
      <c r="N681" s="76"/>
      <c r="O681" s="76"/>
      <c r="P681" s="76"/>
      <c r="Q681" s="76"/>
    </row>
    <row r="682" spans="14:17" x14ac:dyDescent="0.2">
      <c r="N682" s="76"/>
      <c r="O682" s="76"/>
      <c r="P682" s="76"/>
      <c r="Q682" s="76"/>
    </row>
    <row r="683" spans="14:17" x14ac:dyDescent="0.2">
      <c r="N683" s="76"/>
      <c r="O683" s="76"/>
      <c r="P683" s="76"/>
      <c r="Q683" s="76"/>
    </row>
    <row r="684" spans="14:17" x14ac:dyDescent="0.2">
      <c r="N684" s="76"/>
      <c r="O684" s="76"/>
      <c r="P684" s="76"/>
      <c r="Q684" s="76"/>
    </row>
    <row r="685" spans="14:17" x14ac:dyDescent="0.2">
      <c r="N685" s="76"/>
      <c r="O685" s="76"/>
      <c r="P685" s="76"/>
      <c r="Q685" s="76"/>
    </row>
    <row r="686" spans="14:17" x14ac:dyDescent="0.2">
      <c r="N686" s="76"/>
      <c r="O686" s="76"/>
      <c r="P686" s="76"/>
      <c r="Q686" s="76"/>
    </row>
    <row r="687" spans="14:17" x14ac:dyDescent="0.2">
      <c r="N687" s="76"/>
      <c r="O687" s="76"/>
      <c r="P687" s="76"/>
      <c r="Q687" s="76"/>
    </row>
    <row r="688" spans="14:17" x14ac:dyDescent="0.2">
      <c r="N688" s="76"/>
      <c r="O688" s="76"/>
      <c r="P688" s="76"/>
      <c r="Q688" s="76"/>
    </row>
    <row r="689" spans="14:17" x14ac:dyDescent="0.2">
      <c r="N689" s="76"/>
      <c r="O689" s="76"/>
      <c r="P689" s="76"/>
      <c r="Q689" s="76"/>
    </row>
    <row r="690" spans="14:17" x14ac:dyDescent="0.2">
      <c r="N690" s="76"/>
      <c r="O690" s="76"/>
      <c r="P690" s="76"/>
      <c r="Q690" s="76"/>
    </row>
    <row r="691" spans="14:17" x14ac:dyDescent="0.2">
      <c r="N691" s="76"/>
      <c r="O691" s="76"/>
      <c r="P691" s="76"/>
      <c r="Q691" s="76"/>
    </row>
    <row r="692" spans="14:17" x14ac:dyDescent="0.2">
      <c r="N692" s="76"/>
      <c r="O692" s="76"/>
      <c r="P692" s="76"/>
      <c r="Q692" s="76"/>
    </row>
    <row r="693" spans="14:17" x14ac:dyDescent="0.2">
      <c r="N693" s="76"/>
      <c r="O693" s="76"/>
      <c r="P693" s="76"/>
      <c r="Q693" s="76"/>
    </row>
    <row r="694" spans="14:17" x14ac:dyDescent="0.2">
      <c r="N694" s="76"/>
      <c r="O694" s="76"/>
      <c r="P694" s="76"/>
      <c r="Q694" s="76"/>
    </row>
    <row r="695" spans="14:17" x14ac:dyDescent="0.2">
      <c r="N695" s="76"/>
      <c r="O695" s="76"/>
      <c r="P695" s="76"/>
      <c r="Q695" s="76"/>
    </row>
    <row r="696" spans="14:17" x14ac:dyDescent="0.2">
      <c r="N696" s="76"/>
      <c r="O696" s="76"/>
      <c r="P696" s="76"/>
      <c r="Q696" s="76"/>
    </row>
    <row r="697" spans="14:17" x14ac:dyDescent="0.2">
      <c r="N697" s="76"/>
      <c r="O697" s="76"/>
      <c r="P697" s="76"/>
      <c r="Q697" s="76"/>
    </row>
    <row r="698" spans="14:17" x14ac:dyDescent="0.2">
      <c r="N698" s="76"/>
      <c r="O698" s="76"/>
      <c r="P698" s="76"/>
      <c r="Q698" s="76"/>
    </row>
    <row r="699" spans="14:17" x14ac:dyDescent="0.2">
      <c r="N699" s="76"/>
      <c r="O699" s="76"/>
      <c r="P699" s="76"/>
      <c r="Q699" s="76"/>
    </row>
    <row r="700" spans="14:17" x14ac:dyDescent="0.2">
      <c r="N700" s="76"/>
      <c r="O700" s="76"/>
      <c r="P700" s="76"/>
      <c r="Q700" s="76"/>
    </row>
    <row r="701" spans="14:17" x14ac:dyDescent="0.2">
      <c r="N701" s="76"/>
      <c r="O701" s="76"/>
      <c r="P701" s="76"/>
      <c r="Q701" s="76"/>
    </row>
    <row r="702" spans="14:17" x14ac:dyDescent="0.2">
      <c r="N702" s="76"/>
      <c r="O702" s="76"/>
      <c r="P702" s="76"/>
      <c r="Q702" s="76"/>
    </row>
    <row r="703" spans="14:17" x14ac:dyDescent="0.2">
      <c r="N703" s="76"/>
      <c r="O703" s="76"/>
      <c r="P703" s="76"/>
      <c r="Q703" s="76"/>
    </row>
    <row r="704" spans="14:17" x14ac:dyDescent="0.2">
      <c r="N704" s="76"/>
      <c r="O704" s="76"/>
      <c r="P704" s="76"/>
      <c r="Q704" s="76"/>
    </row>
    <row r="705" spans="14:17" x14ac:dyDescent="0.2">
      <c r="N705" s="76"/>
      <c r="O705" s="76"/>
      <c r="P705" s="76"/>
      <c r="Q705" s="76"/>
    </row>
    <row r="706" spans="14:17" x14ac:dyDescent="0.2">
      <c r="N706" s="76"/>
      <c r="O706" s="76"/>
      <c r="P706" s="76"/>
      <c r="Q706" s="76"/>
    </row>
    <row r="707" spans="14:17" x14ac:dyDescent="0.2">
      <c r="N707" s="76"/>
      <c r="O707" s="76"/>
      <c r="P707" s="76"/>
      <c r="Q707" s="76"/>
    </row>
    <row r="708" spans="14:17" x14ac:dyDescent="0.2">
      <c r="N708" s="76"/>
      <c r="O708" s="76"/>
      <c r="P708" s="76"/>
      <c r="Q708" s="76"/>
    </row>
    <row r="709" spans="14:17" x14ac:dyDescent="0.2">
      <c r="N709" s="76"/>
      <c r="O709" s="76"/>
      <c r="P709" s="76"/>
      <c r="Q709" s="76"/>
    </row>
    <row r="710" spans="14:17" x14ac:dyDescent="0.2">
      <c r="N710" s="76"/>
      <c r="O710" s="76"/>
      <c r="P710" s="76"/>
      <c r="Q710" s="76"/>
    </row>
    <row r="711" spans="14:17" x14ac:dyDescent="0.2">
      <c r="N711" s="76"/>
      <c r="O711" s="76"/>
      <c r="P711" s="76"/>
      <c r="Q711" s="76"/>
    </row>
    <row r="712" spans="14:17" x14ac:dyDescent="0.2">
      <c r="N712" s="76"/>
      <c r="O712" s="76"/>
      <c r="P712" s="76"/>
      <c r="Q712" s="76"/>
    </row>
    <row r="713" spans="14:17" x14ac:dyDescent="0.2">
      <c r="N713" s="76"/>
      <c r="O713" s="76"/>
      <c r="P713" s="76"/>
      <c r="Q713" s="76"/>
    </row>
    <row r="714" spans="14:17" x14ac:dyDescent="0.2">
      <c r="N714" s="76"/>
      <c r="O714" s="76"/>
      <c r="P714" s="76"/>
      <c r="Q714" s="76"/>
    </row>
    <row r="715" spans="14:17" x14ac:dyDescent="0.2">
      <c r="N715" s="76"/>
      <c r="O715" s="76"/>
      <c r="P715" s="76"/>
      <c r="Q715" s="76"/>
    </row>
    <row r="716" spans="14:17" x14ac:dyDescent="0.2">
      <c r="N716" s="76"/>
      <c r="O716" s="76"/>
      <c r="P716" s="76"/>
      <c r="Q716" s="76"/>
    </row>
    <row r="717" spans="14:17" x14ac:dyDescent="0.2">
      <c r="N717" s="76"/>
      <c r="O717" s="76"/>
      <c r="P717" s="76"/>
      <c r="Q717" s="76"/>
    </row>
    <row r="718" spans="14:17" x14ac:dyDescent="0.2">
      <c r="N718" s="76"/>
      <c r="O718" s="76"/>
      <c r="P718" s="76"/>
      <c r="Q718" s="76"/>
    </row>
    <row r="719" spans="14:17" x14ac:dyDescent="0.2">
      <c r="N719" s="76"/>
      <c r="O719" s="76"/>
      <c r="P719" s="76"/>
      <c r="Q719" s="76"/>
    </row>
    <row r="720" spans="14:17" x14ac:dyDescent="0.2">
      <c r="N720" s="76"/>
      <c r="O720" s="76"/>
      <c r="P720" s="76"/>
      <c r="Q720" s="76"/>
    </row>
    <row r="721" spans="14:17" x14ac:dyDescent="0.2">
      <c r="N721" s="76"/>
      <c r="O721" s="76"/>
      <c r="P721" s="76"/>
      <c r="Q721" s="76"/>
    </row>
    <row r="722" spans="14:17" x14ac:dyDescent="0.2">
      <c r="N722" s="76"/>
      <c r="O722" s="76"/>
      <c r="P722" s="76"/>
      <c r="Q722" s="76"/>
    </row>
    <row r="723" spans="14:17" x14ac:dyDescent="0.2">
      <c r="N723" s="76"/>
      <c r="O723" s="76"/>
      <c r="P723" s="76"/>
      <c r="Q723" s="76"/>
    </row>
    <row r="724" spans="14:17" x14ac:dyDescent="0.2">
      <c r="N724" s="76"/>
      <c r="O724" s="76"/>
      <c r="P724" s="76"/>
      <c r="Q724" s="76"/>
    </row>
    <row r="725" spans="14:17" x14ac:dyDescent="0.2">
      <c r="N725" s="76"/>
      <c r="O725" s="76"/>
      <c r="P725" s="76"/>
      <c r="Q725" s="76"/>
    </row>
    <row r="726" spans="14:17" x14ac:dyDescent="0.2">
      <c r="N726" s="76"/>
      <c r="O726" s="76"/>
      <c r="P726" s="76"/>
      <c r="Q726" s="76"/>
    </row>
    <row r="727" spans="14:17" x14ac:dyDescent="0.2">
      <c r="N727" s="76"/>
      <c r="O727" s="76"/>
      <c r="P727" s="76"/>
      <c r="Q727" s="76"/>
    </row>
    <row r="728" spans="14:17" x14ac:dyDescent="0.2">
      <c r="N728" s="76"/>
      <c r="O728" s="76"/>
      <c r="P728" s="76"/>
      <c r="Q728" s="76"/>
    </row>
    <row r="729" spans="14:17" x14ac:dyDescent="0.2">
      <c r="N729" s="76"/>
      <c r="O729" s="76"/>
      <c r="P729" s="76"/>
      <c r="Q729" s="76"/>
    </row>
    <row r="730" spans="14:17" x14ac:dyDescent="0.2">
      <c r="N730" s="76"/>
      <c r="O730" s="76"/>
      <c r="P730" s="76"/>
      <c r="Q730" s="76"/>
    </row>
    <row r="731" spans="14:17" x14ac:dyDescent="0.2">
      <c r="N731" s="76"/>
      <c r="O731" s="76"/>
      <c r="P731" s="76"/>
      <c r="Q731" s="76"/>
    </row>
    <row r="732" spans="14:17" x14ac:dyDescent="0.2">
      <c r="N732" s="76"/>
      <c r="O732" s="76"/>
      <c r="P732" s="76"/>
      <c r="Q732" s="76"/>
    </row>
    <row r="733" spans="14:17" x14ac:dyDescent="0.2">
      <c r="N733" s="76"/>
      <c r="O733" s="76"/>
      <c r="P733" s="76"/>
      <c r="Q733" s="76"/>
    </row>
    <row r="734" spans="14:17" x14ac:dyDescent="0.2">
      <c r="N734" s="76"/>
      <c r="O734" s="76"/>
      <c r="P734" s="76"/>
      <c r="Q734" s="76"/>
    </row>
    <row r="735" spans="14:17" x14ac:dyDescent="0.2">
      <c r="N735" s="76"/>
      <c r="O735" s="76"/>
      <c r="P735" s="76"/>
      <c r="Q735" s="76"/>
    </row>
    <row r="736" spans="14:17" x14ac:dyDescent="0.2">
      <c r="N736" s="76"/>
      <c r="O736" s="76"/>
      <c r="P736" s="76"/>
      <c r="Q736" s="76"/>
    </row>
    <row r="737" spans="14:17" x14ac:dyDescent="0.2">
      <c r="N737" s="76"/>
      <c r="O737" s="76"/>
      <c r="P737" s="76"/>
      <c r="Q737" s="76"/>
    </row>
    <row r="738" spans="14:17" x14ac:dyDescent="0.2">
      <c r="N738" s="76"/>
      <c r="O738" s="76"/>
      <c r="P738" s="76"/>
      <c r="Q738" s="76"/>
    </row>
    <row r="739" spans="14:17" x14ac:dyDescent="0.2">
      <c r="N739" s="76"/>
      <c r="O739" s="76"/>
      <c r="P739" s="76"/>
      <c r="Q739" s="76"/>
    </row>
    <row r="740" spans="14:17" x14ac:dyDescent="0.2">
      <c r="N740" s="76"/>
      <c r="O740" s="76"/>
      <c r="P740" s="76"/>
      <c r="Q740" s="76"/>
    </row>
    <row r="741" spans="14:17" x14ac:dyDescent="0.2">
      <c r="N741" s="76"/>
      <c r="O741" s="76"/>
      <c r="P741" s="76"/>
      <c r="Q741" s="76"/>
    </row>
    <row r="742" spans="14:17" x14ac:dyDescent="0.2">
      <c r="N742" s="76"/>
      <c r="O742" s="76"/>
      <c r="P742" s="76"/>
      <c r="Q742" s="76"/>
    </row>
    <row r="743" spans="14:17" x14ac:dyDescent="0.2">
      <c r="N743" s="76"/>
      <c r="O743" s="76"/>
      <c r="P743" s="76"/>
      <c r="Q743" s="76"/>
    </row>
    <row r="744" spans="14:17" x14ac:dyDescent="0.2">
      <c r="N744" s="76"/>
      <c r="O744" s="76"/>
      <c r="P744" s="76"/>
      <c r="Q744" s="76"/>
    </row>
    <row r="745" spans="14:17" x14ac:dyDescent="0.2">
      <c r="N745" s="76"/>
      <c r="O745" s="76"/>
      <c r="P745" s="76"/>
      <c r="Q745" s="76"/>
    </row>
    <row r="746" spans="14:17" x14ac:dyDescent="0.2">
      <c r="N746" s="76"/>
      <c r="O746" s="76"/>
      <c r="P746" s="76"/>
      <c r="Q746" s="76"/>
    </row>
    <row r="747" spans="14:17" x14ac:dyDescent="0.2">
      <c r="N747" s="76"/>
      <c r="O747" s="76"/>
      <c r="P747" s="76"/>
      <c r="Q747" s="76"/>
    </row>
    <row r="748" spans="14:17" x14ac:dyDescent="0.2">
      <c r="N748" s="76"/>
      <c r="O748" s="76"/>
      <c r="P748" s="76"/>
      <c r="Q748" s="76"/>
    </row>
    <row r="749" spans="14:17" x14ac:dyDescent="0.2">
      <c r="N749" s="76"/>
      <c r="O749" s="76"/>
      <c r="P749" s="76"/>
      <c r="Q749" s="76"/>
    </row>
    <row r="750" spans="14:17" x14ac:dyDescent="0.2">
      <c r="N750" s="76"/>
      <c r="O750" s="76"/>
      <c r="P750" s="76"/>
      <c r="Q750" s="76"/>
    </row>
    <row r="751" spans="14:17" x14ac:dyDescent="0.2">
      <c r="N751" s="76"/>
      <c r="O751" s="76"/>
      <c r="P751" s="76"/>
      <c r="Q751" s="76"/>
    </row>
    <row r="752" spans="14:17" x14ac:dyDescent="0.2">
      <c r="N752" s="76"/>
      <c r="O752" s="76"/>
      <c r="P752" s="76"/>
      <c r="Q752" s="76"/>
    </row>
    <row r="753" spans="14:17" x14ac:dyDescent="0.2">
      <c r="N753" s="76"/>
      <c r="O753" s="76"/>
      <c r="P753" s="76"/>
      <c r="Q753" s="76"/>
    </row>
    <row r="754" spans="14:17" x14ac:dyDescent="0.2">
      <c r="N754" s="76"/>
      <c r="O754" s="76"/>
      <c r="P754" s="76"/>
      <c r="Q754" s="76"/>
    </row>
    <row r="755" spans="14:17" x14ac:dyDescent="0.2">
      <c r="N755" s="76"/>
      <c r="O755" s="76"/>
      <c r="P755" s="76"/>
      <c r="Q755" s="76"/>
    </row>
    <row r="756" spans="14:17" x14ac:dyDescent="0.2">
      <c r="N756" s="76"/>
      <c r="O756" s="76"/>
      <c r="P756" s="76"/>
      <c r="Q756" s="76"/>
    </row>
    <row r="757" spans="14:17" x14ac:dyDescent="0.2">
      <c r="N757" s="76"/>
      <c r="O757" s="76"/>
      <c r="P757" s="76"/>
      <c r="Q757" s="76"/>
    </row>
    <row r="758" spans="14:17" x14ac:dyDescent="0.2">
      <c r="N758" s="76"/>
      <c r="O758" s="76"/>
      <c r="P758" s="76"/>
      <c r="Q758" s="76"/>
    </row>
    <row r="759" spans="14:17" x14ac:dyDescent="0.2">
      <c r="N759" s="76"/>
      <c r="O759" s="76"/>
      <c r="P759" s="76"/>
      <c r="Q759" s="76"/>
    </row>
    <row r="760" spans="14:17" x14ac:dyDescent="0.2">
      <c r="N760" s="76"/>
      <c r="O760" s="76"/>
      <c r="P760" s="76"/>
      <c r="Q760" s="76"/>
    </row>
    <row r="761" spans="14:17" x14ac:dyDescent="0.2">
      <c r="N761" s="76"/>
      <c r="O761" s="76"/>
      <c r="P761" s="76"/>
      <c r="Q761" s="76"/>
    </row>
    <row r="762" spans="14:17" x14ac:dyDescent="0.2">
      <c r="N762" s="76"/>
      <c r="O762" s="76"/>
      <c r="P762" s="76"/>
      <c r="Q762" s="76"/>
    </row>
    <row r="763" spans="14:17" x14ac:dyDescent="0.2">
      <c r="N763" s="76"/>
      <c r="O763" s="76"/>
      <c r="P763" s="76"/>
      <c r="Q763" s="76"/>
    </row>
    <row r="764" spans="14:17" x14ac:dyDescent="0.2">
      <c r="N764" s="76"/>
      <c r="O764" s="76"/>
      <c r="P764" s="76"/>
      <c r="Q764" s="76"/>
    </row>
    <row r="765" spans="14:17" x14ac:dyDescent="0.2">
      <c r="N765" s="76"/>
      <c r="O765" s="76"/>
      <c r="P765" s="76"/>
      <c r="Q765" s="76"/>
    </row>
    <row r="766" spans="14:17" x14ac:dyDescent="0.2">
      <c r="N766" s="76"/>
      <c r="O766" s="76"/>
      <c r="P766" s="76"/>
      <c r="Q766" s="76"/>
    </row>
    <row r="767" spans="14:17" x14ac:dyDescent="0.2">
      <c r="N767" s="76"/>
      <c r="O767" s="76"/>
      <c r="P767" s="76"/>
      <c r="Q767" s="76"/>
    </row>
    <row r="768" spans="14:17" x14ac:dyDescent="0.2">
      <c r="N768" s="76"/>
      <c r="O768" s="76"/>
      <c r="P768" s="76"/>
      <c r="Q768" s="76"/>
    </row>
    <row r="769" spans="14:17" x14ac:dyDescent="0.2">
      <c r="N769" s="76"/>
      <c r="O769" s="76"/>
      <c r="P769" s="76"/>
      <c r="Q769" s="76"/>
    </row>
    <row r="770" spans="14:17" x14ac:dyDescent="0.2">
      <c r="N770" s="76"/>
      <c r="O770" s="76"/>
      <c r="P770" s="76"/>
      <c r="Q770" s="76"/>
    </row>
    <row r="771" spans="14:17" x14ac:dyDescent="0.2">
      <c r="N771" s="76"/>
      <c r="O771" s="76"/>
      <c r="P771" s="76"/>
      <c r="Q771" s="76"/>
    </row>
    <row r="772" spans="14:17" x14ac:dyDescent="0.2">
      <c r="N772" s="76"/>
      <c r="O772" s="76"/>
      <c r="P772" s="76"/>
      <c r="Q772" s="76"/>
    </row>
    <row r="773" spans="14:17" x14ac:dyDescent="0.2">
      <c r="N773" s="76"/>
      <c r="O773" s="76"/>
      <c r="P773" s="76"/>
      <c r="Q773" s="76"/>
    </row>
    <row r="774" spans="14:17" x14ac:dyDescent="0.2">
      <c r="N774" s="76"/>
      <c r="O774" s="76"/>
      <c r="P774" s="76"/>
      <c r="Q774" s="76"/>
    </row>
    <row r="775" spans="14:17" x14ac:dyDescent="0.2">
      <c r="N775" s="76"/>
      <c r="O775" s="76"/>
      <c r="P775" s="76"/>
      <c r="Q775" s="76"/>
    </row>
    <row r="776" spans="14:17" x14ac:dyDescent="0.2">
      <c r="N776" s="76"/>
      <c r="O776" s="76"/>
      <c r="P776" s="76"/>
      <c r="Q776" s="76"/>
    </row>
    <row r="777" spans="14:17" x14ac:dyDescent="0.2">
      <c r="N777" s="76"/>
      <c r="O777" s="76"/>
      <c r="P777" s="76"/>
      <c r="Q777" s="76"/>
    </row>
    <row r="778" spans="14:17" x14ac:dyDescent="0.2">
      <c r="N778" s="76"/>
      <c r="O778" s="76"/>
      <c r="P778" s="76"/>
      <c r="Q778" s="76"/>
    </row>
    <row r="779" spans="14:17" x14ac:dyDescent="0.2">
      <c r="N779" s="76"/>
      <c r="O779" s="76"/>
      <c r="P779" s="76"/>
      <c r="Q779" s="76"/>
    </row>
    <row r="780" spans="14:17" x14ac:dyDescent="0.2">
      <c r="N780" s="76"/>
      <c r="O780" s="76"/>
      <c r="P780" s="76"/>
      <c r="Q780" s="76"/>
    </row>
    <row r="781" spans="14:17" x14ac:dyDescent="0.2">
      <c r="N781" s="76"/>
      <c r="O781" s="76"/>
      <c r="P781" s="76"/>
      <c r="Q781" s="76"/>
    </row>
    <row r="782" spans="14:17" x14ac:dyDescent="0.2">
      <c r="N782" s="76"/>
      <c r="O782" s="76"/>
      <c r="P782" s="76"/>
      <c r="Q782" s="76"/>
    </row>
    <row r="783" spans="14:17" x14ac:dyDescent="0.2">
      <c r="N783" s="76"/>
      <c r="O783" s="76"/>
      <c r="P783" s="76"/>
      <c r="Q783" s="76"/>
    </row>
    <row r="784" spans="14:17" x14ac:dyDescent="0.2">
      <c r="N784" s="76"/>
      <c r="O784" s="76"/>
      <c r="P784" s="76"/>
      <c r="Q784" s="76"/>
    </row>
    <row r="785" spans="14:17" x14ac:dyDescent="0.2">
      <c r="N785" s="76"/>
      <c r="O785" s="76"/>
      <c r="P785" s="76"/>
      <c r="Q785" s="76"/>
    </row>
    <row r="786" spans="14:17" x14ac:dyDescent="0.2">
      <c r="N786" s="76"/>
      <c r="O786" s="76"/>
      <c r="P786" s="76"/>
      <c r="Q786" s="76"/>
    </row>
    <row r="787" spans="14:17" x14ac:dyDescent="0.2">
      <c r="N787" s="76"/>
      <c r="O787" s="76"/>
      <c r="P787" s="76"/>
      <c r="Q787" s="76"/>
    </row>
    <row r="788" spans="14:17" x14ac:dyDescent="0.2">
      <c r="N788" s="76"/>
      <c r="O788" s="76"/>
      <c r="P788" s="76"/>
      <c r="Q788" s="76"/>
    </row>
    <row r="789" spans="14:17" x14ac:dyDescent="0.2">
      <c r="N789" s="76"/>
      <c r="O789" s="76"/>
      <c r="P789" s="76"/>
      <c r="Q789" s="76"/>
    </row>
    <row r="790" spans="14:17" x14ac:dyDescent="0.2">
      <c r="N790" s="76"/>
      <c r="O790" s="76"/>
      <c r="P790" s="76"/>
      <c r="Q790" s="76"/>
    </row>
    <row r="791" spans="14:17" x14ac:dyDescent="0.2">
      <c r="N791" s="76"/>
      <c r="O791" s="76"/>
      <c r="P791" s="76"/>
      <c r="Q791" s="76"/>
    </row>
    <row r="792" spans="14:17" x14ac:dyDescent="0.2">
      <c r="N792" s="76"/>
      <c r="O792" s="76"/>
      <c r="P792" s="76"/>
      <c r="Q792" s="76"/>
    </row>
    <row r="793" spans="14:17" x14ac:dyDescent="0.2">
      <c r="N793" s="76"/>
      <c r="O793" s="76"/>
      <c r="P793" s="76"/>
      <c r="Q793" s="76"/>
    </row>
    <row r="794" spans="14:17" x14ac:dyDescent="0.2">
      <c r="N794" s="76"/>
      <c r="O794" s="76"/>
      <c r="P794" s="76"/>
      <c r="Q794" s="76"/>
    </row>
    <row r="795" spans="14:17" x14ac:dyDescent="0.2">
      <c r="N795" s="76"/>
      <c r="O795" s="76"/>
      <c r="P795" s="76"/>
      <c r="Q795" s="76"/>
    </row>
    <row r="796" spans="14:17" x14ac:dyDescent="0.2">
      <c r="N796" s="76"/>
      <c r="O796" s="76"/>
      <c r="P796" s="76"/>
      <c r="Q796" s="76"/>
    </row>
    <row r="797" spans="14:17" x14ac:dyDescent="0.2">
      <c r="N797" s="76"/>
      <c r="O797" s="76"/>
      <c r="P797" s="76"/>
      <c r="Q797" s="76"/>
    </row>
    <row r="798" spans="14:17" x14ac:dyDescent="0.2">
      <c r="N798" s="76"/>
      <c r="O798" s="76"/>
      <c r="P798" s="76"/>
      <c r="Q798" s="76"/>
    </row>
    <row r="799" spans="14:17" x14ac:dyDescent="0.2">
      <c r="N799" s="76"/>
      <c r="O799" s="76"/>
      <c r="P799" s="76"/>
      <c r="Q799" s="76"/>
    </row>
    <row r="800" spans="14:17" x14ac:dyDescent="0.2">
      <c r="N800" s="76"/>
      <c r="O800" s="76"/>
      <c r="P800" s="76"/>
      <c r="Q800" s="76"/>
    </row>
    <row r="801" spans="14:17" x14ac:dyDescent="0.2">
      <c r="N801" s="76"/>
      <c r="O801" s="76"/>
      <c r="P801" s="76"/>
      <c r="Q801" s="76"/>
    </row>
    <row r="802" spans="14:17" x14ac:dyDescent="0.2">
      <c r="N802" s="76"/>
      <c r="O802" s="76"/>
      <c r="P802" s="76"/>
      <c r="Q802" s="76"/>
    </row>
    <row r="803" spans="14:17" x14ac:dyDescent="0.2">
      <c r="N803" s="76"/>
      <c r="O803" s="76"/>
      <c r="P803" s="76"/>
      <c r="Q803" s="76"/>
    </row>
    <row r="804" spans="14:17" x14ac:dyDescent="0.2">
      <c r="N804" s="76"/>
      <c r="O804" s="76"/>
      <c r="P804" s="76"/>
      <c r="Q804" s="76"/>
    </row>
    <row r="805" spans="14:17" x14ac:dyDescent="0.2">
      <c r="N805" s="76"/>
      <c r="O805" s="76"/>
      <c r="P805" s="76"/>
      <c r="Q805" s="76"/>
    </row>
    <row r="806" spans="14:17" x14ac:dyDescent="0.2">
      <c r="N806" s="76"/>
      <c r="O806" s="76"/>
      <c r="P806" s="76"/>
      <c r="Q806" s="76"/>
    </row>
    <row r="807" spans="14:17" x14ac:dyDescent="0.2">
      <c r="N807" s="76"/>
      <c r="O807" s="76"/>
      <c r="P807" s="76"/>
      <c r="Q807" s="76"/>
    </row>
    <row r="808" spans="14:17" x14ac:dyDescent="0.2">
      <c r="N808" s="76"/>
      <c r="O808" s="76"/>
      <c r="P808" s="76"/>
      <c r="Q808" s="76"/>
    </row>
    <row r="809" spans="14:17" x14ac:dyDescent="0.2">
      <c r="N809" s="76"/>
      <c r="O809" s="76"/>
      <c r="P809" s="76"/>
      <c r="Q809" s="76"/>
    </row>
    <row r="810" spans="14:17" x14ac:dyDescent="0.2">
      <c r="N810" s="76"/>
      <c r="O810" s="76"/>
      <c r="P810" s="76"/>
      <c r="Q810" s="76"/>
    </row>
    <row r="811" spans="14:17" x14ac:dyDescent="0.2">
      <c r="N811" s="76"/>
      <c r="O811" s="76"/>
      <c r="P811" s="76"/>
      <c r="Q811" s="76"/>
    </row>
    <row r="812" spans="14:17" x14ac:dyDescent="0.2">
      <c r="N812" s="76"/>
      <c r="O812" s="76"/>
      <c r="P812" s="76"/>
      <c r="Q812" s="76"/>
    </row>
    <row r="813" spans="14:17" x14ac:dyDescent="0.2">
      <c r="N813" s="76"/>
      <c r="O813" s="76"/>
      <c r="P813" s="76"/>
      <c r="Q813" s="76"/>
    </row>
    <row r="814" spans="14:17" x14ac:dyDescent="0.2">
      <c r="N814" s="76"/>
      <c r="O814" s="76"/>
      <c r="P814" s="76"/>
      <c r="Q814" s="76"/>
    </row>
    <row r="815" spans="14:17" x14ac:dyDescent="0.2">
      <c r="N815" s="76"/>
      <c r="O815" s="76"/>
      <c r="P815" s="76"/>
      <c r="Q815" s="76"/>
    </row>
    <row r="816" spans="14:17" x14ac:dyDescent="0.2">
      <c r="N816" s="76"/>
      <c r="O816" s="76"/>
      <c r="P816" s="76"/>
      <c r="Q816" s="76"/>
    </row>
    <row r="817" spans="14:17" x14ac:dyDescent="0.2">
      <c r="N817" s="76"/>
      <c r="O817" s="76"/>
      <c r="P817" s="76"/>
      <c r="Q817" s="76"/>
    </row>
    <row r="818" spans="14:17" x14ac:dyDescent="0.2">
      <c r="N818" s="76"/>
      <c r="O818" s="76"/>
      <c r="P818" s="76"/>
      <c r="Q818" s="76"/>
    </row>
    <row r="819" spans="14:17" x14ac:dyDescent="0.2">
      <c r="N819" s="76"/>
      <c r="O819" s="76"/>
      <c r="P819" s="76"/>
      <c r="Q819" s="76"/>
    </row>
    <row r="820" spans="14:17" x14ac:dyDescent="0.2">
      <c r="N820" s="76"/>
      <c r="O820" s="76"/>
      <c r="P820" s="76"/>
      <c r="Q820" s="76"/>
    </row>
    <row r="821" spans="14:17" x14ac:dyDescent="0.2">
      <c r="N821" s="76"/>
      <c r="O821" s="76"/>
      <c r="P821" s="76"/>
      <c r="Q821" s="76"/>
    </row>
    <row r="822" spans="14:17" x14ac:dyDescent="0.2">
      <c r="N822" s="76"/>
      <c r="O822" s="76"/>
      <c r="P822" s="76"/>
      <c r="Q822" s="76"/>
    </row>
    <row r="823" spans="14:17" x14ac:dyDescent="0.2">
      <c r="N823" s="76"/>
      <c r="O823" s="76"/>
      <c r="P823" s="76"/>
      <c r="Q823" s="76"/>
    </row>
    <row r="824" spans="14:17" x14ac:dyDescent="0.2">
      <c r="N824" s="76"/>
      <c r="O824" s="76"/>
      <c r="P824" s="76"/>
      <c r="Q824" s="76"/>
    </row>
    <row r="825" spans="14:17" x14ac:dyDescent="0.2">
      <c r="N825" s="76"/>
      <c r="O825" s="76"/>
      <c r="P825" s="76"/>
      <c r="Q825" s="76"/>
    </row>
    <row r="826" spans="14:17" x14ac:dyDescent="0.2">
      <c r="N826" s="76"/>
      <c r="O826" s="76"/>
      <c r="P826" s="76"/>
      <c r="Q826" s="76"/>
    </row>
    <row r="827" spans="14:17" x14ac:dyDescent="0.2">
      <c r="N827" s="76"/>
      <c r="O827" s="76"/>
      <c r="P827" s="76"/>
      <c r="Q827" s="76"/>
    </row>
    <row r="828" spans="14:17" x14ac:dyDescent="0.2">
      <c r="N828" s="76"/>
      <c r="O828" s="76"/>
      <c r="P828" s="76"/>
      <c r="Q828" s="76"/>
    </row>
    <row r="829" spans="14:17" x14ac:dyDescent="0.2">
      <c r="N829" s="76"/>
      <c r="O829" s="76"/>
      <c r="P829" s="76"/>
      <c r="Q829" s="76"/>
    </row>
    <row r="830" spans="14:17" x14ac:dyDescent="0.2">
      <c r="N830" s="76"/>
      <c r="O830" s="76"/>
      <c r="P830" s="76"/>
      <c r="Q830" s="76"/>
    </row>
    <row r="831" spans="14:17" x14ac:dyDescent="0.2">
      <c r="N831" s="76"/>
      <c r="O831" s="76"/>
      <c r="P831" s="76"/>
      <c r="Q831" s="76"/>
    </row>
    <row r="832" spans="14:17" x14ac:dyDescent="0.2">
      <c r="N832" s="76"/>
      <c r="O832" s="76"/>
      <c r="P832" s="76"/>
      <c r="Q832" s="76"/>
    </row>
    <row r="833" spans="14:17" x14ac:dyDescent="0.2">
      <c r="N833" s="76"/>
      <c r="O833" s="76"/>
      <c r="P833" s="76"/>
      <c r="Q833" s="76"/>
    </row>
    <row r="834" spans="14:17" x14ac:dyDescent="0.2">
      <c r="N834" s="76"/>
      <c r="O834" s="76"/>
      <c r="P834" s="76"/>
      <c r="Q834" s="76"/>
    </row>
    <row r="835" spans="14:17" x14ac:dyDescent="0.2">
      <c r="N835" s="76"/>
      <c r="O835" s="76"/>
      <c r="P835" s="76"/>
      <c r="Q835" s="76"/>
    </row>
    <row r="836" spans="14:17" x14ac:dyDescent="0.2">
      <c r="N836" s="76"/>
      <c r="O836" s="76"/>
      <c r="P836" s="76"/>
      <c r="Q836" s="76"/>
    </row>
    <row r="837" spans="14:17" x14ac:dyDescent="0.2">
      <c r="N837" s="76"/>
      <c r="O837" s="76"/>
      <c r="P837" s="76"/>
      <c r="Q837" s="76"/>
    </row>
    <row r="838" spans="14:17" x14ac:dyDescent="0.2">
      <c r="N838" s="76"/>
      <c r="O838" s="76"/>
      <c r="P838" s="76"/>
      <c r="Q838" s="76"/>
    </row>
    <row r="839" spans="14:17" x14ac:dyDescent="0.2">
      <c r="N839" s="76"/>
      <c r="O839" s="76"/>
      <c r="P839" s="76"/>
      <c r="Q839" s="76"/>
    </row>
    <row r="840" spans="14:17" x14ac:dyDescent="0.2">
      <c r="N840" s="76"/>
      <c r="O840" s="76"/>
      <c r="P840" s="76"/>
      <c r="Q840" s="76"/>
    </row>
    <row r="841" spans="14:17" x14ac:dyDescent="0.2">
      <c r="N841" s="76"/>
      <c r="O841" s="76"/>
      <c r="P841" s="76"/>
      <c r="Q841" s="76"/>
    </row>
    <row r="842" spans="14:17" x14ac:dyDescent="0.2">
      <c r="N842" s="76"/>
      <c r="O842" s="76"/>
      <c r="P842" s="76"/>
      <c r="Q842" s="76"/>
    </row>
    <row r="843" spans="14:17" x14ac:dyDescent="0.2">
      <c r="N843" s="76"/>
      <c r="O843" s="76"/>
      <c r="P843" s="76"/>
      <c r="Q843" s="76"/>
    </row>
    <row r="844" spans="14:17" x14ac:dyDescent="0.2">
      <c r="N844" s="76"/>
      <c r="O844" s="76"/>
      <c r="P844" s="76"/>
      <c r="Q844" s="76"/>
    </row>
    <row r="845" spans="14:17" x14ac:dyDescent="0.2">
      <c r="N845" s="76"/>
      <c r="O845" s="76"/>
      <c r="P845" s="76"/>
      <c r="Q845" s="76"/>
    </row>
    <row r="846" spans="14:17" x14ac:dyDescent="0.2">
      <c r="N846" s="76"/>
      <c r="O846" s="76"/>
      <c r="P846" s="76"/>
      <c r="Q846" s="76"/>
    </row>
    <row r="847" spans="14:17" x14ac:dyDescent="0.2">
      <c r="N847" s="76"/>
      <c r="O847" s="76"/>
      <c r="P847" s="76"/>
      <c r="Q847" s="76"/>
    </row>
    <row r="848" spans="14:17" x14ac:dyDescent="0.2">
      <c r="N848" s="76"/>
      <c r="O848" s="76"/>
      <c r="P848" s="76"/>
      <c r="Q848" s="76"/>
    </row>
    <row r="849" spans="14:17" x14ac:dyDescent="0.2">
      <c r="N849" s="76"/>
      <c r="O849" s="76"/>
      <c r="P849" s="76"/>
      <c r="Q849" s="76"/>
    </row>
    <row r="850" spans="14:17" x14ac:dyDescent="0.2">
      <c r="N850" s="76"/>
      <c r="O850" s="76"/>
      <c r="P850" s="76"/>
      <c r="Q850" s="76"/>
    </row>
    <row r="851" spans="14:17" x14ac:dyDescent="0.2">
      <c r="N851" s="76"/>
      <c r="O851" s="76"/>
      <c r="P851" s="76"/>
      <c r="Q851" s="76"/>
    </row>
    <row r="852" spans="14:17" x14ac:dyDescent="0.2">
      <c r="N852" s="76"/>
      <c r="O852" s="76"/>
      <c r="P852" s="76"/>
      <c r="Q852" s="76"/>
    </row>
    <row r="853" spans="14:17" x14ac:dyDescent="0.2">
      <c r="N853" s="76"/>
      <c r="O853" s="76"/>
      <c r="P853" s="76"/>
      <c r="Q853" s="76"/>
    </row>
    <row r="854" spans="14:17" x14ac:dyDescent="0.2">
      <c r="N854" s="76"/>
      <c r="O854" s="76"/>
      <c r="P854" s="76"/>
      <c r="Q854" s="76"/>
    </row>
    <row r="855" spans="14:17" x14ac:dyDescent="0.2">
      <c r="N855" s="76"/>
      <c r="O855" s="76"/>
      <c r="P855" s="76"/>
      <c r="Q855" s="76"/>
    </row>
    <row r="856" spans="14:17" x14ac:dyDescent="0.2">
      <c r="N856" s="76"/>
      <c r="O856" s="76"/>
      <c r="P856" s="76"/>
      <c r="Q856" s="76"/>
    </row>
    <row r="857" spans="14:17" x14ac:dyDescent="0.2">
      <c r="N857" s="76"/>
      <c r="O857" s="76"/>
      <c r="P857" s="76"/>
      <c r="Q857" s="76"/>
    </row>
    <row r="858" spans="14:17" x14ac:dyDescent="0.2">
      <c r="N858" s="76"/>
      <c r="O858" s="76"/>
      <c r="P858" s="76"/>
      <c r="Q858" s="76"/>
    </row>
    <row r="859" spans="14:17" x14ac:dyDescent="0.2">
      <c r="N859" s="76"/>
      <c r="O859" s="76"/>
      <c r="P859" s="76"/>
      <c r="Q859" s="76"/>
    </row>
    <row r="860" spans="14:17" x14ac:dyDescent="0.2">
      <c r="N860" s="76"/>
      <c r="O860" s="76"/>
      <c r="P860" s="76"/>
      <c r="Q860" s="76"/>
    </row>
    <row r="861" spans="14:17" x14ac:dyDescent="0.2">
      <c r="N861" s="76"/>
      <c r="O861" s="76"/>
      <c r="P861" s="76"/>
      <c r="Q861" s="76"/>
    </row>
    <row r="862" spans="14:17" x14ac:dyDescent="0.2">
      <c r="N862" s="76"/>
      <c r="O862" s="76"/>
      <c r="P862" s="76"/>
      <c r="Q862" s="76"/>
    </row>
    <row r="863" spans="14:17" x14ac:dyDescent="0.2">
      <c r="N863" s="76"/>
      <c r="O863" s="76"/>
      <c r="P863" s="76"/>
      <c r="Q863" s="76"/>
    </row>
    <row r="864" spans="14:17" x14ac:dyDescent="0.2">
      <c r="N864" s="76"/>
      <c r="O864" s="76"/>
      <c r="P864" s="76"/>
      <c r="Q864" s="76"/>
    </row>
    <row r="865" spans="14:17" x14ac:dyDescent="0.2">
      <c r="N865" s="76"/>
      <c r="O865" s="76"/>
      <c r="P865" s="76"/>
      <c r="Q865" s="76"/>
    </row>
    <row r="866" spans="14:17" x14ac:dyDescent="0.2">
      <c r="N866" s="76"/>
      <c r="O866" s="76"/>
      <c r="P866" s="76"/>
      <c r="Q866" s="76"/>
    </row>
    <row r="867" spans="14:17" x14ac:dyDescent="0.2">
      <c r="N867" s="76"/>
      <c r="O867" s="76"/>
      <c r="P867" s="76"/>
      <c r="Q867" s="76"/>
    </row>
    <row r="868" spans="14:17" x14ac:dyDescent="0.2">
      <c r="N868" s="76"/>
      <c r="O868" s="76"/>
      <c r="P868" s="76"/>
      <c r="Q868" s="76"/>
    </row>
    <row r="869" spans="14:17" x14ac:dyDescent="0.2">
      <c r="N869" s="76"/>
      <c r="O869" s="76"/>
      <c r="P869" s="76"/>
      <c r="Q869" s="76"/>
    </row>
    <row r="870" spans="14:17" x14ac:dyDescent="0.2">
      <c r="N870" s="76"/>
      <c r="O870" s="76"/>
      <c r="P870" s="76"/>
      <c r="Q870" s="76"/>
    </row>
    <row r="871" spans="14:17" x14ac:dyDescent="0.2">
      <c r="N871" s="76"/>
      <c r="O871" s="76"/>
      <c r="P871" s="76"/>
      <c r="Q871" s="76"/>
    </row>
    <row r="872" spans="14:17" x14ac:dyDescent="0.2">
      <c r="N872" s="76"/>
      <c r="O872" s="76"/>
      <c r="P872" s="76"/>
      <c r="Q872" s="76"/>
    </row>
    <row r="873" spans="14:17" x14ac:dyDescent="0.2">
      <c r="N873" s="76"/>
      <c r="O873" s="76"/>
      <c r="P873" s="76"/>
      <c r="Q873" s="76"/>
    </row>
    <row r="874" spans="14:17" x14ac:dyDescent="0.2">
      <c r="N874" s="76"/>
      <c r="O874" s="76"/>
      <c r="P874" s="76"/>
      <c r="Q874" s="76"/>
    </row>
    <row r="875" spans="14:17" x14ac:dyDescent="0.2">
      <c r="N875" s="76"/>
      <c r="O875" s="76"/>
      <c r="P875" s="76"/>
      <c r="Q875" s="76"/>
    </row>
    <row r="876" spans="14:17" x14ac:dyDescent="0.2">
      <c r="N876" s="76"/>
      <c r="O876" s="76"/>
      <c r="P876" s="76"/>
      <c r="Q876" s="76"/>
    </row>
    <row r="877" spans="14:17" x14ac:dyDescent="0.2">
      <c r="N877" s="76"/>
      <c r="O877" s="76"/>
      <c r="P877" s="76"/>
      <c r="Q877" s="76"/>
    </row>
    <row r="878" spans="14:17" x14ac:dyDescent="0.2">
      <c r="N878" s="76"/>
      <c r="O878" s="76"/>
      <c r="P878" s="76"/>
      <c r="Q878" s="76"/>
    </row>
    <row r="879" spans="14:17" x14ac:dyDescent="0.2">
      <c r="N879" s="76"/>
      <c r="O879" s="76"/>
      <c r="P879" s="76"/>
      <c r="Q879" s="76"/>
    </row>
    <row r="880" spans="14:17" x14ac:dyDescent="0.2">
      <c r="N880" s="76"/>
      <c r="O880" s="76"/>
      <c r="P880" s="76"/>
      <c r="Q880" s="76"/>
    </row>
    <row r="881" spans="14:17" x14ac:dyDescent="0.2">
      <c r="N881" s="76"/>
      <c r="O881" s="76"/>
      <c r="P881" s="76"/>
      <c r="Q881" s="76"/>
    </row>
    <row r="882" spans="14:17" x14ac:dyDescent="0.2">
      <c r="N882" s="76"/>
      <c r="O882" s="76"/>
      <c r="P882" s="76"/>
      <c r="Q882" s="76"/>
    </row>
    <row r="883" spans="14:17" x14ac:dyDescent="0.2">
      <c r="N883" s="76"/>
      <c r="O883" s="76"/>
      <c r="P883" s="76"/>
      <c r="Q883" s="76"/>
    </row>
    <row r="884" spans="14:17" x14ac:dyDescent="0.2">
      <c r="N884" s="76"/>
      <c r="O884" s="76"/>
      <c r="P884" s="76"/>
      <c r="Q884" s="76"/>
    </row>
    <row r="885" spans="14:17" x14ac:dyDescent="0.2">
      <c r="N885" s="76"/>
      <c r="O885" s="76"/>
      <c r="P885" s="76"/>
      <c r="Q885" s="76"/>
    </row>
    <row r="886" spans="14:17" x14ac:dyDescent="0.2">
      <c r="N886" s="76"/>
      <c r="O886" s="76"/>
      <c r="P886" s="76"/>
      <c r="Q886" s="76"/>
    </row>
    <row r="887" spans="14:17" x14ac:dyDescent="0.2">
      <c r="N887" s="76"/>
      <c r="O887" s="76"/>
      <c r="P887" s="76"/>
      <c r="Q887" s="76"/>
    </row>
    <row r="888" spans="14:17" x14ac:dyDescent="0.2">
      <c r="N888" s="76"/>
      <c r="O888" s="76"/>
      <c r="P888" s="76"/>
      <c r="Q888" s="76"/>
    </row>
    <row r="889" spans="14:17" x14ac:dyDescent="0.2">
      <c r="N889" s="76"/>
      <c r="O889" s="76"/>
      <c r="P889" s="76"/>
      <c r="Q889" s="76"/>
    </row>
    <row r="890" spans="14:17" x14ac:dyDescent="0.2">
      <c r="N890" s="76"/>
      <c r="O890" s="76"/>
      <c r="P890" s="76"/>
      <c r="Q890" s="76"/>
    </row>
    <row r="891" spans="14:17" x14ac:dyDescent="0.2">
      <c r="N891" s="76"/>
      <c r="O891" s="76"/>
      <c r="P891" s="76"/>
      <c r="Q891" s="76"/>
    </row>
    <row r="892" spans="14:17" x14ac:dyDescent="0.2">
      <c r="N892" s="76"/>
      <c r="O892" s="76"/>
      <c r="P892" s="76"/>
      <c r="Q892" s="76"/>
    </row>
    <row r="893" spans="14:17" x14ac:dyDescent="0.2">
      <c r="N893" s="76"/>
      <c r="O893" s="76"/>
      <c r="P893" s="76"/>
      <c r="Q893" s="76"/>
    </row>
    <row r="894" spans="14:17" x14ac:dyDescent="0.2">
      <c r="N894" s="76"/>
      <c r="O894" s="76"/>
      <c r="P894" s="76"/>
      <c r="Q894" s="76"/>
    </row>
    <row r="895" spans="14:17" x14ac:dyDescent="0.2">
      <c r="N895" s="76"/>
      <c r="O895" s="76"/>
      <c r="P895" s="76"/>
      <c r="Q895" s="76"/>
    </row>
    <row r="896" spans="14:17" x14ac:dyDescent="0.2">
      <c r="N896" s="76"/>
      <c r="O896" s="76"/>
      <c r="P896" s="76"/>
      <c r="Q896" s="76"/>
    </row>
    <row r="897" spans="14:17" x14ac:dyDescent="0.2">
      <c r="N897" s="76"/>
      <c r="O897" s="76"/>
      <c r="P897" s="76"/>
      <c r="Q897" s="76"/>
    </row>
    <row r="898" spans="14:17" x14ac:dyDescent="0.2">
      <c r="N898" s="76"/>
      <c r="O898" s="76"/>
      <c r="P898" s="76"/>
      <c r="Q898" s="76"/>
    </row>
    <row r="899" spans="14:17" x14ac:dyDescent="0.2">
      <c r="N899" s="76"/>
      <c r="O899" s="76"/>
      <c r="P899" s="76"/>
      <c r="Q899" s="76"/>
    </row>
    <row r="900" spans="14:17" x14ac:dyDescent="0.2">
      <c r="N900" s="76"/>
      <c r="O900" s="76"/>
      <c r="P900" s="76"/>
      <c r="Q900" s="76"/>
    </row>
    <row r="901" spans="14:17" x14ac:dyDescent="0.2">
      <c r="N901" s="76"/>
      <c r="O901" s="76"/>
      <c r="P901" s="76"/>
      <c r="Q901" s="76"/>
    </row>
    <row r="902" spans="14:17" x14ac:dyDescent="0.2">
      <c r="N902" s="76"/>
      <c r="O902" s="76"/>
      <c r="P902" s="76"/>
      <c r="Q902" s="76"/>
    </row>
    <row r="903" spans="14:17" x14ac:dyDescent="0.2">
      <c r="N903" s="76"/>
      <c r="O903" s="76"/>
      <c r="P903" s="76"/>
      <c r="Q903" s="76"/>
    </row>
    <row r="904" spans="14:17" x14ac:dyDescent="0.2">
      <c r="N904" s="76"/>
      <c r="O904" s="76"/>
      <c r="P904" s="76"/>
      <c r="Q904" s="76"/>
    </row>
    <row r="905" spans="14:17" x14ac:dyDescent="0.2">
      <c r="N905" s="76"/>
      <c r="O905" s="76"/>
      <c r="P905" s="76"/>
      <c r="Q905" s="76"/>
    </row>
  </sheetData>
  <mergeCells count="2">
    <mergeCell ref="F487:F488"/>
    <mergeCell ref="F489:F49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8"/>
  <sheetViews>
    <sheetView showGridLines="0" zoomScale="80" zoomScaleNormal="8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C1" sqref="C1"/>
    </sheetView>
  </sheetViews>
  <sheetFormatPr defaultColWidth="28" defaultRowHeight="16.5" x14ac:dyDescent="0.3"/>
  <cols>
    <col min="1" max="1" width="6" style="81" customWidth="1"/>
    <col min="2" max="2" width="27.140625" style="86" customWidth="1"/>
    <col min="3" max="3" width="10.5703125" style="82" customWidth="1"/>
    <col min="4" max="16" width="10.28515625" style="82" customWidth="1"/>
    <col min="17" max="20" width="10" style="82" customWidth="1"/>
    <col min="21" max="25" width="28" style="82"/>
    <col min="26" max="16384" width="28" style="81"/>
  </cols>
  <sheetData>
    <row r="2" spans="2:26" x14ac:dyDescent="0.3">
      <c r="C2" s="82">
        <v>31</v>
      </c>
      <c r="D2" s="82">
        <v>30</v>
      </c>
      <c r="E2" s="82">
        <v>31</v>
      </c>
      <c r="F2" s="82">
        <v>30</v>
      </c>
      <c r="G2" s="82">
        <v>31</v>
      </c>
      <c r="H2" s="82">
        <v>31</v>
      </c>
      <c r="I2" s="82">
        <v>30</v>
      </c>
      <c r="J2" s="82">
        <v>31</v>
      </c>
      <c r="K2" s="82">
        <v>30</v>
      </c>
      <c r="L2" s="83">
        <f>AVERAGE(D2:K2)</f>
        <v>30.5</v>
      </c>
      <c r="M2" s="82">
        <v>31</v>
      </c>
      <c r="N2" s="82">
        <v>29</v>
      </c>
      <c r="O2" s="82">
        <v>31</v>
      </c>
      <c r="P2" s="82">
        <v>30</v>
      </c>
      <c r="Q2" s="82">
        <v>31</v>
      </c>
      <c r="R2" s="82">
        <v>30</v>
      </c>
      <c r="S2" s="82">
        <v>31</v>
      </c>
      <c r="T2" s="82">
        <v>31</v>
      </c>
    </row>
    <row r="3" spans="2:26" ht="19.5" thickBot="1" x14ac:dyDescent="0.35">
      <c r="L3" s="83"/>
      <c r="P3" s="121"/>
      <c r="Q3" s="123"/>
      <c r="R3" s="123"/>
      <c r="S3" s="122" t="s">
        <v>376</v>
      </c>
      <c r="T3" s="122" t="s">
        <v>375</v>
      </c>
    </row>
    <row r="4" spans="2:26" ht="34.5" customHeight="1" thickBot="1" x14ac:dyDescent="0.35">
      <c r="B4" s="140" t="s">
        <v>25</v>
      </c>
      <c r="C4" s="141" t="s">
        <v>34</v>
      </c>
      <c r="D4" s="141" t="s">
        <v>9</v>
      </c>
      <c r="E4" s="141" t="s">
        <v>10</v>
      </c>
      <c r="F4" s="141" t="s">
        <v>11</v>
      </c>
      <c r="G4" s="141" t="s">
        <v>12</v>
      </c>
      <c r="H4" s="141" t="s">
        <v>13</v>
      </c>
      <c r="I4" s="141" t="s">
        <v>38</v>
      </c>
      <c r="J4" s="141" t="s">
        <v>15</v>
      </c>
      <c r="K4" s="141" t="s">
        <v>16</v>
      </c>
      <c r="L4" s="141" t="s">
        <v>17</v>
      </c>
      <c r="M4" s="141" t="s">
        <v>18</v>
      </c>
      <c r="N4" s="141" t="s">
        <v>19</v>
      </c>
      <c r="O4" s="141" t="s">
        <v>20</v>
      </c>
      <c r="P4" s="141" t="s">
        <v>336</v>
      </c>
      <c r="Q4" s="141" t="s">
        <v>337</v>
      </c>
      <c r="R4" s="141" t="s">
        <v>338</v>
      </c>
      <c r="S4" s="142" t="s">
        <v>339</v>
      </c>
      <c r="T4" s="142" t="s">
        <v>339</v>
      </c>
      <c r="U4" s="82" t="s">
        <v>239</v>
      </c>
      <c r="V4" s="82" t="s">
        <v>238</v>
      </c>
      <c r="W4" s="82" t="s">
        <v>240</v>
      </c>
      <c r="X4" s="82" t="s">
        <v>241</v>
      </c>
      <c r="Y4" s="82" t="s">
        <v>242</v>
      </c>
    </row>
    <row r="5" spans="2:26" ht="21" customHeight="1" x14ac:dyDescent="0.3">
      <c r="B5" s="101" t="s">
        <v>251</v>
      </c>
      <c r="C5" s="87">
        <v>42.98</v>
      </c>
      <c r="D5" s="87">
        <v>49.68</v>
      </c>
      <c r="E5" s="87">
        <v>55.22</v>
      </c>
      <c r="F5" s="87">
        <v>55.95</v>
      </c>
      <c r="G5" s="87">
        <v>53.82</v>
      </c>
      <c r="H5" s="87">
        <v>41.63</v>
      </c>
      <c r="I5" s="87">
        <v>30.96</v>
      </c>
      <c r="J5" s="87">
        <v>39.01</v>
      </c>
      <c r="K5" s="87">
        <v>37.74</v>
      </c>
      <c r="L5" s="137">
        <v>44.331919488999993</v>
      </c>
      <c r="M5" s="138">
        <v>37.92</v>
      </c>
      <c r="N5" s="138">
        <v>40.095024731000002</v>
      </c>
      <c r="O5" s="138">
        <v>50.658810297999999</v>
      </c>
      <c r="P5" s="138">
        <v>42.66</v>
      </c>
      <c r="Q5" s="139">
        <v>37.721383541000002</v>
      </c>
      <c r="R5" s="139">
        <v>45.113206271000003</v>
      </c>
      <c r="S5" s="139">
        <v>41.165381771999996</v>
      </c>
      <c r="T5" s="120">
        <v>41.165381771999996</v>
      </c>
      <c r="U5" s="84">
        <f>AVERAGE(D5:O5)</f>
        <v>44.751312876500002</v>
      </c>
      <c r="V5" s="84">
        <f>Q5/Q$2</f>
        <v>1.2168188239032258</v>
      </c>
    </row>
    <row r="6" spans="2:26" ht="21" customHeight="1" x14ac:dyDescent="0.3">
      <c r="B6" s="99" t="s">
        <v>253</v>
      </c>
      <c r="C6" s="88">
        <v>34.133497884207834</v>
      </c>
      <c r="D6" s="88">
        <v>39.148918715118896</v>
      </c>
      <c r="E6" s="88">
        <v>43.101758783100458</v>
      </c>
      <c r="F6" s="88">
        <v>43.786653215955596</v>
      </c>
      <c r="G6" s="88">
        <v>42.604106035852304</v>
      </c>
      <c r="H6" s="88">
        <v>34.363569672441159</v>
      </c>
      <c r="I6" s="88">
        <v>24.183560809403041</v>
      </c>
      <c r="J6" s="88">
        <v>31.635019834372287</v>
      </c>
      <c r="K6" s="88">
        <v>29.744408228791688</v>
      </c>
      <c r="L6" s="124">
        <v>37.829609708306599</v>
      </c>
      <c r="M6" s="125">
        <v>30.62029281990144</v>
      </c>
      <c r="N6" s="125">
        <v>34.164152461547431</v>
      </c>
      <c r="O6" s="125">
        <v>43.432265175004318</v>
      </c>
      <c r="P6" s="125">
        <v>36.159593124967401</v>
      </c>
      <c r="Q6" s="126">
        <v>33.167549711194305</v>
      </c>
      <c r="R6" s="126">
        <v>39.064038991306091</v>
      </c>
      <c r="S6" s="126">
        <v>35.829314128327987</v>
      </c>
      <c r="T6" s="119">
        <v>35.829314128327987</v>
      </c>
      <c r="U6" s="84">
        <f>AVERAGE(D6:O6)</f>
        <v>36.217859621649602</v>
      </c>
      <c r="V6" s="84">
        <f>Q6/Q$2</f>
        <v>1.0699209584256226</v>
      </c>
      <c r="W6" s="90">
        <f>L6/L5</f>
        <v>0.85332668073831541</v>
      </c>
      <c r="X6" s="90">
        <f>M6/M5</f>
        <v>0.80749717352060757</v>
      </c>
    </row>
    <row r="7" spans="2:26" ht="21" customHeight="1" x14ac:dyDescent="0.3">
      <c r="B7" s="99" t="s">
        <v>254</v>
      </c>
      <c r="C7" s="88">
        <v>56.096892969999992</v>
      </c>
      <c r="D7" s="88">
        <v>50.537219285000006</v>
      </c>
      <c r="E7" s="88">
        <v>50.133501553999999</v>
      </c>
      <c r="F7" s="88">
        <v>51.578394978000013</v>
      </c>
      <c r="G7" s="88">
        <v>43.090162485</v>
      </c>
      <c r="H7" s="88">
        <v>47.088657600000005</v>
      </c>
      <c r="I7" s="88">
        <v>48.997062833000008</v>
      </c>
      <c r="J7" s="88">
        <v>46.612762449000016</v>
      </c>
      <c r="K7" s="88">
        <v>53.084861634000021</v>
      </c>
      <c r="L7" s="124">
        <v>47.800973722000002</v>
      </c>
      <c r="M7" s="125">
        <v>47.252492879999991</v>
      </c>
      <c r="N7" s="125">
        <v>49.322500198000007</v>
      </c>
      <c r="O7" s="125">
        <v>50.740736715999986</v>
      </c>
      <c r="P7" s="125">
        <v>49.911482357000004</v>
      </c>
      <c r="Q7" s="126">
        <v>54.774238240999992</v>
      </c>
      <c r="R7" s="126">
        <v>57.817936441999983</v>
      </c>
      <c r="S7" s="126">
        <v>50.933553901999993</v>
      </c>
      <c r="T7" s="119">
        <v>50.933553901999993</v>
      </c>
      <c r="U7" s="84">
        <f>AVERAGE(D7:O7)</f>
        <v>48.853277194500009</v>
      </c>
      <c r="V7" s="84"/>
      <c r="W7" s="83">
        <f>U7/V6</f>
        <v>45.660641386432033</v>
      </c>
      <c r="X7" s="82">
        <f>U8/V5</f>
        <v>84.245283412936303</v>
      </c>
      <c r="Y7" s="82">
        <f>U9/V6</f>
        <v>42.964875811570963</v>
      </c>
      <c r="Z7" s="85">
        <f>W7+X7-Y7</f>
        <v>86.941048987797373</v>
      </c>
    </row>
    <row r="8" spans="2:26" ht="21" customHeight="1" x14ac:dyDescent="0.3">
      <c r="B8" s="99" t="s">
        <v>252</v>
      </c>
      <c r="C8" s="89"/>
      <c r="D8" s="88">
        <v>220.08715386499995</v>
      </c>
      <c r="E8" s="88">
        <v>225.75121927800001</v>
      </c>
      <c r="F8" s="88">
        <v>104.83791502400004</v>
      </c>
      <c r="G8" s="88">
        <v>98.593555939000069</v>
      </c>
      <c r="H8" s="88">
        <v>85.949292474000103</v>
      </c>
      <c r="I8" s="88">
        <v>72.855046430000016</v>
      </c>
      <c r="J8" s="88">
        <v>72.900860451000028</v>
      </c>
      <c r="K8" s="88">
        <v>79.08116340400008</v>
      </c>
      <c r="L8" s="124">
        <v>77.900000000000006</v>
      </c>
      <c r="M8" s="125">
        <v>76.88</v>
      </c>
      <c r="N8" s="125">
        <v>75.3</v>
      </c>
      <c r="O8" s="125">
        <v>71.260000000000005</v>
      </c>
      <c r="P8" s="125">
        <v>71.25</v>
      </c>
      <c r="Q8" s="126">
        <v>57.77</v>
      </c>
      <c r="R8" s="126"/>
      <c r="S8" s="126"/>
      <c r="T8" s="119"/>
      <c r="U8" s="84">
        <f>AVERAGE(D8:P8)</f>
        <v>102.5112466819231</v>
      </c>
      <c r="V8" s="84">
        <f>Q8/Q$2</f>
        <v>1.8635483870967744</v>
      </c>
    </row>
    <row r="9" spans="2:26" ht="21" customHeight="1" x14ac:dyDescent="0.3">
      <c r="B9" s="99" t="s">
        <v>255</v>
      </c>
      <c r="C9" s="89"/>
      <c r="D9" s="88">
        <v>47.913969752999996</v>
      </c>
      <c r="E9" s="88">
        <v>46.008594656999996</v>
      </c>
      <c r="F9" s="88">
        <v>57.393666433999996</v>
      </c>
      <c r="G9" s="88">
        <v>52.282477527000005</v>
      </c>
      <c r="H9" s="88">
        <v>54.402668902600041</v>
      </c>
      <c r="I9" s="88">
        <v>44.642564327999999</v>
      </c>
      <c r="J9" s="88">
        <v>40.091602545799994</v>
      </c>
      <c r="K9" s="88">
        <v>44.401730243000031</v>
      </c>
      <c r="L9" s="124">
        <v>42.6</v>
      </c>
      <c r="M9" s="125">
        <v>35.56</v>
      </c>
      <c r="N9" s="125">
        <v>40.78</v>
      </c>
      <c r="O9" s="125">
        <v>45.76</v>
      </c>
      <c r="P9" s="125">
        <v>45.76</v>
      </c>
      <c r="Q9" s="126">
        <v>41.18</v>
      </c>
      <c r="R9" s="126"/>
      <c r="S9" s="126"/>
      <c r="T9" s="119"/>
      <c r="U9" s="84">
        <f>AVERAGE(D9:P9)</f>
        <v>45.969021106953853</v>
      </c>
      <c r="V9" s="84">
        <f>Q9/Q$2</f>
        <v>1.3283870967741935</v>
      </c>
    </row>
    <row r="10" spans="2:26" ht="21" customHeight="1" x14ac:dyDescent="0.3">
      <c r="B10" s="99"/>
      <c r="C10" s="89"/>
      <c r="D10" s="88"/>
      <c r="E10" s="88"/>
      <c r="F10" s="88"/>
      <c r="G10" s="88"/>
      <c r="H10" s="88"/>
      <c r="I10" s="88"/>
      <c r="J10" s="88"/>
      <c r="K10" s="88"/>
      <c r="L10" s="124"/>
      <c r="M10" s="125"/>
      <c r="N10" s="125"/>
      <c r="O10" s="125"/>
      <c r="P10" s="125"/>
      <c r="Q10" s="126"/>
      <c r="R10" s="126"/>
      <c r="S10" s="126"/>
      <c r="T10" s="119"/>
      <c r="U10" s="84"/>
      <c r="V10" s="84"/>
    </row>
    <row r="11" spans="2:26" ht="21" customHeight="1" x14ac:dyDescent="0.3">
      <c r="B11" s="99" t="s">
        <v>256</v>
      </c>
      <c r="C11" s="89"/>
      <c r="D11" s="88">
        <f>(D7/(D6/D2))</f>
        <v>38.726908132062711</v>
      </c>
      <c r="E11" s="88">
        <f>((AVERAGE($D7:E7))/((SUM($D6:E6))/(SUM($D$2:E$2))))</f>
        <v>37.330476525934671</v>
      </c>
      <c r="F11" s="88">
        <f>((AVERAGE($D7:F7))/((SUM($D6:F6))/(SUM($D$2:F$2))))</f>
        <v>36.64170887794706</v>
      </c>
      <c r="G11" s="88">
        <f>((AVERAGE($D7:G7))/((SUM($D6:G6))/(SUM($D$2:G$2))))</f>
        <v>35.328494010888683</v>
      </c>
      <c r="H11" s="88">
        <f>((AVERAGE($D7:H7))/((SUM($D6:H6))/(SUM($D$2:H$2))))</f>
        <v>36.542423112281185</v>
      </c>
      <c r="I11" s="88">
        <f>((AVERAGE($D7:I7))/((SUM($D6:I6))/(SUM($D$2:I$2))))</f>
        <v>39.123722508209788</v>
      </c>
      <c r="J11" s="88">
        <f>((AVERAGE($D7:J7))/((SUM($D6:J6))/(SUM($D$2:J$2))))</f>
        <v>39.927957832673535</v>
      </c>
      <c r="K11" s="88">
        <f>((AVERAGE($D7:K7))/((SUM($D6:K6))/(SUM($D$2:K$2))))</f>
        <v>41.339442316714305</v>
      </c>
      <c r="L11" s="124">
        <f>((AVERAGE($D7:L7))/((SUM($D6:L6))/(SUM($D$2:L$2))))</f>
        <v>41.014913986065956</v>
      </c>
      <c r="M11" s="125">
        <f>((AVERAGE($D7:M7))/((SUM($D6:M6))/(SUM($D$2:M$2))))</f>
        <v>41.602058670835703</v>
      </c>
      <c r="N11" s="125">
        <f>((AVERAGE($D7:N7))/((SUM($D6:N6))/(SUM($D$2:N$2))))</f>
        <v>41.627741563112444</v>
      </c>
      <c r="O11" s="125">
        <f>((AVERAGE($D7:O7))/((SUM($D6:O6))/(SUM($D$2:O$2))))</f>
        <v>41.084410198728357</v>
      </c>
      <c r="P11" s="125">
        <f>((AVERAGE($E7:P7))/((SUM($E6:P6))/(SUM($E$2:P$2))))</f>
        <v>41.324794275801075</v>
      </c>
      <c r="Q11" s="126">
        <f>Q7/(Q6/Q2)</f>
        <v>51.194658642447479</v>
      </c>
      <c r="R11" s="126">
        <f>R7/(R6/R2)</f>
        <v>44.402425812805227</v>
      </c>
      <c r="S11" s="126"/>
      <c r="T11" s="119">
        <f>T7/(T6/T2)</f>
        <v>44.068389512196411</v>
      </c>
      <c r="U11" s="84"/>
      <c r="V11" s="84"/>
    </row>
    <row r="12" spans="2:26" ht="21" customHeight="1" x14ac:dyDescent="0.3">
      <c r="B12" s="99" t="s">
        <v>257</v>
      </c>
      <c r="C12" s="89"/>
      <c r="D12" s="88">
        <f>(D8/(D5/D2))</f>
        <v>132.90287069142511</v>
      </c>
      <c r="E12" s="88">
        <f>((AVERAGE($D8:E8))/((SUM($D5:E5))/(SUM($D$2:E$2))))</f>
        <v>129.62888828275976</v>
      </c>
      <c r="F12" s="88">
        <f>((AVERAGE($D8:F8))/((SUM($D5:F5))/(SUM($D$2:F$2))))</f>
        <v>103.8473572131323</v>
      </c>
      <c r="G12" s="88">
        <f>((AVERAGE($D8:G8))/((SUM($D5:G5))/(SUM($D$2:G$2))))</f>
        <v>92.247310966753616</v>
      </c>
      <c r="H12" s="88">
        <f>((AVERAGE($D8:H8))/((SUM($D5:H5))/(SUM($D$2:H$2))))</f>
        <v>87.77879664201329</v>
      </c>
      <c r="I12" s="88">
        <f>((AVERAGE($D8:I8))/((SUM($D5:I5))/(SUM($D$2:I$2))))</f>
        <v>85.797753191551223</v>
      </c>
      <c r="J12" s="88">
        <f>((AVERAGE($D8:J8))/((SUM($D5:J5))/(SUM($D$2:J$2))))</f>
        <v>82.547171405213945</v>
      </c>
      <c r="K12" s="88">
        <f>((AVERAGE($D8:K8))/((SUM($D5:K5))/(SUM($D$2:K$2))))</f>
        <v>80.442060134014213</v>
      </c>
      <c r="L12" s="124">
        <f>((AVERAGE($D8:L8))/((SUM($D5:L5))/(SUM($D$2:L$2))))</f>
        <v>77.527343626632785</v>
      </c>
      <c r="M12" s="125">
        <f>((AVERAGE($D8:M8))/((SUM($D5:M5))/(SUM($D$2:M$2))))</f>
        <v>76.318961202705239</v>
      </c>
      <c r="N12" s="125">
        <f>((AVERAGE($D8:N8))/((SUM($D5:N5))/(SUM($D$2:N$2))))</f>
        <v>74.412343729973969</v>
      </c>
      <c r="O12" s="125">
        <f>((AVERAGE($D8:O8))/((SUM($D5:O5))/(SUM($D$2:O$2))))</f>
        <v>71.543573556013214</v>
      </c>
      <c r="P12" s="125">
        <f>((AVERAGE($E8:P8))/((SUM($E5:P5))/(SUM($E$2:P$2))))</f>
        <v>63.93767157646316</v>
      </c>
      <c r="Q12" s="126">
        <f>Q8/(Q5/Q2)</f>
        <v>47.476254365205712</v>
      </c>
      <c r="R12" s="126">
        <f>R8/(R5/R2)</f>
        <v>0</v>
      </c>
      <c r="S12" s="126"/>
      <c r="T12" s="119">
        <f>T8/(T5/T2)</f>
        <v>0</v>
      </c>
      <c r="U12" s="84">
        <f>O8/(O5/O2)</f>
        <v>43.606630061093504</v>
      </c>
      <c r="V12" s="84"/>
    </row>
    <row r="13" spans="2:26" ht="21" customHeight="1" x14ac:dyDescent="0.3">
      <c r="B13" s="99" t="s">
        <v>258</v>
      </c>
      <c r="C13" s="89"/>
      <c r="D13" s="88">
        <f>(D9/(D6/D2))</f>
        <v>36.716699713979168</v>
      </c>
      <c r="E13" s="88">
        <f>((AVERAGE($D9:E9))/((SUM($D6:E6))/(SUM($D$2:E$2))))</f>
        <v>34.828141258374643</v>
      </c>
      <c r="F13" s="88">
        <f>((AVERAGE($D9:F9))/((SUM($D6:F6))/(SUM($D$2:F$2))))</f>
        <v>36.417191977380199</v>
      </c>
      <c r="G13" s="88">
        <f>((AVERAGE($D9:G9))/((SUM($D6:G6))/(SUM($D$2:G$2))))</f>
        <v>36.822270522517329</v>
      </c>
      <c r="H13" s="88">
        <f>((AVERAGE($D9:H9))/((SUM($D6:H6))/(SUM($D$2:H$2))))</f>
        <v>38.889888893392175</v>
      </c>
      <c r="I13" s="88">
        <f>((AVERAGE($D9:I9))/((SUM($D6:I6))/(SUM($D$2:I$2))))</f>
        <v>40.629862370793937</v>
      </c>
      <c r="J13" s="88">
        <f>((AVERAGE($D9:J9))/((SUM($D6:J6))/(SUM($D$2:J$2))))</f>
        <v>40.482845190265486</v>
      </c>
      <c r="K13" s="88">
        <f>((AVERAGE($D9:K9))/((SUM($D6:K6))/(SUM($D$2:K$2))))</f>
        <v>40.918213597578209</v>
      </c>
      <c r="L13" s="124">
        <f>((AVERAGE($D9:L9))/((SUM($D6:L6))/(SUM($D$2:L$2))))</f>
        <v>40.156504422797468</v>
      </c>
      <c r="M13" s="125">
        <f>((AVERAGE($D9:M9))/((SUM($D6:M6))/(SUM($D$2:M$2))))</f>
        <v>39.815459727076103</v>
      </c>
      <c r="N13" s="125">
        <f>((AVERAGE($D9:N9))/((SUM($D6:N6))/(SUM($D$2:N$2))))</f>
        <v>39.340633939514269</v>
      </c>
      <c r="O13" s="125">
        <f>((AVERAGE($D9:O9))/((SUM($D6:O6))/(SUM($D$2:O$2))))</f>
        <v>38.673469904825986</v>
      </c>
      <c r="P13" s="125">
        <f>((AVERAGE($E9:P9))/((SUM($E6:P6))/(SUM($E$2:P$2))))</f>
        <v>38.789314134639369</v>
      </c>
      <c r="Q13" s="126">
        <f>Q9/(Q6/Q2)</f>
        <v>38.488824502135124</v>
      </c>
      <c r="R13" s="126">
        <f>R9/(R6/R2)</f>
        <v>0</v>
      </c>
      <c r="S13" s="126"/>
      <c r="T13" s="119">
        <f>T9/(T6/T2)</f>
        <v>0</v>
      </c>
      <c r="U13" s="84"/>
      <c r="V13" s="84"/>
    </row>
    <row r="14" spans="2:26" ht="21" customHeight="1" x14ac:dyDescent="0.3">
      <c r="B14" s="99"/>
      <c r="C14" s="89"/>
      <c r="D14" s="89"/>
      <c r="E14" s="89"/>
      <c r="F14" s="89"/>
      <c r="G14" s="89"/>
      <c r="H14" s="89"/>
      <c r="I14" s="89"/>
      <c r="J14" s="89"/>
      <c r="K14" s="89"/>
      <c r="L14" s="127"/>
      <c r="M14" s="128"/>
      <c r="N14" s="128"/>
      <c r="O14" s="128"/>
      <c r="P14" s="128"/>
      <c r="Q14" s="129"/>
      <c r="R14" s="129"/>
      <c r="S14" s="129"/>
      <c r="T14" s="130"/>
    </row>
    <row r="15" spans="2:26" ht="21" customHeight="1" thickBot="1" x14ac:dyDescent="0.35">
      <c r="B15" s="100" t="s">
        <v>250</v>
      </c>
      <c r="C15" s="131"/>
      <c r="D15" s="132">
        <f>(D7/(D6/D2))+(D8/(D5/D2))-(D9/(D6/D2))</f>
        <v>134.91307910950866</v>
      </c>
      <c r="E15" s="132">
        <f>((AVERAGE($D7:E7))/((SUM($D6:E6))/(SUM($D$2:E$2))))+((AVERAGE($D8:E8))/((SUM($D5:E5))/(SUM($D$2:E$2))))-((AVERAGE($D9:E9))/((SUM($D6:E6))/(SUM($D$2:E$2))))</f>
        <v>132.13122355031979</v>
      </c>
      <c r="F15" s="132">
        <f>((AVERAGE($D7:F7))/((SUM($D6:F6))/(SUM($D$2:F$2))))+((AVERAGE($D8:F8))/((SUM($D5:F5))/(SUM($D$2:F$2))))-((AVERAGE($D9:F9))/((SUM($D6:F6))/(SUM($D$2:F$2))))</f>
        <v>104.07187411369917</v>
      </c>
      <c r="G15" s="132">
        <f>((AVERAGE($D7:G7))/((SUM($D6:G6))/(SUM($D$2:G$2))))+((AVERAGE($D8:G8))/((SUM($D5:G5))/(SUM($D$2:G$2))))-((AVERAGE($D9:G9))/((SUM($D6:G6))/(SUM($D$2:G$2))))</f>
        <v>90.753534455124964</v>
      </c>
      <c r="H15" s="132">
        <f>((AVERAGE($D7:H7))/((SUM($D6:H6))/(SUM($D$2:H$2))))+((AVERAGE($D8:H8))/((SUM($D5:H5))/(SUM($D$2:H$2))))-((AVERAGE($D9:H9))/((SUM($D6:H6))/(SUM($D$2:H$2))))</f>
        <v>85.431330860902307</v>
      </c>
      <c r="I15" s="132">
        <f>((AVERAGE($D7:I7))/((SUM($D6:I6))/(SUM($D$2:I$2))))+((AVERAGE($D8:I8))/((SUM($D5:I5))/(SUM($D$2:I$2))))-((AVERAGE($D9:I9))/((SUM($D6:I6))/(SUM($D$2:I$2))))</f>
        <v>84.29161332896706</v>
      </c>
      <c r="J15" s="132">
        <f>((AVERAGE($D7:J7))/((SUM($D6:J6))/(SUM($D$2:J$2))))+((AVERAGE($D8:J8))/((SUM($D5:J5))/(SUM($D$2:J$2))))-((AVERAGE($D9:J9))/((SUM($D6:J6))/(SUM($D$2:J$2))))</f>
        <v>81.992284047621979</v>
      </c>
      <c r="K15" s="132">
        <f>((AVERAGE($D7:K7))/((SUM($D6:K6))/(SUM($D$2:K$2))))+((AVERAGE($D8:K8))/((SUM($D5:K5))/(SUM($D$2:K$2))))-((AVERAGE($D9:K9))/((SUM($D6:K6))/(SUM($D$2:K$2))))</f>
        <v>80.863288853150294</v>
      </c>
      <c r="L15" s="133">
        <f>((AVERAGE($D7:L7))/((SUM($D6:L6))/(SUM($D$2:L$2))))+((AVERAGE($D8:L8))/((SUM($D5:L5))/(SUM($D$2:L$2))))-((AVERAGE($D9:L9))/((SUM($D6:L6))/(SUM($D$2:L$2))))</f>
        <v>78.385753189901266</v>
      </c>
      <c r="M15" s="134">
        <f>((AVERAGE($D7:M7))/((SUM($D6:M6))/(SUM($D$2:M$2))))+((AVERAGE($D8:M8))/((SUM($D5:M5))/(SUM($D$2:M$2))))-((AVERAGE($D9:M9))/((SUM($D6:M6))/(SUM($D$2:M$2))))</f>
        <v>78.105560146464839</v>
      </c>
      <c r="N15" s="134">
        <f>((AVERAGE($D7:N7))/((SUM($D6:N6))/(SUM($D$2:N$2))))+((AVERAGE($D8:N8))/((SUM($D5:N5))/(SUM($D$2:N$2))))-((AVERAGE($D9:N9))/((SUM($D6:N6))/(SUM($D$2:N$2))))</f>
        <v>76.69945135357213</v>
      </c>
      <c r="O15" s="134">
        <f>((AVERAGE($D7:O7))/((SUM($D6:O6))/(SUM($D$2:O$2))))+((AVERAGE($D8:O8))/((SUM($D5:O5))/(SUM($D$2:O$2))))-((AVERAGE($D9:O9))/((SUM($D6:O6))/(SUM($D$2:O$2))))</f>
        <v>73.954513849915571</v>
      </c>
      <c r="P15" s="134">
        <f>((AVERAGE($E7:P7))/((SUM($E6:P6))/(SUM($E$2:P$2))))+((AVERAGE($E8:P8))/((SUM($E5:P5))/(SUM($E$2:P$2))))-((AVERAGE($E9:P9))/((SUM($E6:P6))/(SUM($E$2:P$2))))</f>
        <v>66.473151717624859</v>
      </c>
      <c r="Q15" s="135">
        <f>(Q7/(Q6/Q2))+(Q8/(Q5/Q2))-(Q9/(Q6/Q2))</f>
        <v>60.18208850551806</v>
      </c>
      <c r="R15" s="135">
        <f>(R7/(R6/R2))+(R8/(R5/R2))-(R9/(R6/R2))</f>
        <v>44.402425812805227</v>
      </c>
      <c r="S15" s="135"/>
      <c r="T15" s="136">
        <f>(T7/(T6/T2))+(T8/(T5/T2))-(T9/(T6/T2))</f>
        <v>44.068389512196411</v>
      </c>
    </row>
    <row r="16" spans="2:26" x14ac:dyDescent="0.3">
      <c r="D16" s="83"/>
      <c r="E16" s="83"/>
      <c r="F16" s="83"/>
      <c r="G16" s="83"/>
      <c r="H16" s="83"/>
      <c r="I16" s="83"/>
      <c r="J16" s="83"/>
      <c r="K16" s="83"/>
      <c r="Q16" s="83"/>
      <c r="R16" s="83"/>
      <c r="S16" s="83"/>
      <c r="T16" s="83"/>
    </row>
    <row r="17" spans="2:20" x14ac:dyDescent="0.3">
      <c r="D17" s="83"/>
      <c r="E17" s="83"/>
      <c r="F17" s="83"/>
      <c r="G17" s="83"/>
      <c r="H17" s="83"/>
      <c r="I17" s="83"/>
      <c r="J17" s="83"/>
      <c r="K17" s="83"/>
    </row>
    <row r="18" spans="2:20" x14ac:dyDescent="0.3">
      <c r="D18" s="83"/>
      <c r="E18" s="83"/>
      <c r="F18" s="83"/>
      <c r="G18" s="83"/>
      <c r="H18" s="83"/>
      <c r="I18" s="83"/>
      <c r="J18" s="83"/>
      <c r="K18" s="83"/>
    </row>
    <row r="19" spans="2:20" x14ac:dyDescent="0.3">
      <c r="B19" s="86" t="s">
        <v>244</v>
      </c>
      <c r="D19" s="83">
        <f t="shared" ref="D19:M19" si="0">(D7/(D6/D2))+(D8/(D5/D2))-(D9/(D6/D2))</f>
        <v>134.91307910950866</v>
      </c>
      <c r="E19" s="83">
        <f t="shared" si="0"/>
        <v>129.70140701528646</v>
      </c>
      <c r="F19" s="83">
        <f t="shared" si="0"/>
        <v>52.229082527925698</v>
      </c>
      <c r="G19" s="83">
        <f>(G7/(G6/G2))+(G8/(G5/G2))-(G9/(G6/G2))</f>
        <v>50.100703354345171</v>
      </c>
      <c r="H19" s="83">
        <f t="shared" si="0"/>
        <v>57.404493518433654</v>
      </c>
      <c r="I19" s="83">
        <f t="shared" si="0"/>
        <v>75.997783342837351</v>
      </c>
      <c r="J19" s="83">
        <f t="shared" si="0"/>
        <v>64.322242021999926</v>
      </c>
      <c r="K19" s="83">
        <f t="shared" si="0"/>
        <v>71.620354995084895</v>
      </c>
      <c r="L19" s="83">
        <f t="shared" si="0"/>
        <v>57.787834515807333</v>
      </c>
      <c r="M19" s="83">
        <f t="shared" si="0"/>
        <v>74.687696699680146</v>
      </c>
      <c r="N19" s="83">
        <f>(N7/(N6/N2))+(N8/(N5/N2))-(N9/(N6/N2))</f>
        <v>61.714357503826804</v>
      </c>
      <c r="O19" s="83">
        <f>(O7/(O6/O2))+(O8/(O5/O2))-(O9/(O6/O2))</f>
        <v>47.161656205225178</v>
      </c>
      <c r="P19" s="83">
        <f>(P7/(P6/P2))+(P8/(P5/P2))-(P9/(P6/P2))</f>
        <v>53.549784792617743</v>
      </c>
      <c r="Q19" s="83">
        <f>(Q7/(Q6/Q2))+(Q8/(Q5/Q2))-(Q9/(Q6/Q2))</f>
        <v>60.18208850551806</v>
      </c>
      <c r="R19" s="83"/>
      <c r="S19" s="83"/>
      <c r="T19" s="83"/>
    </row>
    <row r="20" spans="2:20" x14ac:dyDescent="0.3">
      <c r="D20" s="83">
        <f>D11+D12-D13</f>
        <v>134.91307910950866</v>
      </c>
      <c r="E20" s="83">
        <f t="shared" ref="E20:K20" si="1">E11+E12-E13</f>
        <v>132.13122355031979</v>
      </c>
      <c r="F20" s="83">
        <f t="shared" si="1"/>
        <v>104.07187411369917</v>
      </c>
      <c r="G20" s="83">
        <f t="shared" si="1"/>
        <v>90.753534455124964</v>
      </c>
      <c r="H20" s="83">
        <f t="shared" si="1"/>
        <v>85.431330860902307</v>
      </c>
      <c r="I20" s="83">
        <f t="shared" si="1"/>
        <v>84.29161332896706</v>
      </c>
      <c r="J20" s="83">
        <f t="shared" si="1"/>
        <v>81.992284047621979</v>
      </c>
      <c r="K20" s="83">
        <f t="shared" si="1"/>
        <v>80.863288853150294</v>
      </c>
      <c r="L20" s="83">
        <f t="shared" ref="L20:Q20" si="2">L11+L12-L13</f>
        <v>78.385753189901266</v>
      </c>
      <c r="M20" s="83">
        <f t="shared" si="2"/>
        <v>78.105560146464839</v>
      </c>
      <c r="N20" s="83">
        <f t="shared" si="2"/>
        <v>76.69945135357213</v>
      </c>
      <c r="O20" s="83">
        <f t="shared" si="2"/>
        <v>73.954513849915571</v>
      </c>
      <c r="P20" s="83">
        <f t="shared" si="2"/>
        <v>66.473151717624859</v>
      </c>
      <c r="Q20" s="83">
        <f t="shared" si="2"/>
        <v>60.18208850551806</v>
      </c>
      <c r="R20" s="83"/>
      <c r="S20" s="83"/>
      <c r="T20" s="83"/>
    </row>
    <row r="21" spans="2:20" x14ac:dyDescent="0.3">
      <c r="B21" s="86" t="s">
        <v>245</v>
      </c>
      <c r="C21" s="83">
        <v>34.51</v>
      </c>
      <c r="D21" s="83"/>
      <c r="E21" s="83"/>
      <c r="F21" s="83"/>
      <c r="G21" s="83"/>
      <c r="H21" s="83"/>
      <c r="I21" s="83">
        <v>-11</v>
      </c>
    </row>
    <row r="22" spans="2:20" x14ac:dyDescent="0.3">
      <c r="B22" s="86" t="s">
        <v>246</v>
      </c>
      <c r="C22" s="83">
        <v>-47.63</v>
      </c>
      <c r="D22" s="83"/>
      <c r="E22" s="83"/>
      <c r="F22" s="83"/>
      <c r="G22" s="83"/>
      <c r="H22" s="83"/>
      <c r="I22" s="83"/>
      <c r="K22" s="83"/>
    </row>
    <row r="23" spans="2:20" x14ac:dyDescent="0.3">
      <c r="B23" s="86" t="s">
        <v>233</v>
      </c>
      <c r="C23" s="83">
        <v>174.29</v>
      </c>
      <c r="D23" s="83"/>
      <c r="E23" s="83"/>
      <c r="F23" s="83"/>
      <c r="G23" s="83"/>
      <c r="H23" s="83"/>
      <c r="I23" s="83"/>
      <c r="K23" s="83"/>
    </row>
    <row r="24" spans="2:20" x14ac:dyDescent="0.3">
      <c r="B24" s="86" t="s">
        <v>248</v>
      </c>
      <c r="C24" s="83"/>
      <c r="D24" s="83"/>
      <c r="E24" s="83"/>
      <c r="F24" s="83"/>
      <c r="G24" s="83"/>
      <c r="H24" s="83"/>
      <c r="I24" s="83"/>
      <c r="K24" s="83"/>
    </row>
    <row r="25" spans="2:20" x14ac:dyDescent="0.3">
      <c r="B25" s="86" t="s">
        <v>247</v>
      </c>
      <c r="C25" s="83"/>
      <c r="D25" s="83"/>
      <c r="E25" s="83"/>
      <c r="F25" s="83"/>
      <c r="G25" s="83"/>
      <c r="H25" s="83"/>
      <c r="I25" s="83"/>
      <c r="K25" s="83"/>
    </row>
    <row r="26" spans="2:20" x14ac:dyDescent="0.3">
      <c r="B26" s="86" t="s">
        <v>249</v>
      </c>
      <c r="C26" s="83"/>
      <c r="D26" s="83"/>
      <c r="E26" s="83"/>
      <c r="F26" s="83"/>
      <c r="G26" s="83"/>
      <c r="H26" s="83"/>
      <c r="I26" s="83"/>
      <c r="K26" s="83"/>
    </row>
    <row r="27" spans="2:20" x14ac:dyDescent="0.3">
      <c r="C27" s="83"/>
      <c r="D27" s="83"/>
      <c r="E27" s="83"/>
      <c r="F27" s="83"/>
      <c r="G27" s="83"/>
      <c r="H27" s="83"/>
      <c r="I27" s="83"/>
      <c r="K27" s="83"/>
    </row>
    <row r="28" spans="2:20" x14ac:dyDescent="0.3">
      <c r="C28" s="83"/>
      <c r="D28" s="83"/>
      <c r="E28" s="83"/>
      <c r="F28" s="83"/>
      <c r="G28" s="83"/>
      <c r="H28" s="83"/>
      <c r="I28" s="83"/>
      <c r="K28" s="83"/>
    </row>
    <row r="29" spans="2:20" x14ac:dyDescent="0.3">
      <c r="C29" s="83"/>
      <c r="D29" s="83"/>
      <c r="E29" s="83"/>
      <c r="F29" s="83"/>
      <c r="G29" s="83"/>
      <c r="H29" s="83"/>
      <c r="I29" s="83"/>
      <c r="K29" s="83"/>
    </row>
    <row r="30" spans="2:20" x14ac:dyDescent="0.3">
      <c r="C30" s="83"/>
      <c r="D30" s="83"/>
      <c r="E30" s="83"/>
      <c r="F30" s="83"/>
      <c r="G30" s="83"/>
      <c r="H30" s="83"/>
      <c r="I30" s="83"/>
      <c r="K30" s="83"/>
    </row>
    <row r="32" spans="2:20" x14ac:dyDescent="0.3">
      <c r="B32" s="86" t="s">
        <v>235</v>
      </c>
    </row>
    <row r="34" spans="2:2" x14ac:dyDescent="0.3">
      <c r="B34" s="86" t="s">
        <v>237</v>
      </c>
    </row>
    <row r="35" spans="2:2" x14ac:dyDescent="0.3">
      <c r="B35" s="86" t="s">
        <v>236</v>
      </c>
    </row>
    <row r="36" spans="2:2" x14ac:dyDescent="0.3">
      <c r="B36" s="86" t="s">
        <v>243</v>
      </c>
    </row>
    <row r="98" spans="2:2" x14ac:dyDescent="0.3">
      <c r="B98" s="86" t="s">
        <v>261</v>
      </c>
    </row>
  </sheetData>
  <pageMargins left="0.7" right="0.7" top="0.75" bottom="0.75" header="0.3" footer="0.3"/>
  <ignoredErrors>
    <ignoredError sqref="L2 E11:J13 E15:J15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defaultRowHeight="12.75" x14ac:dyDescent="0.2"/>
  <cols>
    <col min="2" max="2" width="42.28515625" bestFit="1" customWidth="1"/>
    <col min="3" max="3" width="27" customWidth="1"/>
  </cols>
  <sheetData>
    <row r="1" spans="1:3" x14ac:dyDescent="0.2">
      <c r="B1" t="s">
        <v>549</v>
      </c>
      <c r="C1" t="s">
        <v>550</v>
      </c>
    </row>
    <row r="2" spans="1:3" x14ac:dyDescent="0.2">
      <c r="B2" t="s">
        <v>548</v>
      </c>
      <c r="C2" t="s">
        <v>548</v>
      </c>
    </row>
    <row r="3" spans="1:3" x14ac:dyDescent="0.2">
      <c r="A3">
        <v>1</v>
      </c>
      <c r="B3" t="s">
        <v>551</v>
      </c>
      <c r="C3" t="s">
        <v>551</v>
      </c>
    </row>
    <row r="4" spans="1:3" x14ac:dyDescent="0.2">
      <c r="A4">
        <v>2</v>
      </c>
      <c r="B4" t="s">
        <v>552</v>
      </c>
      <c r="C4" t="s">
        <v>552</v>
      </c>
    </row>
    <row r="5" spans="1:3" x14ac:dyDescent="0.2">
      <c r="A5">
        <f>A4+1</f>
        <v>3</v>
      </c>
      <c r="B5" t="s">
        <v>416</v>
      </c>
      <c r="C5" t="s">
        <v>557</v>
      </c>
    </row>
    <row r="6" spans="1:3" x14ac:dyDescent="0.2">
      <c r="A6">
        <f t="shared" ref="A6:A11" si="0">A5+1</f>
        <v>4</v>
      </c>
      <c r="B6" t="s">
        <v>553</v>
      </c>
      <c r="C6" t="s">
        <v>553</v>
      </c>
    </row>
    <row r="7" spans="1:3" x14ac:dyDescent="0.2">
      <c r="A7">
        <f t="shared" si="0"/>
        <v>5</v>
      </c>
      <c r="B7" t="s">
        <v>31</v>
      </c>
      <c r="C7" t="s">
        <v>558</v>
      </c>
    </row>
    <row r="8" spans="1:3" x14ac:dyDescent="0.2">
      <c r="A8">
        <f t="shared" si="0"/>
        <v>6</v>
      </c>
      <c r="B8" t="s">
        <v>39</v>
      </c>
      <c r="C8" t="s">
        <v>559</v>
      </c>
    </row>
    <row r="9" spans="1:3" x14ac:dyDescent="0.2">
      <c r="A9">
        <f t="shared" si="0"/>
        <v>7</v>
      </c>
      <c r="B9" t="s">
        <v>554</v>
      </c>
      <c r="C9" t="s">
        <v>560</v>
      </c>
    </row>
    <row r="10" spans="1:3" x14ac:dyDescent="0.2">
      <c r="A10">
        <f t="shared" si="0"/>
        <v>8</v>
      </c>
      <c r="B10" t="s">
        <v>560</v>
      </c>
      <c r="C10" t="s">
        <v>555</v>
      </c>
    </row>
    <row r="11" spans="1:3" x14ac:dyDescent="0.2">
      <c r="A11">
        <f t="shared" si="0"/>
        <v>9</v>
      </c>
      <c r="B11" t="s">
        <v>555</v>
      </c>
      <c r="C11" t="s">
        <v>556</v>
      </c>
    </row>
    <row r="12" spans="1:3" x14ac:dyDescent="0.2">
      <c r="A12">
        <v>10</v>
      </c>
      <c r="B12" t="s">
        <v>556</v>
      </c>
    </row>
    <row r="13" spans="1:3" x14ac:dyDescent="0.2">
      <c r="A13">
        <v>11</v>
      </c>
    </row>
    <row r="25" spans="1:3" x14ac:dyDescent="0.2">
      <c r="A25">
        <v>1</v>
      </c>
      <c r="B25" t="s">
        <v>260</v>
      </c>
    </row>
    <row r="26" spans="1:3" x14ac:dyDescent="0.2">
      <c r="A26">
        <v>2</v>
      </c>
      <c r="B26" s="64" t="s">
        <v>31</v>
      </c>
    </row>
    <row r="27" spans="1:3" x14ac:dyDescent="0.2">
      <c r="A27">
        <v>3</v>
      </c>
      <c r="B27" s="64" t="s">
        <v>61</v>
      </c>
    </row>
    <row r="28" spans="1:3" x14ac:dyDescent="0.2">
      <c r="A28">
        <v>4</v>
      </c>
      <c r="B28" t="s">
        <v>62</v>
      </c>
    </row>
    <row r="29" spans="1:3" x14ac:dyDescent="0.2">
      <c r="A29">
        <v>5</v>
      </c>
      <c r="B29" s="64" t="s">
        <v>63</v>
      </c>
    </row>
    <row r="30" spans="1:3" x14ac:dyDescent="0.2">
      <c r="A30">
        <v>6</v>
      </c>
      <c r="B30" s="64" t="s">
        <v>64</v>
      </c>
      <c r="C30" t="s">
        <v>66</v>
      </c>
    </row>
    <row r="31" spans="1:3" x14ac:dyDescent="0.2">
      <c r="A31">
        <v>7</v>
      </c>
      <c r="B31" s="64" t="s">
        <v>65</v>
      </c>
      <c r="C31" t="s">
        <v>66</v>
      </c>
    </row>
    <row r="32" spans="1:3" x14ac:dyDescent="0.2">
      <c r="A32">
        <v>8</v>
      </c>
      <c r="B32" s="64" t="s">
        <v>67</v>
      </c>
    </row>
    <row r="33" spans="1:3" x14ac:dyDescent="0.2">
      <c r="A33">
        <v>9</v>
      </c>
      <c r="B33" s="64" t="s">
        <v>68</v>
      </c>
    </row>
    <row r="34" spans="1:3" x14ac:dyDescent="0.2">
      <c r="A34">
        <v>10</v>
      </c>
      <c r="B34" s="64" t="s">
        <v>69</v>
      </c>
    </row>
    <row r="35" spans="1:3" x14ac:dyDescent="0.2">
      <c r="A35">
        <v>11</v>
      </c>
      <c r="B35" t="s">
        <v>70</v>
      </c>
      <c r="C35" t="s">
        <v>72</v>
      </c>
    </row>
    <row r="36" spans="1:3" x14ac:dyDescent="0.2">
      <c r="A36">
        <v>12</v>
      </c>
      <c r="B36" s="64" t="s">
        <v>71</v>
      </c>
    </row>
    <row r="37" spans="1:3" x14ac:dyDescent="0.2">
      <c r="A37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5" sqref="F5"/>
    </sheetView>
  </sheetViews>
  <sheetFormatPr defaultRowHeight="12.75" x14ac:dyDescent="0.2"/>
  <sheetData>
    <row r="1" spans="1:8" x14ac:dyDescent="0.2">
      <c r="A1" t="s">
        <v>377</v>
      </c>
      <c r="E1" t="s">
        <v>378</v>
      </c>
    </row>
    <row r="2" spans="1:8" x14ac:dyDescent="0.2">
      <c r="B2" t="s">
        <v>27</v>
      </c>
      <c r="C2" t="s">
        <v>30</v>
      </c>
      <c r="F2" t="s">
        <v>27</v>
      </c>
      <c r="G2" t="s">
        <v>30</v>
      </c>
    </row>
    <row r="3" spans="1:8" x14ac:dyDescent="0.2">
      <c r="A3" t="s">
        <v>9</v>
      </c>
      <c r="B3" s="47">
        <v>20</v>
      </c>
      <c r="C3" s="47">
        <v>18</v>
      </c>
      <c r="D3" s="47"/>
      <c r="E3" s="47" t="s">
        <v>336</v>
      </c>
      <c r="F3" s="47">
        <v>18</v>
      </c>
      <c r="G3" s="47">
        <v>21</v>
      </c>
      <c r="H3" s="47"/>
    </row>
    <row r="4" spans="1:8" x14ac:dyDescent="0.2">
      <c r="A4" t="s">
        <v>10</v>
      </c>
      <c r="B4" s="47">
        <v>14</v>
      </c>
      <c r="C4" s="47">
        <v>21</v>
      </c>
      <c r="D4" s="47"/>
      <c r="E4" s="47" t="s">
        <v>337</v>
      </c>
      <c r="F4" s="47">
        <v>19.756976484582406</v>
      </c>
      <c r="G4" s="47">
        <v>17.553424632259791</v>
      </c>
      <c r="H4" s="47"/>
    </row>
    <row r="5" spans="1:8" x14ac:dyDescent="0.2">
      <c r="A5" t="s">
        <v>11</v>
      </c>
      <c r="B5" s="47">
        <v>17</v>
      </c>
      <c r="C5" s="47">
        <v>15</v>
      </c>
      <c r="D5" s="47"/>
      <c r="E5" s="47" t="s">
        <v>338</v>
      </c>
      <c r="F5" s="47"/>
      <c r="G5" s="47"/>
      <c r="H5" s="47"/>
    </row>
    <row r="6" spans="1:8" x14ac:dyDescent="0.2">
      <c r="A6" t="s">
        <v>12</v>
      </c>
      <c r="B6" s="47">
        <v>22</v>
      </c>
      <c r="C6" s="47">
        <v>22</v>
      </c>
      <c r="D6" s="47"/>
      <c r="E6" s="47" t="s">
        <v>339</v>
      </c>
      <c r="F6" s="47"/>
      <c r="G6" s="47"/>
      <c r="H6" s="47"/>
    </row>
    <row r="7" spans="1:8" x14ac:dyDescent="0.2">
      <c r="A7" t="s">
        <v>13</v>
      </c>
      <c r="B7" s="47">
        <v>21</v>
      </c>
      <c r="C7" s="47">
        <v>20</v>
      </c>
      <c r="D7" s="47"/>
      <c r="E7" s="47" t="s">
        <v>379</v>
      </c>
      <c r="F7" s="47"/>
      <c r="G7" s="47"/>
      <c r="H7" s="47"/>
    </row>
    <row r="8" spans="1:8" x14ac:dyDescent="0.2">
      <c r="A8" t="s">
        <v>38</v>
      </c>
      <c r="B8" s="47">
        <v>18</v>
      </c>
      <c r="C8" s="47">
        <v>18</v>
      </c>
      <c r="D8" s="47"/>
      <c r="E8" s="47" t="s">
        <v>380</v>
      </c>
      <c r="F8" s="47"/>
      <c r="G8" s="47"/>
      <c r="H8" s="47"/>
    </row>
    <row r="9" spans="1:8" x14ac:dyDescent="0.2">
      <c r="A9" t="s">
        <v>15</v>
      </c>
      <c r="B9" s="47">
        <v>18</v>
      </c>
      <c r="C9" s="47">
        <v>22</v>
      </c>
      <c r="D9" s="47"/>
      <c r="E9" s="47" t="s">
        <v>381</v>
      </c>
      <c r="F9" s="47"/>
      <c r="G9" s="47"/>
      <c r="H9" s="47"/>
    </row>
    <row r="10" spans="1:8" x14ac:dyDescent="0.2">
      <c r="A10" t="s">
        <v>16</v>
      </c>
      <c r="B10" s="47">
        <v>21</v>
      </c>
      <c r="C10" s="47">
        <v>16</v>
      </c>
      <c r="D10" s="47"/>
      <c r="E10" s="47" t="s">
        <v>382</v>
      </c>
      <c r="F10" s="47"/>
      <c r="G10" s="47"/>
      <c r="H10" s="47"/>
    </row>
    <row r="11" spans="1:8" x14ac:dyDescent="0.2">
      <c r="A11" t="s">
        <v>17</v>
      </c>
      <c r="B11" s="47">
        <v>17</v>
      </c>
      <c r="C11" s="47">
        <v>16</v>
      </c>
      <c r="D11" s="47"/>
      <c r="E11" s="47" t="s">
        <v>383</v>
      </c>
      <c r="F11" s="47"/>
      <c r="G11" s="47"/>
      <c r="H11" s="47"/>
    </row>
    <row r="12" spans="1:8" x14ac:dyDescent="0.2">
      <c r="A12" t="s">
        <v>18</v>
      </c>
      <c r="B12" s="47">
        <v>13</v>
      </c>
      <c r="C12" s="47">
        <v>8</v>
      </c>
      <c r="D12" s="47"/>
      <c r="E12" s="47" t="s">
        <v>384</v>
      </c>
      <c r="F12" s="47"/>
      <c r="G12" s="47"/>
      <c r="H12" s="47"/>
    </row>
    <row r="13" spans="1:8" x14ac:dyDescent="0.2">
      <c r="A13" t="s">
        <v>19</v>
      </c>
      <c r="B13" s="47">
        <v>18</v>
      </c>
      <c r="C13" s="47">
        <v>14</v>
      </c>
      <c r="D13" s="47"/>
      <c r="E13" s="47" t="s">
        <v>385</v>
      </c>
      <c r="F13" s="47"/>
      <c r="G13" s="47"/>
      <c r="H13" s="47"/>
    </row>
    <row r="14" spans="1:8" x14ac:dyDescent="0.2">
      <c r="A14" t="s">
        <v>20</v>
      </c>
      <c r="B14" s="47">
        <v>20</v>
      </c>
      <c r="C14" s="47">
        <v>16</v>
      </c>
      <c r="D14" s="47"/>
      <c r="E14" s="47" t="s">
        <v>386</v>
      </c>
      <c r="F14" s="47"/>
      <c r="G14" s="47"/>
      <c r="H14" s="47"/>
    </row>
    <row r="15" spans="1:8" x14ac:dyDescent="0.2">
      <c r="B15" s="47">
        <f>AVERAGE(B3:B14)</f>
        <v>18.25</v>
      </c>
      <c r="C15" s="47">
        <f>AVERAGE(C3:C14)</f>
        <v>17.166666666666668</v>
      </c>
      <c r="D15" s="47">
        <f>AVERAGE(B15:C15)</f>
        <v>17.708333333333336</v>
      </c>
      <c r="E15" s="47"/>
      <c r="F15" s="47">
        <f>AVERAGE(F3:F14)</f>
        <v>18.878488242291205</v>
      </c>
      <c r="G15" s="47">
        <f>AVERAGE(G3:G14)</f>
        <v>19.276712316129895</v>
      </c>
      <c r="H15" s="47">
        <f>AVERAGE(F15:G15)</f>
        <v>19.07760027921055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AC23"/>
  <sheetViews>
    <sheetView showGridLines="0" zoomScale="60" zoomScaleNormal="6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T5" sqref="T5"/>
    </sheetView>
  </sheetViews>
  <sheetFormatPr defaultRowHeight="12.75" x14ac:dyDescent="0.2"/>
  <cols>
    <col min="1" max="3" width="9.140625" style="4"/>
    <col min="4" max="4" width="74.42578125" style="3" customWidth="1"/>
    <col min="5" max="5" width="18.140625" style="3" hidden="1" customWidth="1"/>
    <col min="6" max="8" width="18.140625" style="3" customWidth="1"/>
    <col min="9" max="10" width="18.140625" style="3" hidden="1" customWidth="1"/>
    <col min="11" max="11" width="18.140625" style="3" customWidth="1"/>
    <col min="12" max="13" width="18.140625" style="3" hidden="1" customWidth="1"/>
    <col min="14" max="14" width="18.140625" style="3" customWidth="1"/>
    <col min="15" max="15" width="18.140625" style="3" hidden="1" customWidth="1"/>
    <col min="16" max="19" width="18.140625" style="3" customWidth="1"/>
    <col min="20" max="20" width="20.140625" style="3" bestFit="1" customWidth="1"/>
    <col min="21" max="21" width="12.5703125" style="4" customWidth="1"/>
    <col min="22" max="22" width="9.140625" style="4"/>
    <col min="23" max="23" width="24.42578125" style="4" bestFit="1" customWidth="1"/>
    <col min="24" max="25" width="9.140625" style="4"/>
    <col min="26" max="26" width="9.85546875" style="4" bestFit="1" customWidth="1"/>
    <col min="27" max="16384" width="9.140625" style="4"/>
  </cols>
  <sheetData>
    <row r="1" spans="3:29" ht="69" customHeight="1" thickBot="1" x14ac:dyDescent="0.25">
      <c r="C1" s="208" t="s">
        <v>21</v>
      </c>
      <c r="D1" s="209"/>
      <c r="E1" s="16" t="s">
        <v>0</v>
      </c>
      <c r="F1" s="16" t="s">
        <v>1</v>
      </c>
      <c r="G1" s="16" t="s">
        <v>7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9" t="s">
        <v>22</v>
      </c>
      <c r="U1" s="3"/>
    </row>
    <row r="2" spans="3:29" ht="65.25" customHeight="1" thickTop="1" x14ac:dyDescent="0.2">
      <c r="C2" s="210" t="s">
        <v>4</v>
      </c>
      <c r="D2" s="5" t="s">
        <v>340</v>
      </c>
      <c r="E2" s="6">
        <v>75</v>
      </c>
      <c r="F2" s="6">
        <v>74</v>
      </c>
      <c r="G2" s="6">
        <v>78</v>
      </c>
      <c r="H2" s="7">
        <v>84</v>
      </c>
      <c r="I2" s="7">
        <v>84</v>
      </c>
      <c r="J2" s="7">
        <v>88</v>
      </c>
      <c r="K2" s="7">
        <v>88</v>
      </c>
      <c r="L2" s="6">
        <v>84</v>
      </c>
      <c r="M2" s="6">
        <v>81</v>
      </c>
      <c r="N2" s="6">
        <v>81</v>
      </c>
      <c r="O2" s="6">
        <v>80</v>
      </c>
      <c r="P2" s="6">
        <v>84</v>
      </c>
      <c r="Q2" s="6">
        <v>78</v>
      </c>
      <c r="R2" s="6">
        <v>80</v>
      </c>
      <c r="S2" s="6"/>
      <c r="T2" s="11">
        <f>AVERAGE(H2:S2)</f>
        <v>82.909090909090907</v>
      </c>
      <c r="V2" s="20">
        <f>G2-(G2*10%)</f>
        <v>70.2</v>
      </c>
    </row>
    <row r="3" spans="3:29" ht="65.25" customHeight="1" x14ac:dyDescent="0.25">
      <c r="C3" s="211"/>
      <c r="D3" s="8" t="s">
        <v>2</v>
      </c>
      <c r="E3" s="9">
        <v>95</v>
      </c>
      <c r="F3" s="9">
        <v>93.48</v>
      </c>
      <c r="G3" s="9">
        <v>95</v>
      </c>
      <c r="H3" s="9">
        <v>92</v>
      </c>
      <c r="I3" s="9">
        <v>91</v>
      </c>
      <c r="J3" s="9">
        <v>96</v>
      </c>
      <c r="K3" s="9">
        <v>95</v>
      </c>
      <c r="L3" s="9">
        <v>99</v>
      </c>
      <c r="M3" s="9">
        <v>98</v>
      </c>
      <c r="N3" s="9">
        <v>94</v>
      </c>
      <c r="O3" s="9">
        <v>97</v>
      </c>
      <c r="P3" s="9">
        <v>95</v>
      </c>
      <c r="Q3" s="9">
        <v>97</v>
      </c>
      <c r="R3" s="9">
        <v>93</v>
      </c>
      <c r="S3" s="9"/>
      <c r="T3" s="9">
        <f>AVERAGE(H3:S3)</f>
        <v>95.181818181818187</v>
      </c>
      <c r="U3" s="1"/>
      <c r="V3" s="31">
        <f>G3-(G3*10%)</f>
        <v>85.5</v>
      </c>
      <c r="W3" s="97">
        <f>T3*T4</f>
        <v>9166.4417355371897</v>
      </c>
      <c r="X3" s="91">
        <f>T3%*T4</f>
        <v>91.664417355371896</v>
      </c>
      <c r="Y3" s="31"/>
    </row>
    <row r="4" spans="3:29" ht="65.25" customHeight="1" thickBot="1" x14ac:dyDescent="0.25">
      <c r="C4" s="211"/>
      <c r="D4" s="5" t="s">
        <v>3</v>
      </c>
      <c r="E4" s="6"/>
      <c r="F4" s="6">
        <v>89</v>
      </c>
      <c r="G4" s="6">
        <v>95</v>
      </c>
      <c r="H4" s="6">
        <v>98.78</v>
      </c>
      <c r="I4" s="6">
        <v>96.57</v>
      </c>
      <c r="J4" s="6">
        <v>100</v>
      </c>
      <c r="K4" s="6">
        <v>97</v>
      </c>
      <c r="L4" s="6">
        <v>92</v>
      </c>
      <c r="M4" s="6">
        <v>94</v>
      </c>
      <c r="N4" s="6">
        <v>97</v>
      </c>
      <c r="O4" s="6">
        <v>91</v>
      </c>
      <c r="P4" s="6">
        <v>97</v>
      </c>
      <c r="Q4" s="6">
        <v>98</v>
      </c>
      <c r="R4" s="6">
        <v>98</v>
      </c>
      <c r="S4" s="6"/>
      <c r="T4" s="11">
        <f>AVERAGE(H4:S4)</f>
        <v>96.304545454545448</v>
      </c>
      <c r="V4" s="31">
        <f>G4-(G4*10%)</f>
        <v>85.5</v>
      </c>
      <c r="AC4" s="71">
        <f>(14+11)/2</f>
        <v>12.5</v>
      </c>
    </row>
    <row r="5" spans="3:29" ht="65.25" customHeight="1" thickTop="1" x14ac:dyDescent="0.2">
      <c r="C5" s="212" t="s">
        <v>5</v>
      </c>
      <c r="D5" s="26" t="s">
        <v>23</v>
      </c>
      <c r="E5" s="13"/>
      <c r="F5" s="13">
        <v>19.72</v>
      </c>
      <c r="G5" s="13">
        <v>18</v>
      </c>
      <c r="H5" s="13">
        <v>19.191052879867861</v>
      </c>
      <c r="I5" s="13">
        <v>17.398583198948138</v>
      </c>
      <c r="J5" s="13">
        <v>16.515122392745049</v>
      </c>
      <c r="K5" s="13">
        <v>13.230066694322776</v>
      </c>
      <c r="L5" s="13">
        <v>14.839372500441131</v>
      </c>
      <c r="M5" s="13">
        <v>16.555420468661442</v>
      </c>
      <c r="N5" s="13">
        <v>18.092094122173478</v>
      </c>
      <c r="O5" s="13">
        <v>22</v>
      </c>
      <c r="P5" s="13">
        <v>18.5</v>
      </c>
      <c r="Q5" s="13">
        <v>12.5</v>
      </c>
      <c r="R5" s="13">
        <v>16</v>
      </c>
      <c r="S5" s="13"/>
      <c r="T5" s="13">
        <f>AVERAGE(H5:S5)</f>
        <v>16.801973841559988</v>
      </c>
      <c r="U5" s="1"/>
      <c r="V5" s="20">
        <f>G5+(G5*10%)</f>
        <v>19.8</v>
      </c>
      <c r="X5" s="4">
        <f>(22+19)/2</f>
        <v>20.5</v>
      </c>
      <c r="AC5" s="71">
        <f>(21+16)/2</f>
        <v>18.5</v>
      </c>
    </row>
    <row r="6" spans="3:29" ht="65.25" customHeight="1" x14ac:dyDescent="0.2">
      <c r="C6" s="213"/>
      <c r="D6" s="27" t="s">
        <v>99</v>
      </c>
      <c r="E6" s="6"/>
      <c r="F6" s="6">
        <v>7.2</v>
      </c>
      <c r="G6" s="6">
        <f>F6-(F6*30%)</f>
        <v>5.04</v>
      </c>
      <c r="H6" s="6">
        <v>5.8974724849999998</v>
      </c>
      <c r="I6" s="6">
        <v>5.6949632109999992</v>
      </c>
      <c r="J6" s="6">
        <v>5.9259673999999984</v>
      </c>
      <c r="K6" s="6">
        <v>6.458581472999998</v>
      </c>
      <c r="L6" s="6">
        <v>7.0156996599999992</v>
      </c>
      <c r="M6" s="6">
        <v>6.6675272389999982</v>
      </c>
      <c r="N6" s="6">
        <v>6.6683054409999984</v>
      </c>
      <c r="O6" s="6">
        <v>6.1134374339999962</v>
      </c>
      <c r="P6" s="6">
        <v>5.7429936749999966</v>
      </c>
      <c r="Q6" s="6">
        <v>5.1303504469999996</v>
      </c>
      <c r="R6" s="6">
        <v>5.2817695100000019</v>
      </c>
      <c r="S6" s="23"/>
      <c r="T6" s="143">
        <f>R6</f>
        <v>5.2817695100000019</v>
      </c>
      <c r="V6" s="71">
        <f>G6+(G6*10%)</f>
        <v>5.5440000000000005</v>
      </c>
      <c r="W6" s="20">
        <f>G6+(406*10%)</f>
        <v>45.64</v>
      </c>
      <c r="AC6" s="71">
        <f>(25+19)/2</f>
        <v>22</v>
      </c>
    </row>
    <row r="7" spans="3:29" ht="65.25" customHeight="1" thickBot="1" x14ac:dyDescent="0.25">
      <c r="C7" s="213"/>
      <c r="D7" s="8" t="s">
        <v>100</v>
      </c>
      <c r="E7" s="9"/>
      <c r="F7" s="17">
        <f>(6+12)/2</f>
        <v>9</v>
      </c>
      <c r="G7" s="9">
        <v>6</v>
      </c>
      <c r="H7" s="9">
        <v>4.2044914295550058</v>
      </c>
      <c r="I7" s="9">
        <v>4.6013054105537607</v>
      </c>
      <c r="J7" s="9">
        <v>4.2818259691158751</v>
      </c>
      <c r="K7" s="17">
        <v>2.8522112168707228</v>
      </c>
      <c r="L7" s="9">
        <v>3.0957671211481554</v>
      </c>
      <c r="M7" s="9">
        <v>5.6197114187580972</v>
      </c>
      <c r="N7" s="17">
        <v>5.9257558407753486</v>
      </c>
      <c r="O7" s="9">
        <v>7.61972591363077</v>
      </c>
      <c r="P7" s="17">
        <v>10.674029774679704</v>
      </c>
      <c r="Q7" s="9">
        <v>10.54508699432148</v>
      </c>
      <c r="R7" s="9">
        <v>7.51</v>
      </c>
      <c r="S7" s="17"/>
      <c r="T7" s="18">
        <f>AVERAGE(H7:S7)</f>
        <v>6.0845373717644469</v>
      </c>
      <c r="V7" s="20">
        <f>G7+(G7*10%)</f>
        <v>6.6</v>
      </c>
      <c r="AC7" s="20">
        <f>(26+20)/2</f>
        <v>23</v>
      </c>
    </row>
    <row r="8" spans="3:29" ht="65.25" customHeight="1" thickTop="1" thickBot="1" x14ac:dyDescent="0.25">
      <c r="C8" s="25" t="s">
        <v>6</v>
      </c>
      <c r="D8" s="14" t="s">
        <v>8</v>
      </c>
      <c r="E8" s="15"/>
      <c r="F8" s="10"/>
      <c r="G8" s="29">
        <v>30</v>
      </c>
      <c r="H8" s="30"/>
      <c r="I8" s="30"/>
      <c r="J8" s="30"/>
      <c r="K8" s="10"/>
      <c r="L8" s="30"/>
      <c r="M8" s="30"/>
      <c r="N8" s="10"/>
      <c r="O8" s="30"/>
      <c r="P8" s="10"/>
      <c r="Q8" s="30"/>
      <c r="R8" s="30"/>
      <c r="S8" s="9"/>
      <c r="T8" s="10"/>
      <c r="U8" s="1"/>
      <c r="V8" s="20">
        <f>G8-(G8*10%)</f>
        <v>27</v>
      </c>
    </row>
    <row r="9" spans="3:29" ht="22.5" customHeight="1" thickTop="1" x14ac:dyDescent="0.2">
      <c r="C9" s="2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4"/>
    </row>
    <row r="10" spans="3:29" ht="28.5" customHeight="1" x14ac:dyDescent="0.2">
      <c r="C10" s="214" t="s">
        <v>24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X10" s="22"/>
      <c r="Z10" s="20"/>
    </row>
    <row r="11" spans="3:29" ht="22.5" customHeight="1" x14ac:dyDescent="0.2">
      <c r="X11" s="22"/>
    </row>
    <row r="12" spans="3:29" ht="22.5" customHeight="1" x14ac:dyDescent="0.2">
      <c r="X12" s="22"/>
    </row>
    <row r="13" spans="3:29" ht="22.5" customHeight="1" x14ac:dyDescent="0.2">
      <c r="L13" s="21" t="e">
        <f>#REF!-#REF!</f>
        <v>#REF!</v>
      </c>
      <c r="W13" s="20"/>
    </row>
    <row r="14" spans="3:29" ht="22.5" customHeight="1" x14ac:dyDescent="0.2"/>
    <row r="15" spans="3:29" ht="22.5" customHeight="1" x14ac:dyDescent="0.2"/>
    <row r="16" spans="3:29" ht="22.5" customHeight="1" x14ac:dyDescent="0.2"/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</sheetData>
  <mergeCells count="4">
    <mergeCell ref="C1:D1"/>
    <mergeCell ref="C2:C4"/>
    <mergeCell ref="C5:C7"/>
    <mergeCell ref="C10:T10"/>
  </mergeCells>
  <conditionalFormatting sqref="T4">
    <cfRule type="iconSet" priority="79">
      <iconSet>
        <cfvo type="percent" val="0"/>
        <cfvo type="num" val="87.8"/>
        <cfvo type="num" val="95"/>
      </iconSet>
    </cfRule>
  </conditionalFormatting>
  <conditionalFormatting sqref="C10">
    <cfRule type="iconSet" priority="72">
      <iconSet>
        <cfvo type="percent" val="0"/>
        <cfvo type="percent" val="33"/>
        <cfvo type="percent" val="67"/>
      </iconSet>
    </cfRule>
  </conditionalFormatting>
  <conditionalFormatting sqref="H8:J8">
    <cfRule type="iconSet" priority="61">
      <iconSet reverse="1">
        <cfvo type="percent" val="0"/>
        <cfvo type="num" val="4.5"/>
        <cfvo type="num" val="5.4"/>
      </iconSet>
    </cfRule>
  </conditionalFormatting>
  <conditionalFormatting sqref="H5:J5">
    <cfRule type="iconSet" priority="59">
      <iconSet reverse="1">
        <cfvo type="percent" val="0"/>
        <cfvo type="num" val="884"/>
        <cfvo type="num" val="972"/>
      </iconSet>
    </cfRule>
  </conditionalFormatting>
  <conditionalFormatting sqref="K8">
    <cfRule type="iconSet" priority="53">
      <iconSet reverse="1">
        <cfvo type="percent" val="0"/>
        <cfvo type="num" val="4.5"/>
        <cfvo type="num" val="5.4"/>
      </iconSet>
    </cfRule>
  </conditionalFormatting>
  <conditionalFormatting sqref="K5">
    <cfRule type="iconSet" priority="52">
      <iconSet reverse="1">
        <cfvo type="percent" val="0"/>
        <cfvo type="num" val="884"/>
        <cfvo type="num" val="972"/>
      </iconSet>
    </cfRule>
  </conditionalFormatting>
  <conditionalFormatting sqref="H4:M4 O4:S4">
    <cfRule type="iconSet" priority="50">
      <iconSet>
        <cfvo type="percent" val="0"/>
        <cfvo type="num" val="87.8"/>
        <cfvo type="num" val="97.5"/>
      </iconSet>
    </cfRule>
  </conditionalFormatting>
  <conditionalFormatting sqref="H7:M7 O7:T7">
    <cfRule type="iconSet" priority="47">
      <iconSet reverse="1">
        <cfvo type="percent" val="0"/>
        <cfvo type="num" val="92"/>
        <cfvo type="num" val="110.4"/>
      </iconSet>
    </cfRule>
  </conditionalFormatting>
  <conditionalFormatting sqref="H6:M6 O6:T6">
    <cfRule type="iconSet" priority="46">
      <iconSet reverse="1">
        <cfvo type="percent" val="0"/>
        <cfvo type="num" val="4.9000000000000004"/>
        <cfvo type="num" val="5.39"/>
      </iconSet>
    </cfRule>
  </conditionalFormatting>
  <conditionalFormatting sqref="H2:M2 O2:T2">
    <cfRule type="iconSet" priority="45">
      <iconSet>
        <cfvo type="percent" val="0"/>
        <cfvo type="num" val="70"/>
        <cfvo type="num" val="78"/>
      </iconSet>
    </cfRule>
  </conditionalFormatting>
  <conditionalFormatting sqref="H3:M3 O3:T3">
    <cfRule type="iconSet" priority="44">
      <iconSet>
        <cfvo type="percent" val="0"/>
        <cfvo type="num" val="87.8"/>
        <cfvo type="num" val="95"/>
      </iconSet>
    </cfRule>
  </conditionalFormatting>
  <conditionalFormatting sqref="L5">
    <cfRule type="iconSet" priority="43">
      <iconSet reverse="1">
        <cfvo type="percent" val="0"/>
        <cfvo type="num" val="884"/>
        <cfvo type="num" val="972"/>
      </iconSet>
    </cfRule>
  </conditionalFormatting>
  <conditionalFormatting sqref="M5">
    <cfRule type="iconSet" priority="37">
      <iconSet reverse="1">
        <cfvo type="percent" val="0"/>
        <cfvo type="num" val="884"/>
        <cfvo type="num" val="972"/>
      </iconSet>
    </cfRule>
  </conditionalFormatting>
  <conditionalFormatting sqref="L8">
    <cfRule type="iconSet" priority="35">
      <iconSet reverse="1">
        <cfvo type="percent" val="0"/>
        <cfvo type="num" val="4.5"/>
        <cfvo type="num" val="5.4"/>
      </iconSet>
    </cfRule>
  </conditionalFormatting>
  <conditionalFormatting sqref="M8">
    <cfRule type="iconSet" priority="34">
      <iconSet reverse="1">
        <cfvo type="percent" val="0"/>
        <cfvo type="num" val="4.5"/>
        <cfvo type="num" val="5.4"/>
      </iconSet>
    </cfRule>
  </conditionalFormatting>
  <conditionalFormatting sqref="N4">
    <cfRule type="iconSet" priority="31">
      <iconSet>
        <cfvo type="percent" val="0"/>
        <cfvo type="num" val="87.8"/>
        <cfvo type="num" val="97.5"/>
      </iconSet>
    </cfRule>
  </conditionalFormatting>
  <conditionalFormatting sqref="H7:T7">
    <cfRule type="iconSet" priority="29">
      <iconSet reverse="1">
        <cfvo type="percent" val="0"/>
        <cfvo type="num" val="6"/>
        <cfvo type="num" val="7"/>
      </iconSet>
    </cfRule>
  </conditionalFormatting>
  <conditionalFormatting sqref="N6">
    <cfRule type="iconSet" priority="28">
      <iconSet reverse="1">
        <cfvo type="percent" val="0"/>
        <cfvo type="num" val="4.9000000000000004"/>
        <cfvo type="num" val="5.39"/>
      </iconSet>
    </cfRule>
  </conditionalFormatting>
  <conditionalFormatting sqref="N2">
    <cfRule type="iconSet" priority="27">
      <iconSet>
        <cfvo type="percent" val="0"/>
        <cfvo type="num" val="70"/>
        <cfvo type="num" val="78"/>
      </iconSet>
    </cfRule>
  </conditionalFormatting>
  <conditionalFormatting sqref="N3">
    <cfRule type="iconSet" priority="26">
      <iconSet>
        <cfvo type="percent" val="0"/>
        <cfvo type="num" val="87.8"/>
        <cfvo type="num" val="97.5"/>
      </iconSet>
    </cfRule>
  </conditionalFormatting>
  <conditionalFormatting sqref="N5">
    <cfRule type="iconSet" priority="25">
      <iconSet reverse="1">
        <cfvo type="percent" val="0"/>
        <cfvo type="num" val="884"/>
        <cfvo type="num" val="972"/>
      </iconSet>
    </cfRule>
  </conditionalFormatting>
  <conditionalFormatting sqref="N8">
    <cfRule type="iconSet" priority="23">
      <iconSet reverse="1">
        <cfvo type="percent" val="0"/>
        <cfvo type="num" val="4.5"/>
        <cfvo type="num" val="5.4"/>
      </iconSet>
    </cfRule>
  </conditionalFormatting>
  <conditionalFormatting sqref="O5">
    <cfRule type="iconSet" priority="21">
      <iconSet reverse="1">
        <cfvo type="percent" val="0"/>
        <cfvo type="num" val="884"/>
        <cfvo type="num" val="972"/>
      </iconSet>
    </cfRule>
  </conditionalFormatting>
  <conditionalFormatting sqref="O8">
    <cfRule type="iconSet" priority="20">
      <iconSet reverse="1">
        <cfvo type="percent" val="0"/>
        <cfvo type="num" val="4.5"/>
        <cfvo type="num" val="5.4"/>
      </iconSet>
    </cfRule>
  </conditionalFormatting>
  <conditionalFormatting sqref="P8">
    <cfRule type="iconSet" priority="17">
      <iconSet reverse="1">
        <cfvo type="percent" val="0"/>
        <cfvo type="num" val="4.5"/>
        <cfvo type="num" val="5.4"/>
      </iconSet>
    </cfRule>
  </conditionalFormatting>
  <conditionalFormatting sqref="P5">
    <cfRule type="iconSet" priority="15">
      <iconSet reverse="1">
        <cfvo type="percent" val="0"/>
        <cfvo type="num" val="884"/>
        <cfvo type="num" val="972"/>
      </iconSet>
    </cfRule>
  </conditionalFormatting>
  <conditionalFormatting sqref="Q5">
    <cfRule type="iconSet" priority="13">
      <iconSet reverse="1">
        <cfvo type="percent" val="0"/>
        <cfvo type="num" val="884"/>
        <cfvo type="num" val="972"/>
      </iconSet>
    </cfRule>
  </conditionalFormatting>
  <conditionalFormatting sqref="Q8">
    <cfRule type="iconSet" priority="11">
      <iconSet reverse="1">
        <cfvo type="percent" val="0"/>
        <cfvo type="num" val="4.5"/>
        <cfvo type="num" val="5.4"/>
      </iconSet>
    </cfRule>
  </conditionalFormatting>
  <conditionalFormatting sqref="R5">
    <cfRule type="iconSet" priority="9">
      <iconSet reverse="1">
        <cfvo type="percent" val="0"/>
        <cfvo type="num" val="884"/>
        <cfvo type="num" val="972"/>
      </iconSet>
    </cfRule>
  </conditionalFormatting>
  <conditionalFormatting sqref="R8">
    <cfRule type="iconSet" priority="7">
      <iconSet reverse="1">
        <cfvo type="percent" val="0"/>
        <cfvo type="num" val="4.5"/>
        <cfvo type="num" val="5.4"/>
      </iconSet>
    </cfRule>
  </conditionalFormatting>
  <conditionalFormatting sqref="S5">
    <cfRule type="iconSet" priority="5">
      <iconSet reverse="1">
        <cfvo type="percent" val="0"/>
        <cfvo type="num" val="972"/>
        <cfvo type="num" val="1060"/>
      </iconSet>
    </cfRule>
  </conditionalFormatting>
  <conditionalFormatting sqref="H5:T5">
    <cfRule type="iconSet" priority="2">
      <iconSet reverse="1">
        <cfvo type="percent" val="0"/>
        <cfvo type="num" val="18"/>
        <cfvo type="num" val="20"/>
      </iconSet>
    </cfRule>
  </conditionalFormatting>
  <conditionalFormatting sqref="T8">
    <cfRule type="iconSet" priority="1">
      <iconSet>
        <cfvo type="percent" val="0"/>
        <cfvo type="num" val="77"/>
        <cfvo type="num" val="87"/>
      </iconSet>
    </cfRule>
  </conditionalFormatting>
  <pageMargins left="0.7" right="0.7" top="0.75" bottom="0.75" header="0.3" footer="0.3"/>
  <pageSetup paperSize="9" orientation="portrait" r:id="rId1"/>
  <ignoredErrors>
    <ignoredError sqref="T5 T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0" workbookViewId="0">
      <selection activeCell="P12" sqref="P12"/>
    </sheetView>
  </sheetViews>
  <sheetFormatPr defaultColWidth="17.7109375" defaultRowHeight="15" x14ac:dyDescent="0.25"/>
  <cols>
    <col min="1" max="1" width="21.140625" style="145" customWidth="1"/>
    <col min="2" max="16" width="8.5703125" style="146" customWidth="1"/>
    <col min="17" max="17" width="22.5703125" style="145" bestFit="1" customWidth="1"/>
    <col min="18" max="18" width="17.7109375" style="145"/>
    <col min="19" max="19" width="19.42578125" style="145" bestFit="1" customWidth="1"/>
    <col min="20" max="20" width="20.42578125" style="145" bestFit="1" customWidth="1"/>
    <col min="21" max="16384" width="17.7109375" style="145"/>
  </cols>
  <sheetData>
    <row r="1" spans="1:20" ht="15.75" thickBot="1" x14ac:dyDescent="0.3"/>
    <row r="2" spans="1:20" s="147" customFormat="1" ht="15.75" thickBot="1" x14ac:dyDescent="0.25">
      <c r="A2" s="152" t="s">
        <v>416</v>
      </c>
      <c r="B2" s="153" t="s">
        <v>26</v>
      </c>
      <c r="C2" s="153" t="s">
        <v>417</v>
      </c>
      <c r="D2" s="153" t="s">
        <v>418</v>
      </c>
      <c r="E2" s="153" t="s">
        <v>419</v>
      </c>
      <c r="F2" s="153" t="s">
        <v>420</v>
      </c>
      <c r="G2" s="153" t="s">
        <v>421</v>
      </c>
      <c r="H2" s="153" t="s">
        <v>422</v>
      </c>
      <c r="I2" s="153" t="s">
        <v>423</v>
      </c>
      <c r="J2" s="153" t="s">
        <v>424</v>
      </c>
      <c r="K2" s="153" t="s">
        <v>425</v>
      </c>
      <c r="L2" s="153" t="s">
        <v>426</v>
      </c>
      <c r="M2" s="153" t="s">
        <v>427</v>
      </c>
      <c r="N2" s="153" t="s">
        <v>428</v>
      </c>
      <c r="O2" s="153" t="s">
        <v>22</v>
      </c>
      <c r="P2" s="197"/>
    </row>
    <row r="3" spans="1:20" s="147" customFormat="1" ht="15.75" thickBot="1" x14ac:dyDescent="0.25">
      <c r="A3" s="152" t="s">
        <v>429</v>
      </c>
      <c r="B3" s="155">
        <v>0.83</v>
      </c>
      <c r="C3" s="155">
        <v>0.84375</v>
      </c>
      <c r="D3" s="155">
        <v>0.8393574297188755</v>
      </c>
      <c r="E3" s="155">
        <v>0.88444444444444448</v>
      </c>
      <c r="F3" s="155">
        <v>0.87969924812030076</v>
      </c>
      <c r="G3" s="155">
        <v>0.8370786516853933</v>
      </c>
      <c r="H3" s="155">
        <v>0.80851063829787229</v>
      </c>
      <c r="I3" s="155">
        <v>0.80841121495327106</v>
      </c>
      <c r="J3" s="155">
        <v>0.79646017699115046</v>
      </c>
      <c r="K3" s="155">
        <v>0.84140969162995594</v>
      </c>
      <c r="L3" s="155">
        <v>0.77934272300469487</v>
      </c>
      <c r="M3" s="155">
        <v>0.8040201005025126</v>
      </c>
      <c r="N3" s="155"/>
      <c r="O3" s="155">
        <f>AVERAGE(C3:N3)</f>
        <v>0.82931675630440627</v>
      </c>
      <c r="P3" s="198"/>
    </row>
    <row r="4" spans="1:20" s="147" customFormat="1" ht="15.75" thickBot="1" x14ac:dyDescent="0.25">
      <c r="A4" s="152" t="s">
        <v>430</v>
      </c>
      <c r="B4" s="155">
        <v>0.96</v>
      </c>
      <c r="C4" s="155">
        <v>0.98780487804878048</v>
      </c>
      <c r="D4" s="155">
        <v>0.96575342465753422</v>
      </c>
      <c r="E4" s="155">
        <v>1</v>
      </c>
      <c r="F4" s="155">
        <v>0.97014925373134331</v>
      </c>
      <c r="G4" s="155">
        <v>0.91596638655462181</v>
      </c>
      <c r="H4" s="155">
        <v>0.94117647058823528</v>
      </c>
      <c r="I4" s="155">
        <v>0.97484276729559749</v>
      </c>
      <c r="J4" s="155">
        <v>0.90532544378698221</v>
      </c>
      <c r="K4" s="155">
        <v>0.97041420118343191</v>
      </c>
      <c r="L4" s="155">
        <v>0.9838709677419355</v>
      </c>
      <c r="M4" s="155">
        <v>0.98461538461538467</v>
      </c>
      <c r="N4" s="155"/>
      <c r="O4" s="155">
        <f>AVERAGE(C4:N4)</f>
        <v>0.9636290162003498</v>
      </c>
      <c r="P4" s="198"/>
      <c r="Q4" s="148"/>
      <c r="R4" s="156"/>
      <c r="S4" s="148"/>
      <c r="T4" s="148"/>
    </row>
    <row r="5" spans="1:20" s="147" customFormat="1" ht="15.75" thickBot="1" x14ac:dyDescent="0.25">
      <c r="A5" s="152" t="s">
        <v>431</v>
      </c>
      <c r="B5" s="155">
        <v>0.95</v>
      </c>
      <c r="C5" s="155">
        <v>0.91836734693877553</v>
      </c>
      <c r="D5" s="155">
        <v>0.90804597701149425</v>
      </c>
      <c r="E5" s="155">
        <v>0.96385542168674698</v>
      </c>
      <c r="F5" s="155">
        <v>0.95270270270270274</v>
      </c>
      <c r="G5" s="155">
        <v>0.9850746268656716</v>
      </c>
      <c r="H5" s="155">
        <v>0.97727272727272729</v>
      </c>
      <c r="I5" s="155">
        <v>0.9438202247191011</v>
      </c>
      <c r="J5" s="155">
        <v>0.97409326424870468</v>
      </c>
      <c r="K5" s="155">
        <v>0.9505494505494505</v>
      </c>
      <c r="L5" s="155">
        <v>0.96992481203007519</v>
      </c>
      <c r="M5" s="155">
        <v>0.92517006802721091</v>
      </c>
      <c r="N5" s="155"/>
      <c r="O5" s="155">
        <f>AVERAGE(C5:N5)</f>
        <v>0.95171605655024183</v>
      </c>
      <c r="P5" s="198"/>
      <c r="Q5" s="149"/>
    </row>
    <row r="6" spans="1:20" s="147" customFormat="1" ht="15.75" thickBot="1" x14ac:dyDescent="0.25">
      <c r="A6" s="152" t="s">
        <v>432</v>
      </c>
      <c r="B6" s="154"/>
      <c r="C6" s="155">
        <v>0.87368421052631584</v>
      </c>
      <c r="D6" s="155">
        <v>0.90151515151515149</v>
      </c>
      <c r="E6" s="155">
        <v>0.89320388349514568</v>
      </c>
      <c r="F6" s="155">
        <v>0.90972222222222221</v>
      </c>
      <c r="G6" s="155">
        <v>0.87209302325581395</v>
      </c>
      <c r="H6" s="155">
        <v>0.82926829268292679</v>
      </c>
      <c r="I6" s="155">
        <v>0.85849056603773588</v>
      </c>
      <c r="J6" s="155">
        <v>0.91111111111111109</v>
      </c>
      <c r="K6" s="155">
        <v>0.8165137614678899</v>
      </c>
      <c r="L6" s="155">
        <v>0.78861788617886175</v>
      </c>
      <c r="M6" s="155">
        <v>0.81720430107526887</v>
      </c>
      <c r="N6" s="155"/>
      <c r="O6" s="155">
        <f>AVERAGE(C6:N6)</f>
        <v>0.86103858268804023</v>
      </c>
      <c r="P6" s="198"/>
    </row>
    <row r="7" spans="1:20" s="147" customFormat="1" ht="15.75" thickBot="1" x14ac:dyDescent="0.25">
      <c r="A7" s="152" t="s">
        <v>433</v>
      </c>
      <c r="B7" s="154"/>
      <c r="C7" s="155">
        <v>1</v>
      </c>
      <c r="D7" s="155">
        <v>0.97674418604651159</v>
      </c>
      <c r="E7" s="155">
        <v>0.98058252427184467</v>
      </c>
      <c r="F7" s="155">
        <v>0.97029702970297027</v>
      </c>
      <c r="G7" s="155">
        <v>1</v>
      </c>
      <c r="H7" s="155">
        <v>0.95454545454545459</v>
      </c>
      <c r="I7" s="155">
        <v>0.95348837209302328</v>
      </c>
      <c r="J7" s="155">
        <v>0.96</v>
      </c>
      <c r="K7" s="155">
        <v>0.98019801980198018</v>
      </c>
      <c r="L7" s="155">
        <v>0.88311688311688308</v>
      </c>
      <c r="M7" s="155">
        <v>0.97619047619047616</v>
      </c>
      <c r="N7" s="155"/>
      <c r="O7" s="155">
        <f>AVERAGE(C7:N7)</f>
        <v>0.96683299506992215</v>
      </c>
      <c r="P7" s="198"/>
    </row>
    <row r="11" spans="1:20" s="160" customFormat="1" ht="19.5" customHeight="1" x14ac:dyDescent="0.2">
      <c r="A11" s="159" t="s">
        <v>416</v>
      </c>
      <c r="B11" s="158" t="s">
        <v>26</v>
      </c>
      <c r="C11" s="158" t="s">
        <v>434</v>
      </c>
      <c r="D11" s="158" t="s">
        <v>435</v>
      </c>
      <c r="E11" s="158" t="s">
        <v>436</v>
      </c>
      <c r="F11" s="158" t="s">
        <v>437</v>
      </c>
      <c r="G11" s="158" t="s">
        <v>438</v>
      </c>
      <c r="H11" s="158" t="s">
        <v>439</v>
      </c>
      <c r="I11" s="158" t="s">
        <v>440</v>
      </c>
      <c r="J11" s="158" t="s">
        <v>441</v>
      </c>
      <c r="K11" s="158" t="s">
        <v>442</v>
      </c>
      <c r="L11" s="158" t="s">
        <v>443</v>
      </c>
      <c r="M11" s="158" t="s">
        <v>444</v>
      </c>
      <c r="N11" s="158" t="s">
        <v>445</v>
      </c>
      <c r="O11" s="158" t="s">
        <v>22</v>
      </c>
      <c r="P11" s="199"/>
    </row>
    <row r="12" spans="1:20" s="161" customFormat="1" ht="19.5" customHeight="1" x14ac:dyDescent="0.2">
      <c r="A12" s="159" t="s">
        <v>429</v>
      </c>
      <c r="B12" s="157">
        <v>0.88</v>
      </c>
      <c r="C12" s="157">
        <v>0.74660633484162897</v>
      </c>
      <c r="D12" s="157">
        <v>0.81481481481481477</v>
      </c>
      <c r="E12" s="157">
        <v>0.88151658767772512</v>
      </c>
      <c r="F12" s="157">
        <v>0.8783783783783784</v>
      </c>
      <c r="G12" s="157">
        <v>0.80132450331125826</v>
      </c>
      <c r="H12" s="157">
        <v>0.62209302325581395</v>
      </c>
      <c r="I12" s="157">
        <v>0.53521126760563376</v>
      </c>
      <c r="J12" s="157">
        <v>0.81679389312977102</v>
      </c>
      <c r="K12" s="157">
        <v>0.88721804511278191</v>
      </c>
      <c r="L12" s="157">
        <v>0.8666666666666667</v>
      </c>
      <c r="M12" s="157">
        <v>0.84353741496598644</v>
      </c>
      <c r="N12" s="204">
        <v>0.84285714285714286</v>
      </c>
      <c r="O12" s="157">
        <f t="shared" ref="O12:O17" si="0">AVERAGE(C12:N12)</f>
        <v>0.79475150605146683</v>
      </c>
      <c r="P12" s="200">
        <f>AVERAGE(C12,D12,E12,F12,G12,J12,K12,L12,M12,N12)</f>
        <v>0.83797137817561551</v>
      </c>
      <c r="Q12" s="166"/>
    </row>
    <row r="13" spans="1:20" s="161" customFormat="1" ht="19.5" customHeight="1" x14ac:dyDescent="0.2">
      <c r="A13" s="159" t="s">
        <v>430</v>
      </c>
      <c r="B13" s="157">
        <v>0.96</v>
      </c>
      <c r="C13" s="157">
        <v>0.96183206106870234</v>
      </c>
      <c r="D13" s="157">
        <v>0.99248120300751874</v>
      </c>
      <c r="E13" s="157">
        <v>0.99</v>
      </c>
      <c r="F13" s="157">
        <v>0.95945945945945943</v>
      </c>
      <c r="G13" s="157">
        <v>0.94701986754966883</v>
      </c>
      <c r="H13" s="157">
        <v>0.98255813953488369</v>
      </c>
      <c r="I13" s="157">
        <v>0.9859154929577465</v>
      </c>
      <c r="J13" s="157">
        <v>0.94656488549618323</v>
      </c>
      <c r="K13" s="157">
        <v>0.98496240601503759</v>
      </c>
      <c r="L13" s="157">
        <v>0.97037037037037033</v>
      </c>
      <c r="M13" s="157">
        <v>0.97959183673469385</v>
      </c>
      <c r="N13" s="204">
        <v>0.95</v>
      </c>
      <c r="O13" s="157">
        <f t="shared" si="0"/>
        <v>0.97089631018285516</v>
      </c>
      <c r="P13" s="205"/>
    </row>
    <row r="14" spans="1:20" s="161" customFormat="1" ht="19.5" customHeight="1" x14ac:dyDescent="0.2">
      <c r="A14" s="159" t="s">
        <v>446</v>
      </c>
      <c r="B14" s="157">
        <v>0.96</v>
      </c>
      <c r="C14" s="157">
        <v>0.94117647058823528</v>
      </c>
      <c r="D14" s="157">
        <v>0.94409937888198758</v>
      </c>
      <c r="E14" s="157">
        <v>0.98780487804878048</v>
      </c>
      <c r="F14" s="157">
        <v>0.95945945945945943</v>
      </c>
      <c r="G14" s="157">
        <v>0.97350993377483441</v>
      </c>
      <c r="H14" s="157">
        <v>0.98546511627906974</v>
      </c>
      <c r="I14" s="157">
        <v>0.95774647887323938</v>
      </c>
      <c r="J14" s="157">
        <v>0.94656488549618323</v>
      </c>
      <c r="K14" s="157">
        <v>0.99248120300751874</v>
      </c>
      <c r="L14" s="157">
        <v>0.94074074074074077</v>
      </c>
      <c r="M14" s="157">
        <v>0.94557823129251706</v>
      </c>
      <c r="N14" s="204">
        <v>0.97142857142857142</v>
      </c>
      <c r="O14" s="157">
        <f t="shared" si="0"/>
        <v>0.96217127898926147</v>
      </c>
      <c r="P14" s="206">
        <f>O14*O13</f>
        <v>0.93416854453459253</v>
      </c>
      <c r="Q14" s="167"/>
    </row>
    <row r="15" spans="1:20" s="161" customFormat="1" ht="19.5" customHeight="1" x14ac:dyDescent="0.2">
      <c r="A15" s="159" t="s">
        <v>447</v>
      </c>
      <c r="B15" s="157">
        <v>0.96</v>
      </c>
      <c r="C15" s="157">
        <v>0.94067796610169496</v>
      </c>
      <c r="D15" s="157">
        <v>0.94</v>
      </c>
      <c r="E15" s="157">
        <v>1</v>
      </c>
      <c r="F15" s="157">
        <v>1</v>
      </c>
      <c r="G15" s="157">
        <v>0.98013245033112584</v>
      </c>
      <c r="H15" s="157">
        <v>0.77325581395348841</v>
      </c>
      <c r="I15" s="157">
        <v>0.69718309859154926</v>
      </c>
      <c r="J15" s="157">
        <v>1</v>
      </c>
      <c r="K15" s="157">
        <v>1</v>
      </c>
      <c r="L15" s="157">
        <v>1</v>
      </c>
      <c r="M15" s="157">
        <v>0.99319727891156462</v>
      </c>
      <c r="N15" s="204">
        <v>1</v>
      </c>
      <c r="O15" s="157">
        <f t="shared" si="0"/>
        <v>0.9437038839907852</v>
      </c>
      <c r="P15" s="200"/>
    </row>
    <row r="16" spans="1:20" s="161" customFormat="1" ht="19.5" customHeight="1" x14ac:dyDescent="0.2">
      <c r="A16" s="159" t="s">
        <v>432</v>
      </c>
      <c r="B16" s="157">
        <v>0.96</v>
      </c>
      <c r="C16" s="157">
        <v>0.83333333333333337</v>
      </c>
      <c r="D16" s="157">
        <v>0.86896551724137927</v>
      </c>
      <c r="E16" s="157">
        <v>0.86896551724137927</v>
      </c>
      <c r="F16" s="157">
        <v>0.95161290322580649</v>
      </c>
      <c r="G16" s="157">
        <v>0.80303030303030298</v>
      </c>
      <c r="H16" s="157">
        <v>0.78846153846153844</v>
      </c>
      <c r="I16" s="157">
        <v>0.8</v>
      </c>
      <c r="J16" s="157">
        <v>0.89230769230769236</v>
      </c>
      <c r="K16" s="157">
        <v>0.85245901639344257</v>
      </c>
      <c r="L16" s="157">
        <v>0.96103896103896103</v>
      </c>
      <c r="M16" s="157">
        <v>0.76388888888888884</v>
      </c>
      <c r="N16" s="204">
        <v>0.93243243243243246</v>
      </c>
      <c r="O16" s="157">
        <f t="shared" si="0"/>
        <v>0.85970800863292973</v>
      </c>
      <c r="P16" s="201"/>
      <c r="Q16" s="215">
        <f>AVERAGE(C16:N17)</f>
        <v>0.90642513539559755</v>
      </c>
    </row>
    <row r="17" spans="1:17" s="161" customFormat="1" ht="19.5" customHeight="1" x14ac:dyDescent="0.2">
      <c r="A17" s="159" t="s">
        <v>433</v>
      </c>
      <c r="B17" s="157">
        <v>0.96</v>
      </c>
      <c r="C17" s="157">
        <v>0.8928571428571429</v>
      </c>
      <c r="D17" s="157">
        <v>0.95238095238095233</v>
      </c>
      <c r="E17" s="157">
        <v>0.95238095238095233</v>
      </c>
      <c r="F17" s="157">
        <v>0.95348837209302328</v>
      </c>
      <c r="G17" s="157">
        <v>0.97647058823529409</v>
      </c>
      <c r="H17" s="157">
        <v>0.96808510638297873</v>
      </c>
      <c r="I17" s="157">
        <v>0.96341463414634143</v>
      </c>
      <c r="J17" s="157">
        <v>0.96969696969696972</v>
      </c>
      <c r="K17" s="157">
        <v>0.98611111111111116</v>
      </c>
      <c r="L17" s="157">
        <v>0.94827586206896552</v>
      </c>
      <c r="M17" s="157">
        <v>0.92</v>
      </c>
      <c r="N17" s="204">
        <v>0.95454545454545459</v>
      </c>
      <c r="O17" s="157">
        <f t="shared" si="0"/>
        <v>0.95314226215826559</v>
      </c>
      <c r="P17" s="201"/>
      <c r="Q17" s="216"/>
    </row>
    <row r="19" spans="1:17" x14ac:dyDescent="0.25">
      <c r="B19" s="150"/>
    </row>
    <row r="20" spans="1:17" x14ac:dyDescent="0.25">
      <c r="B20" s="157">
        <f>B13*B14*B15*AVERAGE(B16:B17)</f>
        <v>0.84934655999999997</v>
      </c>
      <c r="C20" s="157">
        <f t="shared" ref="C20:K20" si="1">C13*C14*C15*AVERAGE(C16:C17)</f>
        <v>0.73497066053747162</v>
      </c>
      <c r="D20" s="157">
        <f t="shared" si="1"/>
        <v>0.80210353132471646</v>
      </c>
      <c r="E20" s="157">
        <f t="shared" si="1"/>
        <v>0.89057178901838274</v>
      </c>
      <c r="F20" s="157">
        <f t="shared" si="1"/>
        <v>0.87688235289282501</v>
      </c>
      <c r="G20" s="157">
        <f t="shared" si="1"/>
        <v>0.80399335610985001</v>
      </c>
      <c r="H20" s="157">
        <f t="shared" si="1"/>
        <v>0.6575857579443527</v>
      </c>
      <c r="I20" s="157">
        <f t="shared" si="1"/>
        <v>0.58044563606254207</v>
      </c>
      <c r="J20" s="157">
        <f t="shared" si="1"/>
        <v>0.83416420030836436</v>
      </c>
      <c r="K20" s="157">
        <f t="shared" si="1"/>
        <v>0.89865324904767774</v>
      </c>
      <c r="L20" s="202">
        <f>L13*L14*L15*AVERAGE(L16:L17)</f>
        <v>0.87147519100264947</v>
      </c>
      <c r="M20" s="202">
        <f>M13*M14*M15*AVERAGE(M16:M17)</f>
        <v>0.77457161808682007</v>
      </c>
      <c r="N20" s="202">
        <f>N13*N14*N15*AVERAGE(N16:N17)</f>
        <v>0.87070551070551072</v>
      </c>
      <c r="O20" s="168">
        <f>O13*O14*O15*AVERAGE(O16:O17)</f>
        <v>0.79908489652151016</v>
      </c>
      <c r="P20" s="168"/>
    </row>
    <row r="22" spans="1:17" x14ac:dyDescent="0.25">
      <c r="B22" s="196" t="s">
        <v>563</v>
      </c>
      <c r="C22" s="196" t="s">
        <v>336</v>
      </c>
      <c r="D22" s="196" t="s">
        <v>337</v>
      </c>
      <c r="E22" s="196" t="s">
        <v>338</v>
      </c>
      <c r="F22" s="196" t="s">
        <v>339</v>
      </c>
      <c r="G22" s="196" t="s">
        <v>379</v>
      </c>
      <c r="H22" s="196" t="s">
        <v>380</v>
      </c>
      <c r="I22" s="196" t="s">
        <v>381</v>
      </c>
      <c r="J22" s="196" t="s">
        <v>382</v>
      </c>
      <c r="K22" s="196" t="s">
        <v>383</v>
      </c>
      <c r="L22" s="196" t="s">
        <v>384</v>
      </c>
      <c r="M22" s="196" t="s">
        <v>385</v>
      </c>
      <c r="N22" s="203" t="s">
        <v>386</v>
      </c>
    </row>
    <row r="23" spans="1:17" x14ac:dyDescent="0.25">
      <c r="B23" s="196" t="s">
        <v>562</v>
      </c>
      <c r="C23" s="168">
        <v>0.74660633484162897</v>
      </c>
      <c r="D23" s="168">
        <v>0.81481481481481477</v>
      </c>
      <c r="E23" s="168">
        <v>0.88151658767772512</v>
      </c>
      <c r="F23" s="168">
        <v>0.8783783783783784</v>
      </c>
      <c r="G23" s="168">
        <v>0.80132450331125826</v>
      </c>
      <c r="H23" s="168">
        <v>0.62209302325581395</v>
      </c>
      <c r="I23" s="168">
        <v>0.53521126760563376</v>
      </c>
      <c r="J23" s="168">
        <v>0.81679389312977102</v>
      </c>
      <c r="K23" s="168">
        <v>0.88721804511278191</v>
      </c>
      <c r="L23" s="168">
        <v>0.8666666666666667</v>
      </c>
      <c r="M23" s="168">
        <v>0.84353741496598644</v>
      </c>
      <c r="N23" s="168">
        <v>0.84285714285714286</v>
      </c>
    </row>
    <row r="24" spans="1:17" x14ac:dyDescent="0.25">
      <c r="B24" s="196" t="s">
        <v>26</v>
      </c>
      <c r="C24" s="195">
        <v>0.88</v>
      </c>
      <c r="D24" s="195">
        <v>0.88</v>
      </c>
      <c r="E24" s="195">
        <v>0.88</v>
      </c>
      <c r="F24" s="195">
        <v>0.88</v>
      </c>
      <c r="G24" s="195">
        <v>0.88</v>
      </c>
      <c r="H24" s="195">
        <v>0.88</v>
      </c>
      <c r="I24" s="195">
        <v>0.88</v>
      </c>
      <c r="J24" s="195">
        <v>0.88</v>
      </c>
      <c r="K24" s="195">
        <v>0.88</v>
      </c>
      <c r="L24" s="195">
        <v>0.88</v>
      </c>
      <c r="M24" s="195">
        <v>0.88</v>
      </c>
      <c r="N24" s="195">
        <v>0.88</v>
      </c>
    </row>
    <row r="27" spans="1:17" x14ac:dyDescent="0.25">
      <c r="B27" s="196" t="s">
        <v>563</v>
      </c>
      <c r="C27" s="196" t="s">
        <v>336</v>
      </c>
      <c r="D27" s="196" t="s">
        <v>337</v>
      </c>
      <c r="E27" s="196" t="s">
        <v>338</v>
      </c>
      <c r="F27" s="196" t="s">
        <v>339</v>
      </c>
      <c r="G27" s="196" t="s">
        <v>379</v>
      </c>
      <c r="H27" s="196" t="s">
        <v>380</v>
      </c>
      <c r="I27" s="196" t="s">
        <v>381</v>
      </c>
      <c r="J27" s="196" t="s">
        <v>382</v>
      </c>
      <c r="K27" s="196" t="s">
        <v>383</v>
      </c>
      <c r="L27" s="196" t="s">
        <v>384</v>
      </c>
      <c r="M27" s="196" t="s">
        <v>385</v>
      </c>
      <c r="N27" s="203" t="s">
        <v>386</v>
      </c>
    </row>
    <row r="28" spans="1:17" x14ac:dyDescent="0.25">
      <c r="B28" s="196" t="s">
        <v>564</v>
      </c>
      <c r="C28" s="168">
        <v>0.96183206106870234</v>
      </c>
      <c r="D28" s="168">
        <v>0.99248120300751874</v>
      </c>
      <c r="E28" s="168">
        <v>0.99</v>
      </c>
      <c r="F28" s="168">
        <v>0.95945945945945943</v>
      </c>
      <c r="G28" s="168">
        <v>0.94701986754966883</v>
      </c>
      <c r="H28" s="168">
        <v>0.98255813953488369</v>
      </c>
      <c r="I28" s="168">
        <v>0.9859154929577465</v>
      </c>
      <c r="J28" s="168">
        <v>0.94656488549618323</v>
      </c>
      <c r="K28" s="168">
        <v>0.98496240601503759</v>
      </c>
      <c r="L28" s="168">
        <v>0.97037037037037033</v>
      </c>
      <c r="M28" s="168">
        <v>0.97959183673469385</v>
      </c>
      <c r="N28" s="168">
        <v>0.95</v>
      </c>
    </row>
    <row r="29" spans="1:17" x14ac:dyDescent="0.25">
      <c r="B29" s="196" t="s">
        <v>26</v>
      </c>
      <c r="C29" s="195">
        <v>0.96</v>
      </c>
      <c r="D29" s="195">
        <v>0.96</v>
      </c>
      <c r="E29" s="195">
        <v>0.96</v>
      </c>
      <c r="F29" s="195">
        <v>0.96</v>
      </c>
      <c r="G29" s="195">
        <v>0.96</v>
      </c>
      <c r="H29" s="195">
        <v>0.96</v>
      </c>
      <c r="I29" s="195">
        <v>0.96</v>
      </c>
      <c r="J29" s="195">
        <v>0.96</v>
      </c>
      <c r="K29" s="195">
        <v>0.96</v>
      </c>
      <c r="L29" s="195">
        <v>0.96</v>
      </c>
      <c r="M29" s="195">
        <v>0.96</v>
      </c>
      <c r="N29" s="195">
        <v>0.96</v>
      </c>
    </row>
    <row r="31" spans="1:17" x14ac:dyDescent="0.25">
      <c r="B31" s="196" t="s">
        <v>563</v>
      </c>
      <c r="C31" s="196" t="s">
        <v>336</v>
      </c>
      <c r="D31" s="196" t="s">
        <v>337</v>
      </c>
      <c r="E31" s="196" t="s">
        <v>338</v>
      </c>
      <c r="F31" s="196" t="s">
        <v>339</v>
      </c>
      <c r="G31" s="196" t="s">
        <v>379</v>
      </c>
      <c r="H31" s="196" t="s">
        <v>380</v>
      </c>
      <c r="I31" s="196" t="s">
        <v>381</v>
      </c>
      <c r="J31" s="196" t="s">
        <v>382</v>
      </c>
      <c r="K31" s="196" t="s">
        <v>383</v>
      </c>
      <c r="L31" s="196" t="s">
        <v>384</v>
      </c>
      <c r="M31" s="196" t="s">
        <v>385</v>
      </c>
      <c r="N31" s="203" t="s">
        <v>386</v>
      </c>
    </row>
    <row r="32" spans="1:17" x14ac:dyDescent="0.25">
      <c r="B32" s="196" t="s">
        <v>565</v>
      </c>
      <c r="C32" s="168">
        <v>0.94117647058823528</v>
      </c>
      <c r="D32" s="168">
        <v>0.94409937888198758</v>
      </c>
      <c r="E32" s="168">
        <v>0.98780487804878048</v>
      </c>
      <c r="F32" s="168">
        <v>0.95945945945945943</v>
      </c>
      <c r="G32" s="168">
        <v>0.97350993377483441</v>
      </c>
      <c r="H32" s="168">
        <v>0.98546511627906974</v>
      </c>
      <c r="I32" s="168">
        <v>0.95774647887323938</v>
      </c>
      <c r="J32" s="168">
        <v>0.94656488549618323</v>
      </c>
      <c r="K32" s="168">
        <v>0.99248120300751874</v>
      </c>
      <c r="L32" s="168">
        <v>0.94074074074074077</v>
      </c>
      <c r="M32" s="168">
        <v>0.94557823129251706</v>
      </c>
      <c r="N32" s="168">
        <v>0.97142857142857142</v>
      </c>
    </row>
    <row r="33" spans="2:14" x14ac:dyDescent="0.25">
      <c r="B33" s="196" t="s">
        <v>26</v>
      </c>
      <c r="C33" s="195">
        <v>0.96</v>
      </c>
      <c r="D33" s="195">
        <v>0.96</v>
      </c>
      <c r="E33" s="195">
        <v>0.96</v>
      </c>
      <c r="F33" s="195">
        <v>0.96</v>
      </c>
      <c r="G33" s="195">
        <v>0.96</v>
      </c>
      <c r="H33" s="195">
        <v>0.96</v>
      </c>
      <c r="I33" s="195">
        <v>0.96</v>
      </c>
      <c r="J33" s="195">
        <v>0.96</v>
      </c>
      <c r="K33" s="195">
        <v>0.96</v>
      </c>
      <c r="L33" s="195">
        <v>0.96</v>
      </c>
      <c r="M33" s="195">
        <v>0.96</v>
      </c>
      <c r="N33" s="195">
        <v>0.96</v>
      </c>
    </row>
    <row r="35" spans="2:14" x14ac:dyDescent="0.25">
      <c r="B35" s="196" t="s">
        <v>563</v>
      </c>
      <c r="C35" s="196" t="s">
        <v>336</v>
      </c>
      <c r="D35" s="196" t="s">
        <v>337</v>
      </c>
      <c r="E35" s="196" t="s">
        <v>338</v>
      </c>
      <c r="F35" s="196" t="s">
        <v>339</v>
      </c>
      <c r="G35" s="196" t="s">
        <v>379</v>
      </c>
      <c r="H35" s="196" t="s">
        <v>380</v>
      </c>
      <c r="I35" s="196" t="s">
        <v>381</v>
      </c>
      <c r="J35" s="196" t="s">
        <v>382</v>
      </c>
      <c r="K35" s="196" t="s">
        <v>383</v>
      </c>
      <c r="L35" s="196" t="s">
        <v>384</v>
      </c>
      <c r="M35" s="196" t="s">
        <v>385</v>
      </c>
      <c r="N35" s="203" t="s">
        <v>386</v>
      </c>
    </row>
    <row r="36" spans="2:14" x14ac:dyDescent="0.25">
      <c r="B36" s="196" t="s">
        <v>566</v>
      </c>
      <c r="C36" s="168">
        <v>0.8928571428571429</v>
      </c>
      <c r="D36" s="168">
        <v>0.95238095238095233</v>
      </c>
      <c r="E36" s="168">
        <v>0.95238095238095233</v>
      </c>
      <c r="F36" s="168">
        <v>0.95348837209302328</v>
      </c>
      <c r="G36" s="168">
        <v>0.97647058823529409</v>
      </c>
      <c r="H36" s="168">
        <v>0.96808510638297873</v>
      </c>
      <c r="I36" s="168">
        <v>0.96341463414634143</v>
      </c>
      <c r="J36" s="168">
        <v>0.96969696969696972</v>
      </c>
      <c r="K36" s="168">
        <v>0.98611111111111116</v>
      </c>
      <c r="L36" s="168">
        <v>0.94827586206896552</v>
      </c>
      <c r="M36" s="168">
        <v>0.92</v>
      </c>
      <c r="N36" s="168">
        <v>0.95454545454545459</v>
      </c>
    </row>
    <row r="37" spans="2:14" x14ac:dyDescent="0.25">
      <c r="B37" s="196" t="s">
        <v>26</v>
      </c>
      <c r="C37" s="195">
        <v>0.96</v>
      </c>
      <c r="D37" s="195">
        <v>0.96</v>
      </c>
      <c r="E37" s="195">
        <v>0.96</v>
      </c>
      <c r="F37" s="195">
        <v>0.96</v>
      </c>
      <c r="G37" s="195">
        <v>0.96</v>
      </c>
      <c r="H37" s="195">
        <v>0.96</v>
      </c>
      <c r="I37" s="195">
        <v>0.96</v>
      </c>
      <c r="J37" s="195">
        <v>0.96</v>
      </c>
      <c r="K37" s="195">
        <v>0.96</v>
      </c>
      <c r="L37" s="195">
        <v>0.96</v>
      </c>
      <c r="M37" s="195">
        <v>0.96</v>
      </c>
      <c r="N37" s="195">
        <v>0.96</v>
      </c>
    </row>
    <row r="39" spans="2:14" x14ac:dyDescent="0.25">
      <c r="B39" s="196" t="s">
        <v>563</v>
      </c>
      <c r="C39" s="196" t="s">
        <v>336</v>
      </c>
      <c r="D39" s="196" t="s">
        <v>337</v>
      </c>
      <c r="E39" s="196" t="s">
        <v>338</v>
      </c>
      <c r="F39" s="196" t="s">
        <v>339</v>
      </c>
      <c r="G39" s="196" t="s">
        <v>379</v>
      </c>
      <c r="H39" s="196" t="s">
        <v>380</v>
      </c>
      <c r="I39" s="196" t="s">
        <v>381</v>
      </c>
      <c r="J39" s="196" t="s">
        <v>382</v>
      </c>
      <c r="K39" s="196" t="s">
        <v>383</v>
      </c>
      <c r="L39" s="196" t="s">
        <v>384</v>
      </c>
      <c r="M39" s="196" t="s">
        <v>385</v>
      </c>
      <c r="N39" s="203" t="s">
        <v>386</v>
      </c>
    </row>
    <row r="40" spans="2:14" x14ac:dyDescent="0.25">
      <c r="B40" s="196" t="s">
        <v>567</v>
      </c>
      <c r="C40" s="168">
        <v>0.83333333333333337</v>
      </c>
      <c r="D40" s="168">
        <v>0.86896551724137927</v>
      </c>
      <c r="E40" s="168">
        <v>0.86896551724137927</v>
      </c>
      <c r="F40" s="168">
        <v>0.95161290322580649</v>
      </c>
      <c r="G40" s="168">
        <v>0.80303030303030298</v>
      </c>
      <c r="H40" s="168">
        <v>0.78846153846153844</v>
      </c>
      <c r="I40" s="168">
        <v>0.8</v>
      </c>
      <c r="J40" s="168">
        <v>0.89230769230769236</v>
      </c>
      <c r="K40" s="168">
        <v>0.85245901639344257</v>
      </c>
      <c r="L40" s="168">
        <v>0.96103896103896103</v>
      </c>
      <c r="M40" s="168">
        <v>0.76388888888888884</v>
      </c>
      <c r="N40" s="168">
        <v>0.93243243243243246</v>
      </c>
    </row>
    <row r="41" spans="2:14" x14ac:dyDescent="0.25">
      <c r="B41" s="196" t="s">
        <v>26</v>
      </c>
      <c r="C41" s="195">
        <v>0.96</v>
      </c>
      <c r="D41" s="195">
        <v>0.96</v>
      </c>
      <c r="E41" s="195">
        <v>0.96</v>
      </c>
      <c r="F41" s="195">
        <v>0.96</v>
      </c>
      <c r="G41" s="195">
        <v>0.96</v>
      </c>
      <c r="H41" s="195">
        <v>0.96</v>
      </c>
      <c r="I41" s="195">
        <v>0.96</v>
      </c>
      <c r="J41" s="195">
        <v>0.96</v>
      </c>
      <c r="K41" s="195">
        <v>0.96</v>
      </c>
      <c r="L41" s="195">
        <v>0.96</v>
      </c>
      <c r="M41" s="195">
        <v>0.96</v>
      </c>
      <c r="N41" s="195">
        <v>0.96</v>
      </c>
    </row>
  </sheetData>
  <mergeCells count="1">
    <mergeCell ref="Q16:Q17"/>
  </mergeCells>
  <pageMargins left="0.7" right="0.7" top="0.75" bottom="0.75" header="0.3" footer="0.3"/>
  <pageSetup paperSize="9" orientation="portrait" verticalDpi="0" r:id="rId1"/>
  <ignoredErrors>
    <ignoredError sqref="O3:O5 O12:O1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showGridLines="0" topLeftCell="A2" zoomScale="90" zoomScaleNormal="90" workbookViewId="0">
      <pane xSplit="2" ySplit="2" topLeftCell="C21" activePane="bottomRight" state="frozen"/>
      <selection activeCell="A2" sqref="A2"/>
      <selection pane="topRight" activeCell="C2" sqref="C2"/>
      <selection pane="bottomLeft" activeCell="A4" sqref="A4"/>
      <selection pane="bottomRight" activeCell="H24" sqref="H24"/>
    </sheetView>
  </sheetViews>
  <sheetFormatPr defaultRowHeight="21" x14ac:dyDescent="0.35"/>
  <cols>
    <col min="1" max="1" width="16.7109375" style="32" customWidth="1"/>
    <col min="2" max="2" width="13.5703125" style="32" customWidth="1"/>
    <col min="3" max="10" width="11.7109375" style="33" customWidth="1"/>
    <col min="11" max="11" width="14.85546875" style="33" customWidth="1"/>
    <col min="12" max="12" width="14.140625" style="33" bestFit="1" customWidth="1"/>
    <col min="13" max="13" width="26.42578125" style="33" bestFit="1" customWidth="1"/>
    <col min="14" max="14" width="14.140625" style="33" bestFit="1" customWidth="1"/>
    <col min="15" max="21" width="9.140625" style="33"/>
    <col min="22" max="29" width="13.28515625" style="32" customWidth="1"/>
    <col min="30" max="30" width="10.7109375" style="33" bestFit="1" customWidth="1"/>
    <col min="31" max="16384" width="9.140625" style="33"/>
  </cols>
  <sheetData>
    <row r="1" spans="1:29" x14ac:dyDescent="0.35">
      <c r="C1" s="217"/>
      <c r="D1" s="217"/>
    </row>
    <row r="2" spans="1:29" s="35" customFormat="1" ht="63" x14ac:dyDescent="0.2">
      <c r="A2" s="34" t="s">
        <v>25</v>
      </c>
      <c r="B2" s="34" t="s">
        <v>26</v>
      </c>
      <c r="C2" s="34" t="s">
        <v>27</v>
      </c>
      <c r="D2" s="34" t="s">
        <v>30</v>
      </c>
      <c r="E2" s="34" t="s">
        <v>28</v>
      </c>
      <c r="F2" s="34" t="s">
        <v>29</v>
      </c>
      <c r="G2" s="34" t="s">
        <v>35</v>
      </c>
      <c r="H2" s="34" t="s">
        <v>36</v>
      </c>
      <c r="I2" s="34" t="s">
        <v>45</v>
      </c>
      <c r="J2" s="34" t="s">
        <v>44</v>
      </c>
      <c r="K2" s="34" t="s">
        <v>31</v>
      </c>
      <c r="V2" s="111"/>
      <c r="W2" s="111"/>
      <c r="X2" s="111"/>
      <c r="Y2" s="111"/>
      <c r="Z2" s="111"/>
      <c r="AA2" s="111"/>
      <c r="AB2" s="111"/>
      <c r="AC2" s="111"/>
    </row>
    <row r="3" spans="1:29" s="35" customFormat="1" ht="36" customHeight="1" x14ac:dyDescent="0.2">
      <c r="A3" s="36" t="s">
        <v>341</v>
      </c>
      <c r="B3" s="106">
        <f>SUM(C3:J3)</f>
        <v>4857.6324680343787</v>
      </c>
      <c r="C3" s="106">
        <v>886.84050000000013</v>
      </c>
      <c r="D3" s="106">
        <v>614.3114250000001</v>
      </c>
      <c r="E3" s="106">
        <v>283.98825000000005</v>
      </c>
      <c r="F3" s="106">
        <v>568.97294999999997</v>
      </c>
      <c r="G3" s="106">
        <v>255.53960250000003</v>
      </c>
      <c r="H3" s="106">
        <v>1893.2550000000003</v>
      </c>
      <c r="I3" s="106">
        <v>338.79300000000006</v>
      </c>
      <c r="J3" s="106">
        <v>15.931740534378143</v>
      </c>
      <c r="K3" s="106">
        <f>SUM(C3:J3)</f>
        <v>4857.6324680343787</v>
      </c>
      <c r="L3" s="107"/>
      <c r="M3" s="163"/>
      <c r="N3" s="107"/>
      <c r="O3" s="107"/>
      <c r="P3" s="107"/>
      <c r="Q3" s="107"/>
      <c r="R3" s="107"/>
      <c r="S3" s="107"/>
      <c r="V3" s="111"/>
      <c r="W3" s="111"/>
      <c r="X3" s="111"/>
      <c r="Y3" s="111"/>
      <c r="Z3" s="111"/>
      <c r="AA3" s="111"/>
      <c r="AB3" s="111"/>
      <c r="AC3" s="111"/>
    </row>
    <row r="4" spans="1:29" ht="36" customHeight="1" x14ac:dyDescent="0.35">
      <c r="A4" s="37" t="s">
        <v>34</v>
      </c>
      <c r="B4" s="38"/>
      <c r="C4" s="39">
        <v>1149.4831473999996</v>
      </c>
      <c r="D4" s="39">
        <v>586.04007390000004</v>
      </c>
      <c r="E4" s="39">
        <v>265.93421559999996</v>
      </c>
      <c r="F4" s="39">
        <v>709.2072647</v>
      </c>
      <c r="G4" s="39">
        <v>347.00665950000001</v>
      </c>
      <c r="H4" s="39">
        <v>2291.4734122</v>
      </c>
      <c r="I4" s="39">
        <v>240.38154570000029</v>
      </c>
      <c r="J4" s="39">
        <v>20.162977999999999</v>
      </c>
      <c r="K4" s="39">
        <f>SUM(C4:J4)</f>
        <v>5609.6892969999999</v>
      </c>
      <c r="M4" s="164"/>
    </row>
    <row r="5" spans="1:29" ht="36" hidden="1" customHeight="1" x14ac:dyDescent="0.35">
      <c r="A5" s="37" t="s">
        <v>9</v>
      </c>
      <c r="B5" s="38"/>
      <c r="C5" s="39">
        <v>924.94520169999976</v>
      </c>
      <c r="D5" s="39">
        <v>544.02268440000023</v>
      </c>
      <c r="E5" s="39">
        <v>217.43415089999996</v>
      </c>
      <c r="F5" s="39">
        <v>846.79114540000023</v>
      </c>
      <c r="G5" s="39">
        <v>342.68271590000006</v>
      </c>
      <c r="H5" s="39">
        <v>1902.4284393</v>
      </c>
      <c r="I5" s="39">
        <v>259.06157300000046</v>
      </c>
      <c r="J5" s="39">
        <v>16.356017900000001</v>
      </c>
      <c r="K5" s="39">
        <f>SUM(C5:J5)</f>
        <v>5053.721928500001</v>
      </c>
    </row>
    <row r="6" spans="1:29" ht="36" hidden="1" customHeight="1" x14ac:dyDescent="0.35">
      <c r="A6" s="37" t="s">
        <v>10</v>
      </c>
      <c r="B6" s="38"/>
      <c r="C6" s="39">
        <v>805.84949159999996</v>
      </c>
      <c r="D6" s="39">
        <v>637.25611709999953</v>
      </c>
      <c r="E6" s="39">
        <v>278.25526899999988</v>
      </c>
      <c r="F6" s="39">
        <v>770.74465049999992</v>
      </c>
      <c r="G6" s="39">
        <v>270.30706839999999</v>
      </c>
      <c r="H6" s="39">
        <v>1951.4293380000001</v>
      </c>
      <c r="I6" s="39">
        <v>278.73745620000062</v>
      </c>
      <c r="J6" s="39">
        <v>20.770764600000003</v>
      </c>
      <c r="K6" s="39">
        <f t="shared" ref="K6:K11" si="0">SUM(C6:J6)</f>
        <v>5013.3501553999995</v>
      </c>
    </row>
    <row r="7" spans="1:29" ht="36" hidden="1" customHeight="1" x14ac:dyDescent="0.35">
      <c r="A7" s="37" t="s">
        <v>37</v>
      </c>
      <c r="B7" s="38"/>
      <c r="C7" s="39">
        <v>871.29112839999993</v>
      </c>
      <c r="D7" s="39">
        <v>614.55136440000024</v>
      </c>
      <c r="E7" s="39">
        <v>271.00610149999994</v>
      </c>
      <c r="F7" s="39">
        <v>1155.4082583000004</v>
      </c>
      <c r="G7" s="39">
        <v>189.57483259999998</v>
      </c>
      <c r="H7" s="39">
        <v>1745.6586310999999</v>
      </c>
      <c r="I7" s="39">
        <v>294.25703420000048</v>
      </c>
      <c r="J7" s="39">
        <v>16.09214729999999</v>
      </c>
      <c r="K7" s="39">
        <f t="shared" si="0"/>
        <v>5157.8394978000006</v>
      </c>
    </row>
    <row r="8" spans="1:29" ht="36" hidden="1" customHeight="1" x14ac:dyDescent="0.35">
      <c r="A8" s="37" t="s">
        <v>12</v>
      </c>
      <c r="B8" s="38"/>
      <c r="C8" s="39">
        <v>861.13403159999984</v>
      </c>
      <c r="D8" s="39">
        <v>536.8522131000002</v>
      </c>
      <c r="E8" s="39">
        <v>259.07808540000002</v>
      </c>
      <c r="F8" s="39">
        <v>595.58785599999987</v>
      </c>
      <c r="G8" s="39">
        <v>193.05039389999996</v>
      </c>
      <c r="H8" s="39">
        <v>1522.4522006</v>
      </c>
      <c r="I8" s="39">
        <v>326.83537860000058</v>
      </c>
      <c r="J8" s="39">
        <v>14.026089299999992</v>
      </c>
      <c r="K8" s="39">
        <f t="shared" si="0"/>
        <v>4309.016248500001</v>
      </c>
    </row>
    <row r="9" spans="1:29" ht="36" hidden="1" customHeight="1" x14ac:dyDescent="0.35">
      <c r="A9" s="37" t="s">
        <v>13</v>
      </c>
      <c r="B9" s="38"/>
      <c r="C9" s="39">
        <v>876.33204199999989</v>
      </c>
      <c r="D9" s="39">
        <v>646.68693189999988</v>
      </c>
      <c r="E9" s="39">
        <v>215.92123790000002</v>
      </c>
      <c r="F9" s="39">
        <v>554.20701699999984</v>
      </c>
      <c r="G9" s="39">
        <v>296.03917759999996</v>
      </c>
      <c r="H9" s="39">
        <v>1794.9459393</v>
      </c>
      <c r="I9" s="39">
        <v>308.97262910000052</v>
      </c>
      <c r="J9" s="39">
        <v>15.760785199999987</v>
      </c>
      <c r="K9" s="39">
        <f t="shared" si="0"/>
        <v>4708.8657600000006</v>
      </c>
    </row>
    <row r="10" spans="1:29" ht="36" hidden="1" customHeight="1" x14ac:dyDescent="0.35">
      <c r="A10" s="37" t="s">
        <v>38</v>
      </c>
      <c r="B10" s="38"/>
      <c r="C10" s="39">
        <v>780.98287090000031</v>
      </c>
      <c r="D10" s="39">
        <v>602.75370510000016</v>
      </c>
      <c r="E10" s="39">
        <v>376.11123650000008</v>
      </c>
      <c r="F10" s="39">
        <v>678.132563</v>
      </c>
      <c r="G10" s="39">
        <v>204.25912750000001</v>
      </c>
      <c r="H10" s="39">
        <v>1944.5800423000003</v>
      </c>
      <c r="I10" s="39">
        <v>297.80359320000082</v>
      </c>
      <c r="J10" s="39">
        <v>15.083144799999992</v>
      </c>
      <c r="K10" s="39">
        <f t="shared" si="0"/>
        <v>4899.7062833000018</v>
      </c>
    </row>
    <row r="11" spans="1:29" ht="36" hidden="1" customHeight="1" x14ac:dyDescent="0.35">
      <c r="A11" s="37" t="s">
        <v>15</v>
      </c>
      <c r="B11" s="38"/>
      <c r="C11" s="39">
        <v>748.51978019999967</v>
      </c>
      <c r="D11" s="39">
        <v>635.68963750000069</v>
      </c>
      <c r="E11" s="39">
        <v>335.4008776</v>
      </c>
      <c r="F11" s="39">
        <v>649.18286009999997</v>
      </c>
      <c r="G11" s="39">
        <v>187.67426509999999</v>
      </c>
      <c r="H11" s="39">
        <v>1789.4426358000005</v>
      </c>
      <c r="I11" s="39">
        <v>303.75587080000082</v>
      </c>
      <c r="J11" s="39">
        <v>11.610317799999997</v>
      </c>
      <c r="K11" s="39">
        <f t="shared" si="0"/>
        <v>4661.276244900002</v>
      </c>
    </row>
    <row r="12" spans="1:29" ht="36" hidden="1" customHeight="1" x14ac:dyDescent="0.35">
      <c r="A12" s="37" t="s">
        <v>16</v>
      </c>
      <c r="B12" s="38"/>
      <c r="C12" s="39">
        <v>934.01162299999999</v>
      </c>
      <c r="D12" s="39">
        <v>632.39556269999969</v>
      </c>
      <c r="E12" s="39">
        <v>291.1002191</v>
      </c>
      <c r="F12" s="39">
        <v>639.54176100000006</v>
      </c>
      <c r="G12" s="39">
        <v>253.11114649999996</v>
      </c>
      <c r="H12" s="39">
        <v>2226.1274305000011</v>
      </c>
      <c r="I12" s="39">
        <v>316.35919080000104</v>
      </c>
      <c r="J12" s="39">
        <v>15.839229799999991</v>
      </c>
      <c r="K12" s="39">
        <f>SUM(C12:J12)</f>
        <v>5308.4861634000017</v>
      </c>
    </row>
    <row r="13" spans="1:29" ht="36" hidden="1" customHeight="1" x14ac:dyDescent="0.35">
      <c r="A13" s="37" t="s">
        <v>17</v>
      </c>
      <c r="B13" s="38"/>
      <c r="C13" s="39">
        <v>800.62667509999972</v>
      </c>
      <c r="D13" s="39">
        <v>603.84464880000007</v>
      </c>
      <c r="E13" s="39">
        <v>206.49995670000001</v>
      </c>
      <c r="F13" s="39">
        <v>1202.2503058000002</v>
      </c>
      <c r="G13" s="39">
        <v>281.32357979999995</v>
      </c>
      <c r="H13" s="39">
        <v>1377.4259537</v>
      </c>
      <c r="I13" s="39">
        <v>291.59872179999985</v>
      </c>
      <c r="J13" s="39">
        <v>16.527530500000005</v>
      </c>
      <c r="K13" s="39">
        <f>SUM(C13:J13)</f>
        <v>4780.0973721999999</v>
      </c>
    </row>
    <row r="14" spans="1:29" ht="36" hidden="1" customHeight="1" x14ac:dyDescent="0.35">
      <c r="A14" s="37" t="s">
        <v>18</v>
      </c>
      <c r="B14" s="38"/>
      <c r="C14" s="39">
        <v>777.25925449999977</v>
      </c>
      <c r="D14" s="39">
        <v>481.26135679999999</v>
      </c>
      <c r="E14" s="39">
        <v>223.55830479999997</v>
      </c>
      <c r="F14" s="39">
        <v>1125.4313795999994</v>
      </c>
      <c r="G14" s="39">
        <v>182.52597679999997</v>
      </c>
      <c r="H14" s="39">
        <v>1608.5201944999997</v>
      </c>
      <c r="I14" s="39">
        <v>310.49533419999995</v>
      </c>
      <c r="J14" s="39">
        <v>16.1974868</v>
      </c>
      <c r="K14" s="39">
        <f>SUM(C14:J14)</f>
        <v>4725.2492879999982</v>
      </c>
    </row>
    <row r="15" spans="1:29" ht="36" hidden="1" customHeight="1" x14ac:dyDescent="0.35">
      <c r="A15" s="37" t="s">
        <v>19</v>
      </c>
      <c r="B15" s="38"/>
      <c r="C15" s="39">
        <v>900.58071650000034</v>
      </c>
      <c r="D15" s="39">
        <v>549.06672539999988</v>
      </c>
      <c r="E15" s="39">
        <v>266.2318042</v>
      </c>
      <c r="F15" s="39">
        <v>782.3243217000005</v>
      </c>
      <c r="G15" s="39">
        <v>223.4265193</v>
      </c>
      <c r="H15" s="39">
        <v>1920.9547092000003</v>
      </c>
      <c r="I15" s="39">
        <v>275.11969169999998</v>
      </c>
      <c r="J15" s="39">
        <v>14.545531800000001</v>
      </c>
      <c r="K15" s="39">
        <f>SUM(C15:J15)</f>
        <v>4932.2500198000016</v>
      </c>
    </row>
    <row r="16" spans="1:29" ht="36" customHeight="1" x14ac:dyDescent="0.35">
      <c r="A16" s="37" t="s">
        <v>20</v>
      </c>
      <c r="B16" s="38"/>
      <c r="C16" s="39">
        <v>876.64216239999962</v>
      </c>
      <c r="D16" s="39">
        <v>605.32744899999966</v>
      </c>
      <c r="E16" s="39">
        <v>545.55636539999989</v>
      </c>
      <c r="F16" s="39">
        <v>539.0050987999997</v>
      </c>
      <c r="G16" s="39">
        <v>118.68809780000001</v>
      </c>
      <c r="H16" s="39">
        <v>1887.8848994</v>
      </c>
      <c r="I16" s="39">
        <v>488.54177350000003</v>
      </c>
      <c r="J16" s="39">
        <v>12.427825300000002</v>
      </c>
      <c r="K16" s="39">
        <f>SUM(C16:J16)</f>
        <v>5074.0736715999992</v>
      </c>
    </row>
    <row r="17" spans="1:30" ht="36" hidden="1" customHeight="1" x14ac:dyDescent="0.35">
      <c r="A17" s="37" t="s">
        <v>336</v>
      </c>
      <c r="B17" s="39">
        <v>4857.6324680343805</v>
      </c>
      <c r="C17" s="39">
        <v>948.58685200000093</v>
      </c>
      <c r="D17" s="39">
        <v>654.76344319999953</v>
      </c>
      <c r="E17" s="39">
        <v>205.35350839999992</v>
      </c>
      <c r="F17" s="39">
        <v>994.78284680000024</v>
      </c>
      <c r="G17" s="39">
        <v>138.68384490000003</v>
      </c>
      <c r="H17" s="39">
        <v>1548.6626852999998</v>
      </c>
      <c r="I17" s="39">
        <v>487.7643182000001</v>
      </c>
      <c r="J17" s="39">
        <v>12.550736900000002</v>
      </c>
      <c r="K17" s="39">
        <f t="shared" ref="K17:K22" si="1">SUM(C17:J17)</f>
        <v>4991.1482357000004</v>
      </c>
    </row>
    <row r="18" spans="1:30" ht="36" hidden="1" customHeight="1" x14ac:dyDescent="0.35">
      <c r="A18" s="37" t="s">
        <v>337</v>
      </c>
      <c r="B18" s="39">
        <v>4857.6324680343805</v>
      </c>
      <c r="C18" s="39">
        <v>918.56641310000043</v>
      </c>
      <c r="D18" s="39">
        <v>606.96808189999911</v>
      </c>
      <c r="E18" s="39">
        <v>301.4399889</v>
      </c>
      <c r="F18" s="39">
        <v>1389.5510381999993</v>
      </c>
      <c r="G18" s="39">
        <v>361.42592819999999</v>
      </c>
      <c r="H18" s="39">
        <v>1381.5494813</v>
      </c>
      <c r="I18" s="39">
        <v>504.04127450000016</v>
      </c>
      <c r="J18" s="39">
        <v>13.881617999999998</v>
      </c>
      <c r="K18" s="39">
        <f t="shared" si="1"/>
        <v>5477.4238240999994</v>
      </c>
    </row>
    <row r="19" spans="1:30" ht="36" customHeight="1" x14ac:dyDescent="0.35">
      <c r="A19" s="37" t="s">
        <v>338</v>
      </c>
      <c r="B19" s="39">
        <v>4857.6324680343805</v>
      </c>
      <c r="C19" s="39">
        <v>1042.4672761999996</v>
      </c>
      <c r="D19" s="39">
        <v>495.61528959999993</v>
      </c>
      <c r="E19" s="39">
        <v>198.6878327</v>
      </c>
      <c r="F19" s="39">
        <v>1578.6290186999997</v>
      </c>
      <c r="G19" s="39">
        <v>193.42996440000002</v>
      </c>
      <c r="H19" s="39">
        <v>1904.2385062999997</v>
      </c>
      <c r="I19" s="39">
        <v>355.47022459999977</v>
      </c>
      <c r="J19" s="39">
        <v>13.255531699999997</v>
      </c>
      <c r="K19" s="39">
        <f t="shared" si="1"/>
        <v>5781.7936441999982</v>
      </c>
    </row>
    <row r="20" spans="1:30" ht="36" customHeight="1" x14ac:dyDescent="0.35">
      <c r="A20" s="37" t="s">
        <v>339</v>
      </c>
      <c r="B20" s="39">
        <v>4857.6324680343805</v>
      </c>
      <c r="C20" s="39">
        <v>938.08397289999994</v>
      </c>
      <c r="D20" s="39">
        <v>510.92138309999973</v>
      </c>
      <c r="E20" s="39">
        <v>207.8794773999999</v>
      </c>
      <c r="F20" s="39">
        <v>960.47505509999974</v>
      </c>
      <c r="G20" s="39">
        <v>345.49991180000001</v>
      </c>
      <c r="H20" s="39">
        <v>1710.2136104999995</v>
      </c>
      <c r="I20" s="39">
        <v>396.91447620000025</v>
      </c>
      <c r="J20" s="39">
        <v>23.367503199999994</v>
      </c>
      <c r="K20" s="39">
        <f t="shared" si="1"/>
        <v>5093.3553901999994</v>
      </c>
    </row>
    <row r="21" spans="1:30" ht="36" customHeight="1" x14ac:dyDescent="0.35">
      <c r="A21" s="37" t="s">
        <v>379</v>
      </c>
      <c r="B21" s="39">
        <v>4857.6324680343805</v>
      </c>
      <c r="C21" s="39">
        <v>914.30685819999997</v>
      </c>
      <c r="D21" s="39">
        <v>586.40044229999978</v>
      </c>
      <c r="E21" s="39">
        <v>242.23008789999992</v>
      </c>
      <c r="F21" s="39">
        <v>682.40011790000005</v>
      </c>
      <c r="G21" s="39">
        <v>806.9964827</v>
      </c>
      <c r="H21" s="39">
        <v>957.61875150000003</v>
      </c>
      <c r="I21" s="39">
        <v>385.8976269000002</v>
      </c>
      <c r="J21" s="39">
        <v>16.261246099999997</v>
      </c>
      <c r="K21" s="39">
        <f t="shared" si="1"/>
        <v>4592.1116135000002</v>
      </c>
    </row>
    <row r="22" spans="1:30" ht="36" customHeight="1" x14ac:dyDescent="0.35">
      <c r="A22" s="37" t="s">
        <v>380</v>
      </c>
      <c r="B22" s="39">
        <f t="shared" ref="B22:B28" si="2">48.5763246803438*10000000/100000</f>
        <v>4857.6324680343805</v>
      </c>
      <c r="C22" s="39">
        <v>1003.4331837000001</v>
      </c>
      <c r="D22" s="39">
        <v>718.15696680000042</v>
      </c>
      <c r="E22" s="39">
        <v>174.95409690000002</v>
      </c>
      <c r="F22" s="39">
        <v>542.9041251000001</v>
      </c>
      <c r="G22" s="39">
        <v>798.9691418000001</v>
      </c>
      <c r="H22" s="39">
        <v>766.85463300000015</v>
      </c>
      <c r="I22" s="39">
        <v>311.04723339999987</v>
      </c>
      <c r="J22" s="39">
        <v>22.897967000000001</v>
      </c>
      <c r="K22" s="39">
        <f t="shared" si="1"/>
        <v>4339.2173477000006</v>
      </c>
    </row>
    <row r="23" spans="1:30" ht="36" customHeight="1" x14ac:dyDescent="0.35">
      <c r="A23" s="37" t="s">
        <v>381</v>
      </c>
      <c r="B23" s="39">
        <f t="shared" si="2"/>
        <v>4857.6324680343805</v>
      </c>
      <c r="C23" s="39">
        <v>1298.7895133</v>
      </c>
      <c r="D23" s="39">
        <v>697.1138707999994</v>
      </c>
      <c r="E23" s="39">
        <v>187.04736679999996</v>
      </c>
      <c r="F23" s="39">
        <v>868.36401420000027</v>
      </c>
      <c r="G23" s="39">
        <v>523.4930306</v>
      </c>
      <c r="H23" s="39">
        <v>1095.0253301</v>
      </c>
      <c r="I23" s="39">
        <v>340.06122150000022</v>
      </c>
      <c r="J23" s="39">
        <v>20.429991399999995</v>
      </c>
      <c r="K23" s="39">
        <f t="shared" ref="K23:K28" si="3">SUM(C23:J23)</f>
        <v>5030.3243387000002</v>
      </c>
    </row>
    <row r="24" spans="1:30" ht="36" customHeight="1" x14ac:dyDescent="0.35">
      <c r="A24" s="37" t="s">
        <v>382</v>
      </c>
      <c r="B24" s="39">
        <f t="shared" si="2"/>
        <v>4857.6324680343805</v>
      </c>
      <c r="C24" s="39">
        <v>1302.2806993999995</v>
      </c>
      <c r="D24" s="39">
        <v>798.05986829999972</v>
      </c>
      <c r="E24" s="39">
        <v>369.84986780000003</v>
      </c>
      <c r="F24" s="39">
        <v>714.43682420000016</v>
      </c>
      <c r="G24" s="39">
        <v>584.27593059999992</v>
      </c>
      <c r="H24" s="39">
        <v>2076.6798562000008</v>
      </c>
      <c r="I24" s="39">
        <v>363.45881140000023</v>
      </c>
      <c r="J24" s="39">
        <v>19.128432299999997</v>
      </c>
      <c r="K24" s="39">
        <f t="shared" si="3"/>
        <v>6228.1702901999997</v>
      </c>
    </row>
    <row r="25" spans="1:30" ht="36" customHeight="1" x14ac:dyDescent="0.35">
      <c r="A25" s="37" t="s">
        <v>383</v>
      </c>
      <c r="B25" s="39">
        <f t="shared" si="2"/>
        <v>4857.6324680343805</v>
      </c>
      <c r="C25" s="39">
        <v>1077.2565537000012</v>
      </c>
      <c r="D25" s="39">
        <v>742.00697449999973</v>
      </c>
      <c r="E25" s="39">
        <v>302.88401800000008</v>
      </c>
      <c r="F25" s="39">
        <v>1055.2337863000005</v>
      </c>
      <c r="G25" s="39">
        <v>552.43067770000005</v>
      </c>
      <c r="H25" s="39">
        <v>2286.0620568000008</v>
      </c>
      <c r="I25" s="39">
        <v>376.62281520000033</v>
      </c>
      <c r="J25" s="39">
        <v>17.472168899999993</v>
      </c>
      <c r="K25" s="39">
        <f t="shared" si="3"/>
        <v>6409.9690511000026</v>
      </c>
    </row>
    <row r="26" spans="1:30" ht="36" customHeight="1" x14ac:dyDescent="0.35">
      <c r="A26" s="37" t="s">
        <v>384</v>
      </c>
      <c r="B26" s="39">
        <f t="shared" si="2"/>
        <v>4857.6324680343805</v>
      </c>
      <c r="C26" s="39">
        <v>965.31802130000051</v>
      </c>
      <c r="D26" s="39">
        <v>722.83523189999994</v>
      </c>
      <c r="E26" s="39">
        <v>201.86647150000002</v>
      </c>
      <c r="F26" s="39">
        <v>638.28548169999988</v>
      </c>
      <c r="G26" s="39">
        <v>708.68584840000005</v>
      </c>
      <c r="H26" s="39">
        <v>2171.7498910999998</v>
      </c>
      <c r="I26" s="39">
        <v>366.10350879999993</v>
      </c>
      <c r="J26" s="39">
        <v>15.151356099999999</v>
      </c>
      <c r="K26" s="39">
        <f t="shared" si="3"/>
        <v>5789.9958108000001</v>
      </c>
    </row>
    <row r="27" spans="1:30" ht="36" customHeight="1" x14ac:dyDescent="0.35">
      <c r="A27" s="37" t="s">
        <v>385</v>
      </c>
      <c r="B27" s="39">
        <f t="shared" si="2"/>
        <v>4857.6324680343805</v>
      </c>
      <c r="C27" s="39">
        <v>853.13554239999985</v>
      </c>
      <c r="D27" s="39">
        <v>645.11364510000033</v>
      </c>
      <c r="E27" s="39">
        <v>235.87141689999999</v>
      </c>
      <c r="F27" s="39">
        <v>924.08893569999998</v>
      </c>
      <c r="G27" s="39">
        <v>580.83901500000013</v>
      </c>
      <c r="H27" s="39">
        <v>1419.1156112000003</v>
      </c>
      <c r="I27" s="39">
        <v>342.66098620000002</v>
      </c>
      <c r="J27" s="39">
        <v>17.971102800000004</v>
      </c>
      <c r="K27" s="39">
        <f t="shared" si="3"/>
        <v>5018.7962553000016</v>
      </c>
    </row>
    <row r="28" spans="1:30" ht="36" customHeight="1" x14ac:dyDescent="0.35">
      <c r="A28" s="37" t="s">
        <v>386</v>
      </c>
      <c r="B28" s="39">
        <f t="shared" si="2"/>
        <v>4857.6324680343805</v>
      </c>
      <c r="C28" s="39">
        <v>927.35498419999942</v>
      </c>
      <c r="D28" s="39">
        <v>730.90769390000025</v>
      </c>
      <c r="E28" s="39">
        <v>232.33544949999998</v>
      </c>
      <c r="F28" s="39">
        <v>810.72983010000019</v>
      </c>
      <c r="G28" s="39">
        <v>438.47938170000003</v>
      </c>
      <c r="H28" s="39">
        <v>1703.2762055000001</v>
      </c>
      <c r="I28" s="39">
        <v>332.90099969999977</v>
      </c>
      <c r="J28" s="39">
        <v>11.608838200000001</v>
      </c>
      <c r="K28" s="39">
        <f t="shared" si="3"/>
        <v>5187.5933827999988</v>
      </c>
    </row>
    <row r="29" spans="1:30" x14ac:dyDescent="0.35">
      <c r="A29" s="41" t="s">
        <v>493</v>
      </c>
      <c r="B29" s="42"/>
      <c r="C29" s="43"/>
      <c r="D29" s="43"/>
      <c r="E29" s="43"/>
      <c r="F29" s="43"/>
      <c r="G29" s="43"/>
      <c r="H29" s="43"/>
      <c r="I29" s="43"/>
      <c r="J29" s="43"/>
      <c r="K29" s="40"/>
    </row>
    <row r="30" spans="1:30" ht="21" customHeight="1" x14ac:dyDescent="0.35">
      <c r="A30" s="218" t="s">
        <v>561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194"/>
      <c r="M30" s="194"/>
      <c r="N30" s="194"/>
      <c r="O30" s="194"/>
      <c r="P30" s="194"/>
      <c r="Q30" s="194"/>
      <c r="R30" s="194"/>
      <c r="S30" s="194"/>
      <c r="T30" s="194"/>
      <c r="U30" s="33" t="s">
        <v>42</v>
      </c>
      <c r="V30" s="113">
        <v>1.73949095</v>
      </c>
      <c r="W30" s="113">
        <v>1.7038141120000005</v>
      </c>
      <c r="X30" s="113">
        <v>0.96032354799999986</v>
      </c>
      <c r="Y30" s="113">
        <v>0.74739205400000286</v>
      </c>
      <c r="Z30" s="113">
        <v>0.31343609899999997</v>
      </c>
    </row>
    <row r="31" spans="1:30" x14ac:dyDescent="0.35">
      <c r="A31" s="41"/>
      <c r="B31" s="41" t="s">
        <v>347</v>
      </c>
      <c r="C31" s="41" t="s">
        <v>348</v>
      </c>
      <c r="D31" s="43"/>
      <c r="E31" s="41" t="s">
        <v>347</v>
      </c>
      <c r="F31" s="41" t="s">
        <v>348</v>
      </c>
      <c r="G31" s="43"/>
      <c r="H31" s="43"/>
      <c r="I31" s="43"/>
      <c r="J31" s="43"/>
      <c r="U31" s="33" t="s">
        <v>43</v>
      </c>
      <c r="V31" s="109">
        <v>0.17603955351532799</v>
      </c>
      <c r="W31" s="109">
        <v>0.1194973635211948</v>
      </c>
      <c r="X31" s="109">
        <v>5.841314426680709E-2</v>
      </c>
      <c r="Y31" s="109">
        <v>0.15953972660928201</v>
      </c>
      <c r="Z31" s="109">
        <v>4.810050356568394E-2</v>
      </c>
      <c r="AA31" s="109">
        <v>0.37306511925896579</v>
      </c>
      <c r="AB31" s="109">
        <v>6.2146889321069702E-2</v>
      </c>
      <c r="AC31" s="118">
        <v>3.1976999416685518E-3</v>
      </c>
      <c r="AD31" s="108">
        <f>SUM(V31:AC31)</f>
        <v>0.99999999999999989</v>
      </c>
    </row>
    <row r="32" spans="1:30" x14ac:dyDescent="0.35">
      <c r="A32" s="41" t="s">
        <v>342</v>
      </c>
      <c r="B32" s="41">
        <v>359.64</v>
      </c>
      <c r="C32" s="102">
        <f>B32/12</f>
        <v>29.97</v>
      </c>
      <c r="D32" s="41" t="s">
        <v>344</v>
      </c>
      <c r="E32" s="41">
        <v>436.1</v>
      </c>
      <c r="F32" s="102">
        <f>E32/12</f>
        <v>36.341666666666669</v>
      </c>
      <c r="G32" s="44">
        <v>319</v>
      </c>
      <c r="H32" s="40">
        <f>B32-G32</f>
        <v>40.639999999999986</v>
      </c>
      <c r="I32" s="105">
        <f>B32/E32</f>
        <v>0.82467324008254983</v>
      </c>
      <c r="J32" s="40"/>
      <c r="K32" s="44"/>
      <c r="L32" s="33">
        <f>E32*15%</f>
        <v>65.415000000000006</v>
      </c>
      <c r="M32" s="33">
        <f>E32-L32</f>
        <v>370.685</v>
      </c>
      <c r="T32" s="33" t="s">
        <v>359</v>
      </c>
      <c r="U32" s="33" t="s">
        <v>43</v>
      </c>
      <c r="V32" s="116">
        <v>0.170413300550287</v>
      </c>
      <c r="W32" s="116">
        <v>0.17006205362369745</v>
      </c>
      <c r="X32" s="116"/>
      <c r="Y32" s="116"/>
      <c r="Z32" s="116"/>
      <c r="AA32" s="116">
        <v>0.50741521289466485</v>
      </c>
      <c r="AB32" s="116">
        <v>0.15210943293135074</v>
      </c>
      <c r="AD32" s="108">
        <f>SUM(V32:AC32)</f>
        <v>1</v>
      </c>
    </row>
    <row r="33" spans="1:31" x14ac:dyDescent="0.35">
      <c r="A33" s="41" t="s">
        <v>343</v>
      </c>
      <c r="B33" s="41">
        <v>154.44999999999999</v>
      </c>
      <c r="C33" s="102">
        <f>B33/12</f>
        <v>12.870833333333332</v>
      </c>
      <c r="D33" s="41" t="s">
        <v>345</v>
      </c>
      <c r="E33" s="41">
        <v>213.69</v>
      </c>
      <c r="F33" s="102">
        <f>E33/12</f>
        <v>17.807500000000001</v>
      </c>
      <c r="I33" s="105">
        <f>B33/E33</f>
        <v>0.72277598390191389</v>
      </c>
      <c r="K33" s="45"/>
      <c r="T33" s="33" t="s">
        <v>360</v>
      </c>
      <c r="V33" s="109">
        <v>0.17799999999999999</v>
      </c>
      <c r="W33" s="109">
        <v>0.12330000000000001</v>
      </c>
      <c r="X33" s="117">
        <v>5.7000000000000002E-2</v>
      </c>
      <c r="Y33" s="116">
        <v>0.1142</v>
      </c>
      <c r="Z33" s="116">
        <v>5.1290000000000002E-2</v>
      </c>
      <c r="AA33" s="116">
        <v>0.38</v>
      </c>
      <c r="AB33" s="116">
        <v>6.8000000000000005E-2</v>
      </c>
      <c r="AC33" s="118">
        <v>3.1976999416685518E-3</v>
      </c>
      <c r="AD33" s="108">
        <f>SUM(V33:AC33)</f>
        <v>0.97498769994166845</v>
      </c>
    </row>
    <row r="34" spans="1:31" x14ac:dyDescent="0.35">
      <c r="A34" s="41" t="s">
        <v>346</v>
      </c>
      <c r="B34" s="41">
        <f>SUM(B32:B33)</f>
        <v>514.08999999999992</v>
      </c>
      <c r="C34" s="102">
        <f>B34/12</f>
        <v>42.840833333333329</v>
      </c>
      <c r="D34" s="41" t="s">
        <v>346</v>
      </c>
      <c r="E34" s="41">
        <f>SUM(E32:E33)</f>
        <v>649.79</v>
      </c>
      <c r="F34" s="102">
        <f>E34/12</f>
        <v>54.149166666666666</v>
      </c>
      <c r="G34" s="44"/>
      <c r="H34" s="105"/>
      <c r="K34" s="40"/>
      <c r="T34" s="33" t="s">
        <v>361</v>
      </c>
      <c r="U34" s="33" t="s">
        <v>354</v>
      </c>
      <c r="V34" s="110" t="s">
        <v>27</v>
      </c>
      <c r="W34" s="110" t="s">
        <v>30</v>
      </c>
      <c r="X34" s="110" t="s">
        <v>28</v>
      </c>
      <c r="Y34" s="110" t="s">
        <v>29</v>
      </c>
      <c r="Z34" s="110" t="s">
        <v>35</v>
      </c>
      <c r="AA34" s="114" t="s">
        <v>36</v>
      </c>
      <c r="AB34" s="114" t="s">
        <v>45</v>
      </c>
      <c r="AC34" s="110" t="s">
        <v>44</v>
      </c>
    </row>
    <row r="35" spans="1:31" x14ac:dyDescent="0.35">
      <c r="A35" s="41" t="s">
        <v>349</v>
      </c>
      <c r="B35" s="41">
        <v>42</v>
      </c>
      <c r="C35" s="104">
        <f>B35*C34/30</f>
        <v>59.977166666666662</v>
      </c>
      <c r="D35" s="41"/>
      <c r="E35" s="102"/>
      <c r="F35" s="40"/>
      <c r="H35" s="105"/>
      <c r="K35" s="40"/>
      <c r="L35" s="40"/>
      <c r="T35" s="33" t="s">
        <v>41</v>
      </c>
      <c r="U35" s="33">
        <v>30</v>
      </c>
      <c r="V35" s="42">
        <f>T36*V31</f>
        <v>7.5177691328720817</v>
      </c>
      <c r="W35" s="42">
        <f>T36*W31</f>
        <v>5.1031349091726241</v>
      </c>
      <c r="X35" s="42">
        <f>T36*X31</f>
        <v>2.4945333259139968</v>
      </c>
      <c r="Y35" s="42">
        <f>T36*Y31</f>
        <v>6.8131440248493877</v>
      </c>
      <c r="Z35" s="42">
        <f>T36*Z31</f>
        <v>2.0541320047725327</v>
      </c>
      <c r="AA35" s="112">
        <f>AA31*T36</f>
        <v>15.931745917954133</v>
      </c>
      <c r="AB35" s="112">
        <f>T36*AB31</f>
        <v>2.6539829084562814</v>
      </c>
      <c r="AC35" s="112">
        <f>T36*AC31</f>
        <v>0.13655777600895549</v>
      </c>
      <c r="AD35" s="44">
        <f>SUM(V35:AC35)</f>
        <v>42.704999999999991</v>
      </c>
      <c r="AE35" s="40"/>
    </row>
    <row r="36" spans="1:31" x14ac:dyDescent="0.35">
      <c r="B36" s="104">
        <v>37.625</v>
      </c>
      <c r="C36" s="104">
        <f>B36*C34/30</f>
        <v>53.729545138888881</v>
      </c>
      <c r="N36" s="105"/>
      <c r="O36" s="105"/>
      <c r="P36" s="105"/>
      <c r="Q36" s="105"/>
      <c r="T36" s="33">
        <v>42.704999999999998</v>
      </c>
      <c r="U36" s="33">
        <v>35</v>
      </c>
      <c r="V36" s="42">
        <f t="shared" ref="V36:AA36" si="4">V31*$T$37</f>
        <v>8.7707306550174291</v>
      </c>
      <c r="W36" s="42">
        <f t="shared" si="4"/>
        <v>5.9536573940347282</v>
      </c>
      <c r="X36" s="112">
        <f t="shared" si="4"/>
        <v>2.9102888802329963</v>
      </c>
      <c r="Y36" s="112">
        <f t="shared" si="4"/>
        <v>7.9486680289909524</v>
      </c>
      <c r="Z36" s="112">
        <f t="shared" si="4"/>
        <v>2.396487338901288</v>
      </c>
      <c r="AA36" s="112">
        <f t="shared" si="4"/>
        <v>18.587036904279824</v>
      </c>
      <c r="AB36" s="112">
        <v>2.6624245275890606</v>
      </c>
      <c r="AC36" s="112">
        <v>0.13699213025103199</v>
      </c>
      <c r="AD36" s="44">
        <f>SUM(V36:AC36)</f>
        <v>49.366285859297307</v>
      </c>
      <c r="AE36" s="44">
        <f>T37-AD36</f>
        <v>0.4562141407026914</v>
      </c>
    </row>
    <row r="37" spans="1:31" x14ac:dyDescent="0.35">
      <c r="B37" s="104">
        <v>29.106132075471699</v>
      </c>
      <c r="C37" s="104">
        <f>B37*C34/30</f>
        <v>41.564365107442342</v>
      </c>
      <c r="K37" s="103"/>
      <c r="L37" s="103"/>
      <c r="T37" s="33">
        <f>T36*U36/U35</f>
        <v>49.822499999999998</v>
      </c>
    </row>
    <row r="38" spans="1:31" x14ac:dyDescent="0.35">
      <c r="A38" s="46"/>
      <c r="B38" s="46"/>
      <c r="K38" s="103"/>
      <c r="L38" s="103"/>
      <c r="M38" s="103"/>
      <c r="V38" s="42">
        <f>V33*$T$37</f>
        <v>8.8684049999999992</v>
      </c>
      <c r="W38" s="42">
        <f t="shared" ref="W38:AC38" si="5">W33*$T$37</f>
        <v>6.14311425</v>
      </c>
      <c r="X38" s="42">
        <f t="shared" si="5"/>
        <v>2.8398824999999999</v>
      </c>
      <c r="Y38" s="42">
        <f t="shared" si="5"/>
        <v>5.6897294999999994</v>
      </c>
      <c r="Z38" s="42">
        <f>Z33*$T$37</f>
        <v>2.5553960249999998</v>
      </c>
      <c r="AA38" s="42">
        <f>AA33*$T$37</f>
        <v>18.932549999999999</v>
      </c>
      <c r="AB38" s="42">
        <f t="shared" si="5"/>
        <v>3.3879299999999999</v>
      </c>
      <c r="AC38" s="42">
        <f t="shared" si="5"/>
        <v>0.15931740534378142</v>
      </c>
      <c r="AD38" s="44">
        <f>SUM(V38:AC38)</f>
        <v>48.576324680343781</v>
      </c>
      <c r="AE38" s="44">
        <f>T37-AD38</f>
        <v>1.2461753196562171</v>
      </c>
    </row>
    <row r="39" spans="1:31" x14ac:dyDescent="0.35">
      <c r="A39" s="46"/>
      <c r="B39" s="46" t="s">
        <v>356</v>
      </c>
      <c r="C39" s="115">
        <f t="shared" ref="C39:K39" si="6">AVERAGE(C4:C21)</f>
        <v>892.75941653888867</v>
      </c>
      <c r="D39" s="115">
        <f t="shared" si="6"/>
        <v>585.02317278888881</v>
      </c>
      <c r="E39" s="115">
        <f t="shared" si="6"/>
        <v>272.64881777222217</v>
      </c>
      <c r="F39" s="115">
        <f t="shared" si="6"/>
        <v>880.75847547777778</v>
      </c>
      <c r="G39" s="115">
        <f t="shared" si="6"/>
        <v>274.20587181666667</v>
      </c>
      <c r="H39" s="115">
        <f t="shared" si="6"/>
        <v>1748.0892700444447</v>
      </c>
      <c r="I39" s="115">
        <f t="shared" si="6"/>
        <v>340.11153962222261</v>
      </c>
      <c r="J39" s="115">
        <f t="shared" si="6"/>
        <v>15.817582499999999</v>
      </c>
      <c r="K39" s="115">
        <f t="shared" si="6"/>
        <v>5009.414146561111</v>
      </c>
      <c r="L39" s="103"/>
      <c r="T39" s="33" t="s">
        <v>358</v>
      </c>
      <c r="X39" s="42">
        <f>X38*30/$T$36</f>
        <v>1.9949999999999999</v>
      </c>
      <c r="Y39" s="42">
        <f>Y38*30/$T$36</f>
        <v>3.9969999999999999</v>
      </c>
      <c r="Z39" s="42">
        <f>Z38*30/$T$36</f>
        <v>1.79515</v>
      </c>
    </row>
    <row r="40" spans="1:31" x14ac:dyDescent="0.35">
      <c r="B40" s="32" t="s">
        <v>357</v>
      </c>
      <c r="C40" s="109">
        <f t="shared" ref="C40:K40" si="7">C39/$K$39</f>
        <v>0.17821633237326862</v>
      </c>
      <c r="D40" s="109">
        <f t="shared" si="7"/>
        <v>0.11678474880949873</v>
      </c>
      <c r="E40" s="109">
        <f t="shared" si="7"/>
        <v>5.4427286264480963E-2</v>
      </c>
      <c r="F40" s="109">
        <f t="shared" si="7"/>
        <v>0.17582065481297957</v>
      </c>
      <c r="G40" s="109">
        <f t="shared" si="7"/>
        <v>5.4738111841861781E-2</v>
      </c>
      <c r="H40" s="109">
        <f t="shared" si="7"/>
        <v>0.34896082034752152</v>
      </c>
      <c r="I40" s="109">
        <f t="shared" si="7"/>
        <v>6.7894474218248485E-2</v>
      </c>
      <c r="J40" s="109">
        <f t="shared" si="7"/>
        <v>3.1575713321404133E-3</v>
      </c>
      <c r="K40" s="109">
        <f t="shared" si="7"/>
        <v>1</v>
      </c>
      <c r="L40" s="103"/>
    </row>
    <row r="41" spans="1:31" x14ac:dyDescent="0.35">
      <c r="K41" s="103"/>
      <c r="L41" s="103"/>
      <c r="V41" s="42"/>
    </row>
    <row r="42" spans="1:31" x14ac:dyDescent="0.35">
      <c r="K42" s="103"/>
      <c r="L42" s="103"/>
    </row>
    <row r="43" spans="1:31" x14ac:dyDescent="0.35">
      <c r="K43" s="103"/>
      <c r="L43" s="103"/>
      <c r="O43" s="33" t="s">
        <v>373</v>
      </c>
      <c r="Q43" s="33" t="s">
        <v>374</v>
      </c>
      <c r="U43" s="33" t="s">
        <v>42</v>
      </c>
      <c r="V43" s="113">
        <v>1.73949095</v>
      </c>
      <c r="W43" s="113">
        <v>1.7038141120000005</v>
      </c>
      <c r="X43" s="113">
        <v>0.96032354799999986</v>
      </c>
      <c r="Y43" s="113">
        <v>0.74739205400000286</v>
      </c>
      <c r="Z43" s="113">
        <v>0.31343609899999997</v>
      </c>
    </row>
    <row r="44" spans="1:31" x14ac:dyDescent="0.35">
      <c r="K44" s="103"/>
      <c r="L44" s="103"/>
      <c r="N44" s="33" t="s">
        <v>355</v>
      </c>
      <c r="O44" s="33">
        <f>260.03-30.94</f>
        <v>229.08999999999997</v>
      </c>
      <c r="P44" s="105">
        <f>O44/O$48</f>
        <v>0.44703976895757708</v>
      </c>
      <c r="Q44" s="33">
        <f>O44/12</f>
        <v>19.090833333333332</v>
      </c>
      <c r="U44" s="33" t="s">
        <v>43</v>
      </c>
      <c r="V44" s="109">
        <v>0.17603955351532799</v>
      </c>
      <c r="W44" s="109">
        <v>0.1194973635211948</v>
      </c>
      <c r="X44" s="109">
        <v>5.841314426680709E-2</v>
      </c>
      <c r="Y44" s="109">
        <v>0.15953972660928201</v>
      </c>
      <c r="Z44" s="109">
        <v>4.810050356568394E-2</v>
      </c>
      <c r="AA44" s="109">
        <v>0.37306511925896579</v>
      </c>
      <c r="AB44" s="109">
        <v>6.2146889321069702E-2</v>
      </c>
      <c r="AC44" s="118">
        <v>3.1976999416685518E-3</v>
      </c>
      <c r="AD44" s="108">
        <f>SUM(V44:AC44)</f>
        <v>0.99999999999999989</v>
      </c>
    </row>
    <row r="45" spans="1:31" x14ac:dyDescent="0.35">
      <c r="K45" s="103"/>
      <c r="L45" s="103"/>
      <c r="N45" s="33" t="s">
        <v>27</v>
      </c>
      <c r="O45" s="33">
        <f>87.33+30.94</f>
        <v>118.27</v>
      </c>
      <c r="P45" s="105">
        <f>O45/O$48</f>
        <v>0.2307887444873746</v>
      </c>
      <c r="Q45" s="33">
        <f>O45/12</f>
        <v>9.855833333333333</v>
      </c>
      <c r="R45" s="33">
        <f>S45*30/(Q45+Q46)</f>
        <v>6.0344164264433848</v>
      </c>
      <c r="S45" s="103">
        <f>V43+W43</f>
        <v>3.4433050620000003</v>
      </c>
      <c r="T45" s="33" t="s">
        <v>359</v>
      </c>
      <c r="U45" s="33" t="s">
        <v>43</v>
      </c>
      <c r="V45" s="116">
        <v>0.17041330055028683</v>
      </c>
      <c r="W45" s="116">
        <v>0.17006205362369745</v>
      </c>
      <c r="X45" s="116"/>
      <c r="Y45" s="116"/>
      <c r="Z45" s="116"/>
      <c r="AA45" s="116">
        <v>0.50741521289466485</v>
      </c>
      <c r="AB45" s="116">
        <v>0.15210943293135074</v>
      </c>
      <c r="AD45" s="108">
        <f>SUM(V45:AC45)</f>
        <v>0.99999999999999989</v>
      </c>
    </row>
    <row r="46" spans="1:31" x14ac:dyDescent="0.35">
      <c r="K46" s="103"/>
      <c r="L46" s="103"/>
      <c r="N46" s="33" t="s">
        <v>30</v>
      </c>
      <c r="O46" s="33">
        <v>87.15</v>
      </c>
      <c r="P46" s="105">
        <f>O46/O$48</f>
        <v>0.17006205362369745</v>
      </c>
      <c r="Q46" s="33">
        <f>O46/12</f>
        <v>7.2625000000000002</v>
      </c>
      <c r="T46" s="33" t="s">
        <v>360</v>
      </c>
      <c r="V46" s="109">
        <v>0.17799999999999999</v>
      </c>
      <c r="W46" s="109">
        <v>0.12330000000000001</v>
      </c>
      <c r="X46" s="117">
        <v>5.7000000000000002E-2</v>
      </c>
      <c r="Y46" s="116">
        <v>0.155</v>
      </c>
      <c r="Z46" s="116">
        <v>5.1290000000000002E-2</v>
      </c>
      <c r="AA46" s="116">
        <v>0.38</v>
      </c>
      <c r="AB46" s="116">
        <v>6.8000000000000005E-2</v>
      </c>
      <c r="AC46" s="118">
        <v>3.1976999416685518E-3</v>
      </c>
      <c r="AD46" s="108">
        <f>SUM(V46:AC46)</f>
        <v>1.0157876999416684</v>
      </c>
    </row>
    <row r="47" spans="1:31" x14ac:dyDescent="0.35">
      <c r="K47" s="103"/>
      <c r="L47" s="103"/>
      <c r="N47" s="33" t="s">
        <v>353</v>
      </c>
      <c r="O47" s="33">
        <f>22.39+0.02+12.07+43.47</f>
        <v>77.95</v>
      </c>
      <c r="P47" s="105">
        <f>O47/O$48</f>
        <v>0.15210943293135074</v>
      </c>
      <c r="Q47" s="33">
        <f>O47/12</f>
        <v>6.4958333333333336</v>
      </c>
      <c r="T47" s="33" t="s">
        <v>361</v>
      </c>
      <c r="U47" s="33" t="s">
        <v>354</v>
      </c>
      <c r="V47" s="110" t="s">
        <v>27</v>
      </c>
      <c r="W47" s="110" t="s">
        <v>30</v>
      </c>
      <c r="X47" s="110" t="s">
        <v>28</v>
      </c>
      <c r="Y47" s="110" t="s">
        <v>29</v>
      </c>
      <c r="Z47" s="110" t="s">
        <v>35</v>
      </c>
      <c r="AA47" s="114" t="s">
        <v>36</v>
      </c>
      <c r="AB47" s="114" t="s">
        <v>45</v>
      </c>
      <c r="AC47" s="110" t="s">
        <v>44</v>
      </c>
    </row>
    <row r="48" spans="1:31" x14ac:dyDescent="0.35">
      <c r="N48" s="33" t="s">
        <v>41</v>
      </c>
      <c r="O48" s="33">
        <f>SUM(O44:O47)</f>
        <v>512.46</v>
      </c>
      <c r="P48" s="105">
        <f>O48/O$48</f>
        <v>1</v>
      </c>
      <c r="Q48" s="33">
        <f>O48/12</f>
        <v>42.705000000000005</v>
      </c>
      <c r="T48" s="33" t="s">
        <v>41</v>
      </c>
      <c r="U48" s="33">
        <v>30</v>
      </c>
      <c r="V48" s="42">
        <f>T49*V44</f>
        <v>7.5177691328720826</v>
      </c>
      <c r="W48" s="42">
        <f>T49*W44</f>
        <v>5.103134909172625</v>
      </c>
      <c r="X48" s="42">
        <f>T49*X44</f>
        <v>2.4945333259139972</v>
      </c>
      <c r="Y48" s="42">
        <f>T49*Y44</f>
        <v>6.8131440248493886</v>
      </c>
      <c r="Z48" s="42">
        <f>T49*Z44</f>
        <v>2.0541320047725331</v>
      </c>
      <c r="AA48" s="112">
        <f>AA44*T49</f>
        <v>15.931745917954137</v>
      </c>
      <c r="AB48" s="112">
        <f>T49*AB44</f>
        <v>2.6539829084562818</v>
      </c>
      <c r="AC48" s="112">
        <f>T49*AC44</f>
        <v>0.13655777600895552</v>
      </c>
      <c r="AD48" s="44">
        <f>SUM(V48:AC48)</f>
        <v>42.704999999999998</v>
      </c>
      <c r="AE48" s="40"/>
    </row>
    <row r="49" spans="11:31" x14ac:dyDescent="0.35">
      <c r="K49" s="103"/>
      <c r="L49" s="103"/>
      <c r="T49" s="33">
        <v>42.705000000000005</v>
      </c>
      <c r="U49" s="33">
        <v>35</v>
      </c>
      <c r="V49" s="42">
        <f t="shared" ref="V49:AA49" si="8">V44*$T$37</f>
        <v>8.7707306550174291</v>
      </c>
      <c r="W49" s="42">
        <f t="shared" si="8"/>
        <v>5.9536573940347282</v>
      </c>
      <c r="X49" s="112">
        <f t="shared" si="8"/>
        <v>2.9102888802329963</v>
      </c>
      <c r="Y49" s="112">
        <f t="shared" si="8"/>
        <v>7.9486680289909524</v>
      </c>
      <c r="Z49" s="112">
        <f t="shared" si="8"/>
        <v>2.396487338901288</v>
      </c>
      <c r="AA49" s="112">
        <f t="shared" si="8"/>
        <v>18.587036904279824</v>
      </c>
      <c r="AB49" s="112">
        <v>2.6624245275890601</v>
      </c>
      <c r="AC49" s="112">
        <v>0.13699213025103199</v>
      </c>
      <c r="AD49" s="44">
        <f>SUM(V49:AC49)</f>
        <v>49.366285859297307</v>
      </c>
      <c r="AE49" s="44">
        <f>T50-AD49</f>
        <v>0.4562141407026985</v>
      </c>
    </row>
    <row r="50" spans="11:31" x14ac:dyDescent="0.35">
      <c r="N50" s="33" t="s">
        <v>35</v>
      </c>
      <c r="T50" s="33">
        <f>T49*U49/U48</f>
        <v>49.822500000000005</v>
      </c>
    </row>
    <row r="51" spans="11:31" x14ac:dyDescent="0.35">
      <c r="V51" s="42">
        <f t="shared" ref="V51:AC51" si="9">V46*$T$37</f>
        <v>8.8684049999999992</v>
      </c>
      <c r="W51" s="42">
        <f t="shared" si="9"/>
        <v>6.14311425</v>
      </c>
      <c r="X51" s="42">
        <f t="shared" si="9"/>
        <v>2.8398824999999999</v>
      </c>
      <c r="Y51" s="42">
        <f t="shared" si="9"/>
        <v>7.7224874999999997</v>
      </c>
      <c r="Z51" s="42">
        <f t="shared" si="9"/>
        <v>2.5553960249999998</v>
      </c>
      <c r="AA51" s="42">
        <f t="shared" si="9"/>
        <v>18.932549999999999</v>
      </c>
      <c r="AB51" s="42">
        <f t="shared" si="9"/>
        <v>3.3879299999999999</v>
      </c>
      <c r="AC51" s="42">
        <f t="shared" si="9"/>
        <v>0.15931740534378142</v>
      </c>
      <c r="AD51" s="44">
        <f>SUM(V51:AC51)</f>
        <v>50.609082680343782</v>
      </c>
      <c r="AE51" s="44">
        <f>T50-AD51</f>
        <v>-0.78658268034377699</v>
      </c>
    </row>
    <row r="52" spans="11:31" x14ac:dyDescent="0.35">
      <c r="N52" s="33" t="s">
        <v>362</v>
      </c>
      <c r="O52" s="33">
        <v>38529</v>
      </c>
      <c r="T52" s="33" t="s">
        <v>358</v>
      </c>
      <c r="X52" s="42">
        <f>X51*30/$T$36</f>
        <v>1.9949999999999999</v>
      </c>
      <c r="Y52" s="42">
        <f>Y51*30/$T$36</f>
        <v>5.4249999999999998</v>
      </c>
      <c r="Z52" s="42">
        <f>Z51*30/$T$36</f>
        <v>1.79515</v>
      </c>
    </row>
    <row r="53" spans="11:31" x14ac:dyDescent="0.35">
      <c r="N53" s="33" t="s">
        <v>35</v>
      </c>
      <c r="O53" s="33">
        <v>18000</v>
      </c>
    </row>
    <row r="54" spans="11:31" x14ac:dyDescent="0.35">
      <c r="N54" s="33" t="s">
        <v>363</v>
      </c>
      <c r="O54" s="33">
        <v>2400</v>
      </c>
    </row>
    <row r="55" spans="11:31" x14ac:dyDescent="0.35">
      <c r="O55" s="33">
        <v>58929</v>
      </c>
    </row>
    <row r="56" spans="11:31" x14ac:dyDescent="0.35">
      <c r="O56" s="33">
        <v>309377250</v>
      </c>
    </row>
    <row r="57" spans="11:31" x14ac:dyDescent="0.35">
      <c r="O57" s="33">
        <v>30.937725</v>
      </c>
    </row>
  </sheetData>
  <mergeCells count="2">
    <mergeCell ref="C1:D1"/>
    <mergeCell ref="A30:K30"/>
  </mergeCells>
  <conditionalFormatting sqref="AE38">
    <cfRule type="cellIs" dxfId="1200" priority="84" operator="equal">
      <formula>0</formula>
    </cfRule>
  </conditionalFormatting>
  <conditionalFormatting sqref="K17">
    <cfRule type="iconSet" priority="83">
      <iconSet reverse="1">
        <cfvo type="percent" val="0"/>
        <cfvo type="num" val="48.58" gte="0"/>
        <cfvo type="num" val="52.4"/>
      </iconSet>
    </cfRule>
  </conditionalFormatting>
  <conditionalFormatting sqref="AE51">
    <cfRule type="cellIs" dxfId="1199" priority="82" operator="equal">
      <formula>0</formula>
    </cfRule>
  </conditionalFormatting>
  <conditionalFormatting sqref="K18">
    <cfRule type="iconSet" priority="81">
      <iconSet reverse="1">
        <cfvo type="percent" val="0"/>
        <cfvo type="num" val="4858" gte="0"/>
        <cfvo type="num" val="5240"/>
      </iconSet>
    </cfRule>
  </conditionalFormatting>
  <conditionalFormatting sqref="K19">
    <cfRule type="iconSet" priority="80">
      <iconSet reverse="1">
        <cfvo type="percent" val="0"/>
        <cfvo type="num" val="4858" gte="0"/>
        <cfvo type="num" val="5240"/>
      </iconSet>
    </cfRule>
  </conditionalFormatting>
  <conditionalFormatting sqref="K20">
    <cfRule type="iconSet" priority="79">
      <iconSet reverse="1">
        <cfvo type="percent" val="0"/>
        <cfvo type="num" val="4858" gte="0"/>
        <cfvo type="num" val="5240"/>
      </iconSet>
    </cfRule>
  </conditionalFormatting>
  <conditionalFormatting sqref="K21">
    <cfRule type="iconSet" priority="78">
      <iconSet reverse="1">
        <cfvo type="percent" val="0"/>
        <cfvo type="num" val="4858" gte="0"/>
        <cfvo type="num" val="5240"/>
      </iconSet>
    </cfRule>
  </conditionalFormatting>
  <conditionalFormatting sqref="K22">
    <cfRule type="iconSet" priority="77">
      <iconSet reverse="1">
        <cfvo type="percent" val="0"/>
        <cfvo type="num" val="4858" gte="0"/>
        <cfvo type="num" val="5240"/>
      </iconSet>
    </cfRule>
  </conditionalFormatting>
  <conditionalFormatting sqref="K23">
    <cfRule type="iconSet" priority="55">
      <iconSet reverse="1">
        <cfvo type="percent" val="0"/>
        <cfvo type="num" val="4858" gte="0"/>
        <cfvo type="num" val="5240"/>
      </iconSet>
    </cfRule>
  </conditionalFormatting>
  <conditionalFormatting sqref="K24">
    <cfRule type="iconSet" priority="46">
      <iconSet reverse="1">
        <cfvo type="percent" val="0"/>
        <cfvo type="num" val="4858" gte="0"/>
        <cfvo type="num" val="5240"/>
      </iconSet>
    </cfRule>
  </conditionalFormatting>
  <conditionalFormatting sqref="K25">
    <cfRule type="iconSet" priority="37">
      <iconSet reverse="1">
        <cfvo type="percent" val="0"/>
        <cfvo type="num" val="4858" gte="0"/>
        <cfvo type="num" val="5240"/>
      </iconSet>
    </cfRule>
  </conditionalFormatting>
  <conditionalFormatting sqref="K26">
    <cfRule type="iconSet" priority="28">
      <iconSet reverse="1">
        <cfvo type="percent" val="0"/>
        <cfvo type="num" val="4858" gte="0"/>
        <cfvo type="num" val="5240"/>
      </iconSet>
    </cfRule>
  </conditionalFormatting>
  <conditionalFormatting sqref="K27">
    <cfRule type="iconSet" priority="19">
      <iconSet reverse="1">
        <cfvo type="percent" val="0"/>
        <cfvo type="num" val="4858" gte="0"/>
        <cfvo type="num" val="5240"/>
      </iconSet>
    </cfRule>
  </conditionalFormatting>
  <conditionalFormatting sqref="A30">
    <cfRule type="iconSet" priority="10">
      <iconSet>
        <cfvo type="percent" val="0"/>
        <cfvo type="percent" val="33"/>
        <cfvo type="percent" val="67"/>
      </iconSet>
    </cfRule>
  </conditionalFormatting>
  <conditionalFormatting sqref="K28">
    <cfRule type="iconSet" priority="9">
      <iconSet reverse="1">
        <cfvo type="percent" val="0"/>
        <cfvo type="num" val="4858" gte="0"/>
        <cfvo type="num" val="5240"/>
      </iconSet>
    </cfRule>
  </conditionalFormatting>
  <conditionalFormatting sqref="C28">
    <cfRule type="iconSet" priority="8">
      <iconSet reverse="1">
        <cfvo type="percent" val="0"/>
        <cfvo type="num" val="887"/>
        <cfvo type="num" val="975"/>
      </iconSet>
    </cfRule>
  </conditionalFormatting>
  <conditionalFormatting sqref="D28">
    <cfRule type="iconSet" priority="7">
      <iconSet reverse="1">
        <cfvo type="percent" val="0"/>
        <cfvo type="num" val="614"/>
        <cfvo type="num" val="642"/>
      </iconSet>
    </cfRule>
  </conditionalFormatting>
  <conditionalFormatting sqref="E28">
    <cfRule type="iconSet" priority="6">
      <iconSet reverse="1">
        <cfvo type="percent" val="0"/>
        <cfvo type="num" val="284"/>
        <cfvo type="num" val="312"/>
      </iconSet>
    </cfRule>
  </conditionalFormatting>
  <conditionalFormatting sqref="F28">
    <cfRule type="iconSet" priority="5">
      <iconSet reverse="1">
        <cfvo type="percent" val="0"/>
        <cfvo type="num" val="569"/>
        <cfvo type="num" val="625"/>
      </iconSet>
    </cfRule>
  </conditionalFormatting>
  <conditionalFormatting sqref="G28">
    <cfRule type="iconSet" priority="4">
      <iconSet reverse="1">
        <cfvo type="percent" val="0"/>
        <cfvo type="num" val="256"/>
        <cfvo type="num" val="281"/>
      </iconSet>
    </cfRule>
  </conditionalFormatting>
  <conditionalFormatting sqref="H28">
    <cfRule type="iconSet" priority="3">
      <iconSet reverse="1">
        <cfvo type="percent" val="0"/>
        <cfvo type="num" val="1893"/>
        <cfvo type="num" val="2082"/>
      </iconSet>
    </cfRule>
  </conditionalFormatting>
  <conditionalFormatting sqref="I28">
    <cfRule type="iconSet" priority="2">
      <iconSet reverse="1">
        <cfvo type="percent" val="0"/>
        <cfvo type="num" val="339"/>
        <cfvo type="num" val="372"/>
      </iconSet>
    </cfRule>
  </conditionalFormatting>
  <conditionalFormatting sqref="J28">
    <cfRule type="iconSet" priority="1">
      <iconSet reverse="1">
        <cfvo type="percent" val="0"/>
        <cfvo type="num" val="16"/>
        <cfvo type="num" val="17"/>
      </iconSet>
    </cfRule>
  </conditionalFormatting>
  <pageMargins left="0.7" right="0.7" top="0.75" bottom="0.75" header="0.3" footer="0.3"/>
  <ignoredErrors>
    <ignoredError sqref="K17:K22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7" id="{3C78BDCE-D046-42B0-A79D-0CB98D994883}">
            <x14:iconSet iconSet="3Triangles" reverse="1">
              <x14:cfvo type="percent">
                <xm:f>0</xm:f>
              </x14:cfvo>
              <x14:cfvo type="formula">
                <xm:f>0</xm:f>
              </x14:cfvo>
              <x14:cfvo type="formula">
                <xm:f>0</xm:f>
              </x14:cfvo>
            </x14:iconSet>
          </x14:cfRule>
          <xm:sqref>C29</xm:sqref>
        </x14:conditionalFormatting>
        <x14:conditionalFormatting xmlns:xm="http://schemas.microsoft.com/office/excel/2006/main">
          <x14:cfRule type="iconSet" priority="95" id="{35C8348B-0224-44FA-AAD4-F360848DFD69}">
            <x14:iconSet iconSet="3Triangles" reverse="1">
              <x14:cfvo type="percent">
                <xm:f>0</xm:f>
              </x14:cfvo>
              <x14:cfvo type="formula">
                <xm:f>$C$12</xm:f>
              </x14:cfvo>
              <x14:cfvo type="formula">
                <xm:f>$C$12</xm:f>
              </x14:cfvo>
            </x14:iconSet>
          </x14:cfRule>
          <xm:sqref>D31 D29:J29 G31:J31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28" sqref="N28"/>
    </sheetView>
  </sheetViews>
  <sheetFormatPr defaultRowHeight="21" x14ac:dyDescent="0.35"/>
  <cols>
    <col min="1" max="1" width="15.140625" style="32" customWidth="1"/>
    <col min="2" max="19" width="10.85546875" style="33" customWidth="1"/>
    <col min="20" max="20" width="9.140625" style="33"/>
    <col min="21" max="21" width="13.7109375" style="33" bestFit="1" customWidth="1"/>
    <col min="22" max="23" width="12.140625" style="33" bestFit="1" customWidth="1"/>
    <col min="24" max="24" width="10.28515625" style="33" bestFit="1" customWidth="1"/>
    <col min="25" max="16384" width="9.140625" style="33"/>
  </cols>
  <sheetData>
    <row r="1" spans="1:24" x14ac:dyDescent="0.35">
      <c r="A1" s="46" t="s">
        <v>81</v>
      </c>
      <c r="B1" s="49"/>
      <c r="C1" s="49"/>
      <c r="D1" s="49"/>
      <c r="E1" s="49"/>
      <c r="F1" s="49"/>
      <c r="G1" s="49"/>
    </row>
    <row r="2" spans="1:24" s="35" customFormat="1" ht="42" customHeight="1" x14ac:dyDescent="0.2">
      <c r="A2" s="62" t="s">
        <v>25</v>
      </c>
      <c r="B2" s="219" t="s">
        <v>27</v>
      </c>
      <c r="C2" s="219"/>
      <c r="D2" s="219"/>
      <c r="E2" s="219" t="s">
        <v>30</v>
      </c>
      <c r="F2" s="219"/>
      <c r="G2" s="219"/>
      <c r="H2" s="219" t="s">
        <v>35</v>
      </c>
      <c r="I2" s="219"/>
      <c r="J2" s="219"/>
      <c r="K2" s="219" t="s">
        <v>28</v>
      </c>
      <c r="L2" s="219"/>
      <c r="M2" s="219"/>
      <c r="N2" s="219" t="s">
        <v>29</v>
      </c>
      <c r="O2" s="219"/>
      <c r="P2" s="219"/>
      <c r="Q2" s="219" t="s">
        <v>31</v>
      </c>
      <c r="R2" s="219"/>
      <c r="S2" s="219"/>
    </row>
    <row r="3" spans="1:24" s="35" customFormat="1" x14ac:dyDescent="0.2">
      <c r="A3" s="62"/>
      <c r="B3" s="62" t="s">
        <v>41</v>
      </c>
      <c r="C3" s="62" t="s">
        <v>42</v>
      </c>
      <c r="D3" s="62" t="s">
        <v>43</v>
      </c>
      <c r="E3" s="62" t="s">
        <v>41</v>
      </c>
      <c r="F3" s="62" t="s">
        <v>42</v>
      </c>
      <c r="G3" s="62" t="s">
        <v>43</v>
      </c>
      <c r="H3" s="62" t="s">
        <v>41</v>
      </c>
      <c r="I3" s="62" t="s">
        <v>42</v>
      </c>
      <c r="J3" s="62" t="s">
        <v>43</v>
      </c>
      <c r="K3" s="62" t="s">
        <v>41</v>
      </c>
      <c r="L3" s="62" t="s">
        <v>42</v>
      </c>
      <c r="M3" s="62" t="s">
        <v>43</v>
      </c>
      <c r="N3" s="62" t="s">
        <v>41</v>
      </c>
      <c r="O3" s="62" t="s">
        <v>42</v>
      </c>
      <c r="P3" s="62" t="s">
        <v>43</v>
      </c>
      <c r="Q3" s="62" t="s">
        <v>41</v>
      </c>
      <c r="R3" s="62" t="s">
        <v>42</v>
      </c>
      <c r="S3" s="62" t="s">
        <v>43</v>
      </c>
      <c r="U3" s="35" t="s">
        <v>27</v>
      </c>
      <c r="V3" s="35" t="s">
        <v>30</v>
      </c>
      <c r="W3" s="35" t="s">
        <v>28</v>
      </c>
      <c r="X3" s="35" t="s">
        <v>29</v>
      </c>
    </row>
    <row r="4" spans="1:24" ht="36" customHeight="1" x14ac:dyDescent="0.35">
      <c r="A4" s="37" t="s">
        <v>34</v>
      </c>
      <c r="B4" s="39">
        <v>1149.4831473999996</v>
      </c>
      <c r="C4" s="39">
        <v>598.1032875999997</v>
      </c>
      <c r="D4" s="50">
        <f>C4/B4</f>
        <v>0.52032366803536134</v>
      </c>
      <c r="E4" s="39">
        <v>586.04007390000004</v>
      </c>
      <c r="F4" s="39">
        <v>189.89961730000002</v>
      </c>
      <c r="G4" s="50">
        <f>F4/E4</f>
        <v>0.3240386208339805</v>
      </c>
      <c r="H4" s="39">
        <v>347.00665950000001</v>
      </c>
      <c r="I4" s="39">
        <v>147.13234439999997</v>
      </c>
      <c r="J4" s="50">
        <f>I4/H4</f>
        <v>0.42400438254413375</v>
      </c>
      <c r="K4" s="39">
        <v>265.93421560000002</v>
      </c>
      <c r="L4" s="39">
        <v>51.508267799999992</v>
      </c>
      <c r="M4" s="50">
        <f>L4/K4</f>
        <v>0.19368800544821652</v>
      </c>
      <c r="N4" s="39">
        <v>709.2072647</v>
      </c>
      <c r="O4" s="39">
        <v>53.77828079999999</v>
      </c>
      <c r="P4" s="50">
        <f>O4/N4</f>
        <v>7.5828722401410545E-2</v>
      </c>
      <c r="Q4" s="39">
        <f>B4+E4+H4+K4+N4</f>
        <v>3057.6713610999991</v>
      </c>
      <c r="R4" s="39">
        <f>C4+F4+I4+L4+O4</f>
        <v>1040.4217978999998</v>
      </c>
      <c r="S4" s="50">
        <f>R4/Q4</f>
        <v>0.3402660636248715</v>
      </c>
      <c r="U4" s="40">
        <f t="shared" ref="U4:U12" si="0">B4-C4</f>
        <v>551.37985979999985</v>
      </c>
      <c r="V4" s="40">
        <f t="shared" ref="V4:V12" si="1">E4-F4</f>
        <v>396.14045659999999</v>
      </c>
      <c r="W4" s="40">
        <f>K4-L4</f>
        <v>214.42594780000002</v>
      </c>
      <c r="X4" s="40">
        <f>N4-O4</f>
        <v>655.42898390000005</v>
      </c>
    </row>
    <row r="5" spans="1:24" ht="36" hidden="1" customHeight="1" x14ac:dyDescent="0.35">
      <c r="A5" s="37" t="s">
        <v>9</v>
      </c>
      <c r="B5" s="39">
        <v>924.94520169999953</v>
      </c>
      <c r="C5" s="39">
        <v>420.32669129999971</v>
      </c>
      <c r="D5" s="50">
        <f t="shared" ref="D5:D20" si="2">C5/B5</f>
        <v>0.45443415515585339</v>
      </c>
      <c r="E5" s="39">
        <v>544.0226844</v>
      </c>
      <c r="F5" s="39">
        <v>159.43717070000011</v>
      </c>
      <c r="G5" s="50">
        <f t="shared" ref="G5:G20" si="3">F5/E5</f>
        <v>0.29307081353756892</v>
      </c>
      <c r="H5" s="39">
        <v>342.68271590000006</v>
      </c>
      <c r="I5" s="39">
        <v>63.692930499999996</v>
      </c>
      <c r="J5" s="50">
        <f t="shared" ref="J5:J20" si="4">I5/H5</f>
        <v>0.18586560554336959</v>
      </c>
      <c r="K5" s="39">
        <v>217.43415090000005</v>
      </c>
      <c r="L5" s="39">
        <v>104.16745690000002</v>
      </c>
      <c r="M5" s="50">
        <f t="shared" ref="M5:M20" si="5">L5/K5</f>
        <v>0.47907587869169449</v>
      </c>
      <c r="N5" s="39">
        <v>846.79114540000012</v>
      </c>
      <c r="O5" s="39">
        <v>61.427184099999984</v>
      </c>
      <c r="P5" s="50">
        <f t="shared" ref="P5:P20" si="6">O5/N5</f>
        <v>7.2541127093367894E-2</v>
      </c>
      <c r="Q5" s="39">
        <f t="shared" ref="Q5:R20" si="7">B5+E5+H5+K5+N5</f>
        <v>2875.8758982999998</v>
      </c>
      <c r="R5" s="39">
        <f t="shared" si="7"/>
        <v>809.0514334999998</v>
      </c>
      <c r="S5" s="50">
        <f t="shared" ref="S5:S20" si="8">R5/Q5</f>
        <v>0.28132348616929187</v>
      </c>
      <c r="U5" s="40">
        <f t="shared" si="0"/>
        <v>504.61851039999982</v>
      </c>
      <c r="V5" s="40">
        <f t="shared" si="1"/>
        <v>384.58551369999986</v>
      </c>
      <c r="W5" s="40">
        <f t="shared" ref="W5:W12" si="9">K5-L5</f>
        <v>113.26669400000003</v>
      </c>
      <c r="X5" s="40">
        <f t="shared" ref="X5:X12" si="10">N5-O5</f>
        <v>785.36396130000014</v>
      </c>
    </row>
    <row r="6" spans="1:24" ht="36" hidden="1" customHeight="1" x14ac:dyDescent="0.35">
      <c r="A6" s="37" t="s">
        <v>10</v>
      </c>
      <c r="B6" s="39">
        <v>805.84949159999962</v>
      </c>
      <c r="C6" s="39">
        <v>332.58933049999996</v>
      </c>
      <c r="D6" s="50">
        <f t="shared" si="2"/>
        <v>0.41271891831767477</v>
      </c>
      <c r="E6" s="39">
        <v>637.25611709999998</v>
      </c>
      <c r="F6" s="39">
        <v>181.62691620000004</v>
      </c>
      <c r="G6" s="50">
        <f t="shared" si="3"/>
        <v>0.28501400194719301</v>
      </c>
      <c r="H6" s="39">
        <v>270.30706839999999</v>
      </c>
      <c r="I6" s="39">
        <v>128.67552560000001</v>
      </c>
      <c r="J6" s="50">
        <f t="shared" si="4"/>
        <v>0.47603463113878386</v>
      </c>
      <c r="K6" s="39">
        <v>278.25526899999988</v>
      </c>
      <c r="L6" s="39">
        <v>138.86320779999997</v>
      </c>
      <c r="M6" s="50">
        <f t="shared" si="5"/>
        <v>0.49904969742010535</v>
      </c>
      <c r="N6" s="39">
        <v>770.74465049999992</v>
      </c>
      <c r="O6" s="39">
        <v>79.959199600000005</v>
      </c>
      <c r="P6" s="50">
        <f t="shared" si="6"/>
        <v>0.10374278893551661</v>
      </c>
      <c r="Q6" s="39">
        <f t="shared" si="7"/>
        <v>2762.4125965999992</v>
      </c>
      <c r="R6" s="39">
        <f t="shared" si="7"/>
        <v>861.71417970000005</v>
      </c>
      <c r="S6" s="50">
        <f t="shared" si="8"/>
        <v>0.3119426043599009</v>
      </c>
      <c r="U6" s="40">
        <f t="shared" si="0"/>
        <v>473.26016109999966</v>
      </c>
      <c r="V6" s="40">
        <f t="shared" si="1"/>
        <v>455.62920089999994</v>
      </c>
      <c r="W6" s="40">
        <f t="shared" si="9"/>
        <v>139.39206119999992</v>
      </c>
      <c r="X6" s="40">
        <f t="shared" si="10"/>
        <v>690.78545089999989</v>
      </c>
    </row>
    <row r="7" spans="1:24" ht="36" hidden="1" customHeight="1" x14ac:dyDescent="0.35">
      <c r="A7" s="37" t="s">
        <v>37</v>
      </c>
      <c r="B7" s="39">
        <v>871.29112840000005</v>
      </c>
      <c r="C7" s="39">
        <v>348.74202859999991</v>
      </c>
      <c r="D7" s="50">
        <f t="shared" si="2"/>
        <v>0.40025889996196118</v>
      </c>
      <c r="E7" s="39">
        <v>614.55136440000024</v>
      </c>
      <c r="F7" s="39">
        <v>173.55866430000006</v>
      </c>
      <c r="G7" s="50">
        <f t="shared" si="3"/>
        <v>0.2824152289848858</v>
      </c>
      <c r="H7" s="39">
        <v>189.57483259999998</v>
      </c>
      <c r="I7" s="39">
        <v>63.524251700000001</v>
      </c>
      <c r="J7" s="50">
        <f t="shared" si="4"/>
        <v>0.33508800102192471</v>
      </c>
      <c r="K7" s="39">
        <v>271.0061015</v>
      </c>
      <c r="L7" s="39">
        <v>112.36556189999999</v>
      </c>
      <c r="M7" s="50">
        <f t="shared" si="5"/>
        <v>0.41462373458776164</v>
      </c>
      <c r="N7" s="39">
        <v>1155.4082583000002</v>
      </c>
      <c r="O7" s="39">
        <v>67.085494999999995</v>
      </c>
      <c r="P7" s="50">
        <f t="shared" si="6"/>
        <v>5.8062156400635091E-2</v>
      </c>
      <c r="Q7" s="39">
        <f t="shared" si="7"/>
        <v>3101.8316852000007</v>
      </c>
      <c r="R7" s="39">
        <f t="shared" si="7"/>
        <v>765.27600150000001</v>
      </c>
      <c r="S7" s="50">
        <f t="shared" si="8"/>
        <v>0.24671744929017847</v>
      </c>
      <c r="U7" s="40">
        <f t="shared" si="0"/>
        <v>522.54909980000014</v>
      </c>
      <c r="V7" s="40">
        <f t="shared" si="1"/>
        <v>440.99270010000021</v>
      </c>
      <c r="W7" s="40">
        <f t="shared" si="9"/>
        <v>158.64053960000001</v>
      </c>
      <c r="X7" s="40">
        <f t="shared" si="10"/>
        <v>1088.3227633000001</v>
      </c>
    </row>
    <row r="8" spans="1:24" ht="36" hidden="1" customHeight="1" x14ac:dyDescent="0.35">
      <c r="A8" s="37" t="s">
        <v>12</v>
      </c>
      <c r="B8" s="39">
        <v>861.13403159999996</v>
      </c>
      <c r="C8" s="39">
        <v>325.72253489999986</v>
      </c>
      <c r="D8" s="50">
        <f t="shared" si="2"/>
        <v>0.37824835965988068</v>
      </c>
      <c r="E8" s="39">
        <v>536.85221309999997</v>
      </c>
      <c r="F8" s="39">
        <v>265.45857710000007</v>
      </c>
      <c r="G8" s="50">
        <f t="shared" si="3"/>
        <v>0.49447235314004906</v>
      </c>
      <c r="H8" s="39">
        <v>193.05039389999996</v>
      </c>
      <c r="I8" s="39">
        <v>20.84929</v>
      </c>
      <c r="J8" s="50">
        <f t="shared" si="4"/>
        <v>0.1079992098374061</v>
      </c>
      <c r="K8" s="39">
        <v>259.07808540000002</v>
      </c>
      <c r="L8" s="39">
        <v>120.0939298</v>
      </c>
      <c r="M8" s="50">
        <f t="shared" si="5"/>
        <v>0.4635433738619098</v>
      </c>
      <c r="N8" s="39">
        <v>595.58785599999976</v>
      </c>
      <c r="O8" s="39">
        <v>67.622873199999972</v>
      </c>
      <c r="P8" s="50">
        <f t="shared" si="6"/>
        <v>0.11353971125966007</v>
      </c>
      <c r="Q8" s="39">
        <f t="shared" si="7"/>
        <v>2445.7025799999997</v>
      </c>
      <c r="R8" s="39">
        <f t="shared" si="7"/>
        <v>799.74720499999989</v>
      </c>
      <c r="S8" s="50">
        <f t="shared" si="8"/>
        <v>0.3270010063938355</v>
      </c>
      <c r="U8" s="40">
        <f t="shared" si="0"/>
        <v>535.41149670000004</v>
      </c>
      <c r="V8" s="40">
        <f t="shared" si="1"/>
        <v>271.3936359999999</v>
      </c>
      <c r="W8" s="40">
        <f t="shared" si="9"/>
        <v>138.98415560000001</v>
      </c>
      <c r="X8" s="40">
        <f t="shared" si="10"/>
        <v>527.9649827999998</v>
      </c>
    </row>
    <row r="9" spans="1:24" ht="36" hidden="1" customHeight="1" x14ac:dyDescent="0.35">
      <c r="A9" s="37" t="s">
        <v>13</v>
      </c>
      <c r="B9" s="39">
        <v>876.33204199999977</v>
      </c>
      <c r="C9" s="39">
        <v>386.15811569999977</v>
      </c>
      <c r="D9" s="50">
        <f t="shared" si="2"/>
        <v>0.44065274027718349</v>
      </c>
      <c r="E9" s="39">
        <v>646.68693190000022</v>
      </c>
      <c r="F9" s="39">
        <v>324.88417760000021</v>
      </c>
      <c r="G9" s="50">
        <f t="shared" si="3"/>
        <v>0.50238246912686702</v>
      </c>
      <c r="H9" s="39">
        <v>296.03917759999996</v>
      </c>
      <c r="I9" s="39">
        <v>20.262537900000002</v>
      </c>
      <c r="J9" s="50">
        <f t="shared" si="4"/>
        <v>6.8445460713237719E-2</v>
      </c>
      <c r="K9" s="39">
        <v>215.92123789999999</v>
      </c>
      <c r="L9" s="39">
        <v>122.36034640000001</v>
      </c>
      <c r="M9" s="50">
        <f t="shared" si="5"/>
        <v>0.56668972255832006</v>
      </c>
      <c r="N9" s="39">
        <v>554.20701700000006</v>
      </c>
      <c r="O9" s="39">
        <v>179.82963070000008</v>
      </c>
      <c r="P9" s="50">
        <f t="shared" si="6"/>
        <v>0.32448097043852486</v>
      </c>
      <c r="Q9" s="39">
        <f t="shared" si="7"/>
        <v>2589.1864064000001</v>
      </c>
      <c r="R9" s="39">
        <f t="shared" si="7"/>
        <v>1033.4948083000002</v>
      </c>
      <c r="S9" s="50">
        <f t="shared" si="8"/>
        <v>0.39915813158349206</v>
      </c>
      <c r="U9" s="40">
        <f t="shared" si="0"/>
        <v>490.17392630000001</v>
      </c>
      <c r="V9" s="40">
        <f t="shared" si="1"/>
        <v>321.8027543</v>
      </c>
      <c r="W9" s="40">
        <f t="shared" si="9"/>
        <v>93.560891499999983</v>
      </c>
      <c r="X9" s="40">
        <f t="shared" si="10"/>
        <v>374.37738630000001</v>
      </c>
    </row>
    <row r="10" spans="1:24" ht="36" hidden="1" customHeight="1" x14ac:dyDescent="0.35">
      <c r="A10" s="37" t="s">
        <v>38</v>
      </c>
      <c r="B10" s="39">
        <v>780.98287089999985</v>
      </c>
      <c r="C10" s="39">
        <v>372.36158299999988</v>
      </c>
      <c r="D10" s="50">
        <f t="shared" si="2"/>
        <v>0.47678585136046925</v>
      </c>
      <c r="E10" s="39">
        <v>602.75370509999993</v>
      </c>
      <c r="F10" s="39">
        <v>239.50196879999993</v>
      </c>
      <c r="G10" s="50">
        <f t="shared" si="3"/>
        <v>0.39734632367007239</v>
      </c>
      <c r="H10" s="39">
        <v>204.25912750000001</v>
      </c>
      <c r="I10" s="39">
        <v>13.150657900000001</v>
      </c>
      <c r="J10" s="50">
        <f t="shared" si="4"/>
        <v>6.4382228892072402E-2</v>
      </c>
      <c r="K10" s="39">
        <v>376.11123650000008</v>
      </c>
      <c r="L10" s="39">
        <v>107.76212960000002</v>
      </c>
      <c r="M10" s="50">
        <f t="shared" si="5"/>
        <v>0.286516644923476</v>
      </c>
      <c r="N10" s="39">
        <v>678.132563</v>
      </c>
      <c r="O10" s="39">
        <v>138.25466900000004</v>
      </c>
      <c r="P10" s="50">
        <f t="shared" si="6"/>
        <v>0.20387557911741222</v>
      </c>
      <c r="Q10" s="39">
        <f t="shared" si="7"/>
        <v>2642.2395029999998</v>
      </c>
      <c r="R10" s="39">
        <f t="shared" si="7"/>
        <v>871.03100829999994</v>
      </c>
      <c r="S10" s="50">
        <f t="shared" si="8"/>
        <v>0.3296563416416381</v>
      </c>
      <c r="U10" s="40">
        <f t="shared" si="0"/>
        <v>408.62128789999997</v>
      </c>
      <c r="V10" s="40">
        <f t="shared" si="1"/>
        <v>363.2517363</v>
      </c>
      <c r="W10" s="40">
        <f t="shared" si="9"/>
        <v>268.34910690000004</v>
      </c>
      <c r="X10" s="40">
        <f t="shared" si="10"/>
        <v>539.87789399999997</v>
      </c>
    </row>
    <row r="11" spans="1:24" ht="36" hidden="1" customHeight="1" x14ac:dyDescent="0.35">
      <c r="A11" s="37" t="s">
        <v>15</v>
      </c>
      <c r="B11" s="39">
        <v>748.51978019999979</v>
      </c>
      <c r="C11" s="39">
        <v>314.63707939999978</v>
      </c>
      <c r="D11" s="50">
        <f t="shared" si="2"/>
        <v>0.42034571125953507</v>
      </c>
      <c r="E11" s="39">
        <v>635.68963750000012</v>
      </c>
      <c r="F11" s="39">
        <v>258.65500759999992</v>
      </c>
      <c r="G11" s="50">
        <f t="shared" si="3"/>
        <v>0.40688882174833291</v>
      </c>
      <c r="H11" s="39">
        <v>187.67426510000001</v>
      </c>
      <c r="I11" s="39">
        <v>14.4193099</v>
      </c>
      <c r="J11" s="50">
        <f t="shared" si="4"/>
        <v>7.6831577799528566E-2</v>
      </c>
      <c r="K11" s="39">
        <v>335.4008776</v>
      </c>
      <c r="L11" s="39">
        <v>118.6606142</v>
      </c>
      <c r="M11" s="50">
        <f t="shared" si="5"/>
        <v>0.35378742908811039</v>
      </c>
      <c r="N11" s="39">
        <v>649.1828601000002</v>
      </c>
      <c r="O11" s="39">
        <v>104.98910140000004</v>
      </c>
      <c r="P11" s="50">
        <f t="shared" si="6"/>
        <v>0.1617250051608379</v>
      </c>
      <c r="Q11" s="39">
        <f t="shared" si="7"/>
        <v>2556.4674205000001</v>
      </c>
      <c r="R11" s="39">
        <f t="shared" si="7"/>
        <v>811.36111249999976</v>
      </c>
      <c r="S11" s="50">
        <f t="shared" si="8"/>
        <v>0.31737588595645461</v>
      </c>
      <c r="U11" s="40">
        <f t="shared" si="0"/>
        <v>433.88270080000001</v>
      </c>
      <c r="V11" s="40">
        <f t="shared" si="1"/>
        <v>377.0346299000002</v>
      </c>
      <c r="W11" s="40">
        <f t="shared" si="9"/>
        <v>216.7402634</v>
      </c>
      <c r="X11" s="40">
        <f t="shared" si="10"/>
        <v>544.19375870000022</v>
      </c>
    </row>
    <row r="12" spans="1:24" ht="36" hidden="1" customHeight="1" x14ac:dyDescent="0.35">
      <c r="A12" s="37" t="s">
        <v>16</v>
      </c>
      <c r="B12" s="39">
        <v>934.01162299999964</v>
      </c>
      <c r="C12" s="39">
        <v>242.50114180000014</v>
      </c>
      <c r="D12" s="50">
        <f t="shared" si="2"/>
        <v>0.25963396581843207</v>
      </c>
      <c r="E12" s="39">
        <v>632.39556269999957</v>
      </c>
      <c r="F12" s="39">
        <v>207.45342729999993</v>
      </c>
      <c r="G12" s="50">
        <f t="shared" si="3"/>
        <v>0.32804377439696425</v>
      </c>
      <c r="H12" s="39">
        <v>253.11114649999999</v>
      </c>
      <c r="I12" s="39">
        <v>46.877199299999994</v>
      </c>
      <c r="J12" s="50">
        <f t="shared" si="4"/>
        <v>0.18520400997037875</v>
      </c>
      <c r="K12" s="39">
        <v>291.1002191</v>
      </c>
      <c r="L12" s="39">
        <v>135.87107039999992</v>
      </c>
      <c r="M12" s="50">
        <f t="shared" si="5"/>
        <v>0.46675014817946564</v>
      </c>
      <c r="N12" s="39">
        <v>639.54176099999995</v>
      </c>
      <c r="O12" s="39">
        <v>70.363661299999805</v>
      </c>
      <c r="P12" s="50">
        <f t="shared" si="6"/>
        <v>0.11002199635873319</v>
      </c>
      <c r="Q12" s="39">
        <f t="shared" si="7"/>
        <v>2750.1603122999991</v>
      </c>
      <c r="R12" s="39">
        <f t="shared" si="7"/>
        <v>703.06650009999976</v>
      </c>
      <c r="S12" s="50">
        <f t="shared" si="8"/>
        <v>0.2556456425305676</v>
      </c>
      <c r="U12" s="40">
        <f t="shared" si="0"/>
        <v>691.5104811999995</v>
      </c>
      <c r="V12" s="40">
        <f t="shared" si="1"/>
        <v>424.94213539999964</v>
      </c>
      <c r="W12" s="40">
        <f t="shared" si="9"/>
        <v>155.22914870000008</v>
      </c>
      <c r="X12" s="40">
        <f t="shared" si="10"/>
        <v>569.17809970000019</v>
      </c>
    </row>
    <row r="13" spans="1:24" ht="36" hidden="1" customHeight="1" x14ac:dyDescent="0.35">
      <c r="A13" s="37" t="s">
        <v>17</v>
      </c>
      <c r="B13" s="39">
        <v>800.62667509999972</v>
      </c>
      <c r="C13" s="39">
        <v>233.6924077999999</v>
      </c>
      <c r="D13" s="50">
        <f t="shared" si="2"/>
        <v>0.2918868619644871</v>
      </c>
      <c r="E13" s="39">
        <v>603.84464880000007</v>
      </c>
      <c r="F13" s="39">
        <v>184.85345669999975</v>
      </c>
      <c r="G13" s="50">
        <f t="shared" si="3"/>
        <v>0.30612750658195403</v>
      </c>
      <c r="H13" s="39">
        <v>281.32357979999995</v>
      </c>
      <c r="I13" s="39">
        <v>49.21925379999999</v>
      </c>
      <c r="J13" s="50">
        <f t="shared" si="4"/>
        <v>0.174956019808191</v>
      </c>
      <c r="K13" s="39">
        <v>206.49995670000001</v>
      </c>
      <c r="L13" s="39">
        <v>147.0766256</v>
      </c>
      <c r="M13" s="50">
        <f t="shared" si="5"/>
        <v>0.71223562440582333</v>
      </c>
      <c r="N13" s="39">
        <v>1202.2503058000002</v>
      </c>
      <c r="O13" s="39">
        <v>85.051166799999862</v>
      </c>
      <c r="P13" s="50">
        <f t="shared" si="6"/>
        <v>7.0743310598207917E-2</v>
      </c>
      <c r="Q13" s="39">
        <f t="shared" si="7"/>
        <v>3094.5451662</v>
      </c>
      <c r="R13" s="39">
        <f t="shared" si="7"/>
        <v>699.89291069999945</v>
      </c>
      <c r="S13" s="50">
        <f t="shared" si="8"/>
        <v>0.22616988058359638</v>
      </c>
      <c r="U13" s="40">
        <f>B13-C13</f>
        <v>566.93426729999987</v>
      </c>
      <c r="V13" s="40">
        <f t="shared" ref="V13:V24" si="11">E13-F13</f>
        <v>418.99119210000032</v>
      </c>
      <c r="W13" s="40">
        <f t="shared" ref="W13:W24" si="12">K13-L13</f>
        <v>59.423331100000013</v>
      </c>
      <c r="X13" s="40">
        <f>N13-O13</f>
        <v>1117.1991390000003</v>
      </c>
    </row>
    <row r="14" spans="1:24" ht="36" hidden="1" customHeight="1" x14ac:dyDescent="0.35">
      <c r="A14" s="37" t="s">
        <v>18</v>
      </c>
      <c r="B14" s="39">
        <v>777.25925449999977</v>
      </c>
      <c r="C14" s="39">
        <v>227.31146529999987</v>
      </c>
      <c r="D14" s="50">
        <f t="shared" si="2"/>
        <v>0.29245256841132916</v>
      </c>
      <c r="E14" s="39">
        <v>481.26135679999999</v>
      </c>
      <c r="F14" s="39">
        <v>182.35506839999999</v>
      </c>
      <c r="G14" s="50">
        <f t="shared" si="3"/>
        <v>0.378910680908424</v>
      </c>
      <c r="H14" s="39">
        <v>182.52597679999997</v>
      </c>
      <c r="I14" s="39">
        <v>53.925982199999986</v>
      </c>
      <c r="J14" s="50">
        <f t="shared" si="4"/>
        <v>0.29544278105186395</v>
      </c>
      <c r="K14" s="39">
        <v>223.55830479999997</v>
      </c>
      <c r="L14" s="39">
        <v>123.20560869999998</v>
      </c>
      <c r="M14" s="50">
        <f t="shared" si="5"/>
        <v>0.5511117505127906</v>
      </c>
      <c r="N14" s="39">
        <v>1125.4313795999994</v>
      </c>
      <c r="O14" s="39">
        <v>75.264576500000203</v>
      </c>
      <c r="P14" s="50">
        <f t="shared" si="6"/>
        <v>6.6876202196130982E-2</v>
      </c>
      <c r="Q14" s="39">
        <f t="shared" si="7"/>
        <v>2790.0362724999986</v>
      </c>
      <c r="R14" s="39">
        <f t="shared" si="7"/>
        <v>662.06270110000003</v>
      </c>
      <c r="S14" s="50">
        <f t="shared" si="8"/>
        <v>0.23729537412313351</v>
      </c>
      <c r="U14" s="40">
        <f>B14-C14</f>
        <v>549.94778919999987</v>
      </c>
      <c r="V14" s="40">
        <f t="shared" si="11"/>
        <v>298.90628839999999</v>
      </c>
      <c r="W14" s="40">
        <f t="shared" si="12"/>
        <v>100.35269609999999</v>
      </c>
      <c r="X14" s="40">
        <f t="shared" ref="X14:X20" si="13">N14-O14</f>
        <v>1050.1668030999992</v>
      </c>
    </row>
    <row r="15" spans="1:24" ht="36" hidden="1" customHeight="1" x14ac:dyDescent="0.35">
      <c r="A15" s="37" t="s">
        <v>19</v>
      </c>
      <c r="B15" s="39">
        <v>900.58071650000034</v>
      </c>
      <c r="C15" s="39">
        <v>234.71791089999994</v>
      </c>
      <c r="D15" s="50">
        <f t="shared" si="2"/>
        <v>0.26062951004792012</v>
      </c>
      <c r="E15" s="39">
        <v>549.06672539999988</v>
      </c>
      <c r="F15" s="39">
        <v>198.04581680000007</v>
      </c>
      <c r="G15" s="50">
        <f t="shared" si="3"/>
        <v>0.36069535384014023</v>
      </c>
      <c r="H15" s="39">
        <v>223.4265193</v>
      </c>
      <c r="I15" s="39">
        <v>71.433934599999986</v>
      </c>
      <c r="J15" s="50">
        <f t="shared" si="4"/>
        <v>0.31972003513192621</v>
      </c>
      <c r="K15" s="39">
        <v>266.2318042</v>
      </c>
      <c r="L15" s="39">
        <v>124.88172999999998</v>
      </c>
      <c r="M15" s="50">
        <f t="shared" si="5"/>
        <v>0.46907141832756277</v>
      </c>
      <c r="N15" s="39">
        <v>782.3243217000005</v>
      </c>
      <c r="O15" s="39">
        <v>66.351366400000131</v>
      </c>
      <c r="P15" s="50">
        <f t="shared" si="6"/>
        <v>8.4813119775974471E-2</v>
      </c>
      <c r="Q15" s="39">
        <f t="shared" si="7"/>
        <v>2721.6300871000008</v>
      </c>
      <c r="R15" s="39">
        <f t="shared" si="7"/>
        <v>695.43075870000007</v>
      </c>
      <c r="S15" s="50">
        <f t="shared" si="8"/>
        <v>0.25551994078703316</v>
      </c>
      <c r="U15" s="40">
        <f t="shared" ref="U15:U20" si="14">B15-C15</f>
        <v>665.86280560000046</v>
      </c>
      <c r="V15" s="40">
        <f t="shared" si="11"/>
        <v>351.02090859999981</v>
      </c>
      <c r="W15" s="40">
        <f t="shared" si="12"/>
        <v>141.35007420000002</v>
      </c>
      <c r="X15" s="40">
        <f t="shared" si="13"/>
        <v>715.97295530000042</v>
      </c>
    </row>
    <row r="16" spans="1:24" ht="36" customHeight="1" x14ac:dyDescent="0.35">
      <c r="A16" s="37" t="s">
        <v>20</v>
      </c>
      <c r="B16" s="39">
        <v>876.64216239999962</v>
      </c>
      <c r="C16" s="39">
        <v>231.45535869999989</v>
      </c>
      <c r="D16" s="50">
        <f t="shared" si="2"/>
        <v>0.26402489935727053</v>
      </c>
      <c r="E16" s="39">
        <v>605.32744899999966</v>
      </c>
      <c r="F16" s="39">
        <v>196.94916760000007</v>
      </c>
      <c r="G16" s="50">
        <f t="shared" si="3"/>
        <v>0.32535971716689849</v>
      </c>
      <c r="H16" s="39">
        <v>118.68809780000001</v>
      </c>
      <c r="I16" s="39">
        <v>41.579433999999992</v>
      </c>
      <c r="J16" s="50">
        <f t="shared" si="4"/>
        <v>0.35032522022608392</v>
      </c>
      <c r="K16" s="39">
        <v>545.55636539999989</v>
      </c>
      <c r="L16" s="39">
        <v>101.59933339999998</v>
      </c>
      <c r="M16" s="50">
        <f t="shared" si="5"/>
        <v>0.18623068090408537</v>
      </c>
      <c r="N16" s="39">
        <v>539.0050987999997</v>
      </c>
      <c r="O16" s="39">
        <v>92.519810400000296</v>
      </c>
      <c r="P16" s="50">
        <f t="shared" si="6"/>
        <v>0.17164923041726216</v>
      </c>
      <c r="Q16" s="39">
        <f t="shared" si="7"/>
        <v>2685.2191733999989</v>
      </c>
      <c r="R16" s="39">
        <f t="shared" si="7"/>
        <v>664.10310410000022</v>
      </c>
      <c r="S16" s="50">
        <f t="shared" si="8"/>
        <v>0.24731802553722987</v>
      </c>
      <c r="U16" s="40">
        <f t="shared" si="14"/>
        <v>645.1868036999997</v>
      </c>
      <c r="V16" s="40">
        <f t="shared" si="11"/>
        <v>408.37828139999959</v>
      </c>
      <c r="W16" s="40">
        <f t="shared" si="12"/>
        <v>443.95703199999991</v>
      </c>
      <c r="X16" s="40">
        <f t="shared" si="13"/>
        <v>446.48528839999938</v>
      </c>
    </row>
    <row r="17" spans="1:24" ht="36" hidden="1" customHeight="1" x14ac:dyDescent="0.35">
      <c r="A17" s="37" t="s">
        <v>336</v>
      </c>
      <c r="B17" s="39">
        <v>948.58685200000093</v>
      </c>
      <c r="C17" s="39">
        <v>239.97402179999992</v>
      </c>
      <c r="D17" s="50">
        <f t="shared" si="2"/>
        <v>0.25298054816386983</v>
      </c>
      <c r="E17" s="39">
        <v>654.76344319999953</v>
      </c>
      <c r="F17" s="39">
        <v>229.41033170000014</v>
      </c>
      <c r="G17" s="50">
        <f t="shared" si="3"/>
        <v>0.35037131972245134</v>
      </c>
      <c r="H17" s="39">
        <v>138.68384490000003</v>
      </c>
      <c r="I17" s="39">
        <v>31.632121599999998</v>
      </c>
      <c r="J17" s="50">
        <f t="shared" si="4"/>
        <v>0.2280880056563819</v>
      </c>
      <c r="K17" s="39">
        <v>205.35350839999992</v>
      </c>
      <c r="L17" s="39">
        <v>97.982603099999992</v>
      </c>
      <c r="M17" s="50">
        <f t="shared" si="5"/>
        <v>0.47714112051664381</v>
      </c>
      <c r="N17" s="39">
        <v>994.78284680000024</v>
      </c>
      <c r="O17" s="39">
        <v>118.16379730000038</v>
      </c>
      <c r="P17" s="50">
        <f t="shared" si="6"/>
        <v>0.11878350906442303</v>
      </c>
      <c r="Q17" s="39">
        <f t="shared" si="7"/>
        <v>2942.1704953000008</v>
      </c>
      <c r="R17" s="39">
        <f t="shared" si="7"/>
        <v>717.1628755000005</v>
      </c>
      <c r="S17" s="50">
        <f t="shared" si="8"/>
        <v>0.2437529968591689</v>
      </c>
      <c r="U17" s="40">
        <f t="shared" si="14"/>
        <v>708.61283020000099</v>
      </c>
      <c r="V17" s="40">
        <f t="shared" si="11"/>
        <v>425.35311149999939</v>
      </c>
      <c r="W17" s="40">
        <f t="shared" si="12"/>
        <v>107.37090529999993</v>
      </c>
      <c r="X17" s="40">
        <f t="shared" si="13"/>
        <v>876.61904949999985</v>
      </c>
    </row>
    <row r="18" spans="1:24" ht="36" hidden="1" customHeight="1" x14ac:dyDescent="0.35">
      <c r="A18" s="37" t="s">
        <v>337</v>
      </c>
      <c r="B18" s="39">
        <v>918.56641310000043</v>
      </c>
      <c r="C18" s="39">
        <v>243.98984069999997</v>
      </c>
      <c r="D18" s="50">
        <f t="shared" si="2"/>
        <v>0.26562025044719095</v>
      </c>
      <c r="E18" s="39">
        <v>606.96808189999911</v>
      </c>
      <c r="F18" s="39">
        <v>229.7358718000003</v>
      </c>
      <c r="G18" s="50">
        <f t="shared" si="3"/>
        <v>0.37849745093820336</v>
      </c>
      <c r="H18" s="39">
        <v>361.42592819999999</v>
      </c>
      <c r="I18" s="39">
        <v>31.343609899999997</v>
      </c>
      <c r="J18" s="50">
        <f t="shared" si="4"/>
        <v>8.6722084539146788E-2</v>
      </c>
      <c r="K18" s="39">
        <v>301.4399889</v>
      </c>
      <c r="L18" s="39">
        <v>102.49563389999999</v>
      </c>
      <c r="M18" s="50">
        <f t="shared" si="5"/>
        <v>0.34002002943943177</v>
      </c>
      <c r="N18" s="39">
        <v>1389.5510381999993</v>
      </c>
      <c r="O18" s="39">
        <v>108.90617470000036</v>
      </c>
      <c r="P18" s="50">
        <f t="shared" si="6"/>
        <v>7.8375080659919882E-2</v>
      </c>
      <c r="Q18" s="39">
        <f t="shared" si="7"/>
        <v>3577.9514502999987</v>
      </c>
      <c r="R18" s="39">
        <f t="shared" si="7"/>
        <v>716.4711310000007</v>
      </c>
      <c r="S18" s="50">
        <f t="shared" si="8"/>
        <v>0.20024618582790638</v>
      </c>
      <c r="U18" s="40">
        <f t="shared" si="14"/>
        <v>674.57657240000049</v>
      </c>
      <c r="V18" s="40">
        <f t="shared" si="11"/>
        <v>377.23221009999884</v>
      </c>
      <c r="W18" s="40">
        <f t="shared" si="12"/>
        <v>198.94435500000003</v>
      </c>
      <c r="X18" s="40">
        <f t="shared" si="13"/>
        <v>1280.644863499999</v>
      </c>
    </row>
    <row r="19" spans="1:24" ht="36" customHeight="1" x14ac:dyDescent="0.35">
      <c r="A19" s="37" t="s">
        <v>338</v>
      </c>
      <c r="B19" s="39">
        <v>1042.4672761999996</v>
      </c>
      <c r="C19" s="39">
        <v>268.08445409999996</v>
      </c>
      <c r="D19" s="50">
        <f t="shared" si="2"/>
        <v>0.25716342394671715</v>
      </c>
      <c r="E19" s="39">
        <v>495.61528959999993</v>
      </c>
      <c r="F19" s="39">
        <v>220.51257999999993</v>
      </c>
      <c r="G19" s="50">
        <f t="shared" si="3"/>
        <v>0.4449269113105262</v>
      </c>
      <c r="H19" s="39">
        <v>193.42996440000002</v>
      </c>
      <c r="I19" s="39">
        <v>53.99685749999999</v>
      </c>
      <c r="J19" s="50">
        <f t="shared" si="4"/>
        <v>0.27915456463786636</v>
      </c>
      <c r="K19" s="39">
        <v>198.6878327</v>
      </c>
      <c r="L19" s="39">
        <v>101.95364669999999</v>
      </c>
      <c r="M19" s="50">
        <f t="shared" si="5"/>
        <v>0.51313482720373949</v>
      </c>
      <c r="N19" s="39">
        <v>1578.6290186999997</v>
      </c>
      <c r="O19" s="39">
        <v>148.92672300000027</v>
      </c>
      <c r="P19" s="50">
        <f t="shared" si="6"/>
        <v>9.433927872594243E-2</v>
      </c>
      <c r="Q19" s="39">
        <f t="shared" si="7"/>
        <v>3508.8293815999991</v>
      </c>
      <c r="R19" s="39">
        <f t="shared" si="7"/>
        <v>793.47426130000019</v>
      </c>
      <c r="S19" s="50">
        <f t="shared" si="8"/>
        <v>0.22613646176725244</v>
      </c>
      <c r="U19" s="40">
        <f t="shared" si="14"/>
        <v>774.38282209999966</v>
      </c>
      <c r="V19" s="40">
        <f t="shared" si="11"/>
        <v>275.10270960000003</v>
      </c>
      <c r="W19" s="40">
        <f t="shared" si="12"/>
        <v>96.734186000000008</v>
      </c>
      <c r="X19" s="40">
        <f t="shared" si="13"/>
        <v>1429.7022956999995</v>
      </c>
    </row>
    <row r="20" spans="1:24" ht="36" hidden="1" customHeight="1" x14ac:dyDescent="0.35">
      <c r="A20" s="37" t="s">
        <v>339</v>
      </c>
      <c r="B20" s="39">
        <v>938.08397289999994</v>
      </c>
      <c r="C20" s="39">
        <v>266.74389149999996</v>
      </c>
      <c r="D20" s="50">
        <f t="shared" si="2"/>
        <v>0.28434969491631529</v>
      </c>
      <c r="E20" s="39">
        <v>510.92138309999973</v>
      </c>
      <c r="F20" s="39">
        <v>202.44703080000011</v>
      </c>
      <c r="G20" s="50">
        <f t="shared" si="3"/>
        <v>0.39623910350288921</v>
      </c>
      <c r="H20" s="39">
        <v>345.49991180000001</v>
      </c>
      <c r="I20" s="39">
        <v>48.180510299999995</v>
      </c>
      <c r="J20" s="50">
        <f t="shared" si="4"/>
        <v>0.13945158494827725</v>
      </c>
      <c r="K20" s="39">
        <v>207.8794773999999</v>
      </c>
      <c r="L20" s="39">
        <v>100.56656400000003</v>
      </c>
      <c r="M20" s="50">
        <f t="shared" si="5"/>
        <v>0.48377341167974319</v>
      </c>
      <c r="N20" s="39">
        <v>960.47505509999974</v>
      </c>
      <c r="O20" s="39">
        <v>203.38317240000057</v>
      </c>
      <c r="P20" s="50">
        <f t="shared" si="6"/>
        <v>0.21175268563203378</v>
      </c>
      <c r="Q20" s="39">
        <f t="shared" si="7"/>
        <v>2962.8598002999993</v>
      </c>
      <c r="R20" s="39">
        <f t="shared" si="7"/>
        <v>821.32116900000074</v>
      </c>
      <c r="S20" s="50">
        <f t="shared" si="8"/>
        <v>0.27720554611353504</v>
      </c>
      <c r="U20" s="40">
        <f t="shared" si="14"/>
        <v>671.34008139999992</v>
      </c>
      <c r="V20" s="40">
        <f t="shared" si="11"/>
        <v>308.47435229999962</v>
      </c>
      <c r="W20" s="40">
        <f t="shared" si="12"/>
        <v>107.31291339999987</v>
      </c>
      <c r="X20" s="40">
        <f t="shared" si="13"/>
        <v>757.09188269999913</v>
      </c>
    </row>
    <row r="21" spans="1:24" ht="36" hidden="1" customHeight="1" x14ac:dyDescent="0.35">
      <c r="A21" s="37" t="s">
        <v>379</v>
      </c>
      <c r="B21" s="39">
        <v>914.30685819999997</v>
      </c>
      <c r="C21" s="39">
        <v>260.85131539999981</v>
      </c>
      <c r="D21" s="50">
        <f t="shared" ref="D21:D27" si="15">C21/B21</f>
        <v>0.2852995283372794</v>
      </c>
      <c r="E21" s="39">
        <v>586.40044229999978</v>
      </c>
      <c r="F21" s="39">
        <v>186.9009155</v>
      </c>
      <c r="G21" s="50">
        <f t="shared" ref="G21:G27" si="16">F21/E21</f>
        <v>0.31872574100887591</v>
      </c>
      <c r="H21" s="39">
        <v>806.9964827</v>
      </c>
      <c r="I21" s="39">
        <v>35.451548299999999</v>
      </c>
      <c r="J21" s="50">
        <f t="shared" ref="J21:J27" si="17">I21/H21</f>
        <v>4.3930238929156609E-2</v>
      </c>
      <c r="K21" s="39">
        <v>242.23008789999992</v>
      </c>
      <c r="L21" s="39">
        <v>98.28739360000003</v>
      </c>
      <c r="M21" s="50">
        <f t="shared" ref="M21:M27" si="18">L21/K21</f>
        <v>0.40576046705055119</v>
      </c>
      <c r="N21" s="39">
        <v>682.40011790000005</v>
      </c>
      <c r="O21" s="39">
        <v>98.766520999999585</v>
      </c>
      <c r="P21" s="50">
        <f t="shared" ref="P21:P27" si="19">O21/N21</f>
        <v>0.14473403273132637</v>
      </c>
      <c r="Q21" s="39">
        <f t="shared" ref="Q21:R27" si="20">B21+E21+H21+K21+N21</f>
        <v>3232.3339889999997</v>
      </c>
      <c r="R21" s="39">
        <f t="shared" si="20"/>
        <v>680.2576937999994</v>
      </c>
      <c r="S21" s="50">
        <f t="shared" ref="S21:S27" si="21">R21/Q21</f>
        <v>0.21045402366060986</v>
      </c>
      <c r="U21" s="40">
        <f>B21-C21</f>
        <v>653.4555428000001</v>
      </c>
      <c r="V21" s="40">
        <f t="shared" si="11"/>
        <v>399.49952679999978</v>
      </c>
      <c r="W21" s="40">
        <f t="shared" si="12"/>
        <v>143.94269429999989</v>
      </c>
      <c r="X21" s="40">
        <f>N21-O21</f>
        <v>583.6335969000005</v>
      </c>
    </row>
    <row r="22" spans="1:24" ht="36" customHeight="1" x14ac:dyDescent="0.35">
      <c r="A22" s="37" t="s">
        <v>380</v>
      </c>
      <c r="B22" s="39">
        <v>1003.4331837000001</v>
      </c>
      <c r="C22" s="39">
        <v>291.17582759999999</v>
      </c>
      <c r="D22" s="50">
        <f t="shared" si="15"/>
        <v>0.29017958776919806</v>
      </c>
      <c r="E22" s="39">
        <v>718.15696680000042</v>
      </c>
      <c r="F22" s="39">
        <v>213.65101610000019</v>
      </c>
      <c r="G22" s="50">
        <f t="shared" si="16"/>
        <v>0.29749905101108609</v>
      </c>
      <c r="H22" s="39">
        <v>798.9691418000001</v>
      </c>
      <c r="I22" s="39">
        <v>31.487114499999997</v>
      </c>
      <c r="J22" s="50">
        <f t="shared" si="17"/>
        <v>3.9409675358753629E-2</v>
      </c>
      <c r="K22" s="39">
        <v>174.95409690000002</v>
      </c>
      <c r="L22" s="39">
        <v>90.262461700000003</v>
      </c>
      <c r="M22" s="50">
        <f t="shared" si="18"/>
        <v>0.51592082322937582</v>
      </c>
      <c r="N22" s="39">
        <v>542.9041251000001</v>
      </c>
      <c r="O22" s="39">
        <v>48.465068099999883</v>
      </c>
      <c r="P22" s="50">
        <f t="shared" si="19"/>
        <v>8.9270031041066178E-2</v>
      </c>
      <c r="Q22" s="39">
        <f t="shared" si="20"/>
        <v>3238.4175143000011</v>
      </c>
      <c r="R22" s="39">
        <f t="shared" si="20"/>
        <v>675.04148800000007</v>
      </c>
      <c r="S22" s="50">
        <f t="shared" si="21"/>
        <v>0.20844794873397088</v>
      </c>
      <c r="U22" s="40">
        <f>B22-C22</f>
        <v>712.25735610000015</v>
      </c>
      <c r="V22" s="40">
        <f t="shared" si="11"/>
        <v>504.5059507000002</v>
      </c>
      <c r="W22" s="40">
        <f t="shared" si="12"/>
        <v>84.691635200000022</v>
      </c>
      <c r="X22" s="40">
        <f>N22-O22</f>
        <v>494.43905700000022</v>
      </c>
    </row>
    <row r="23" spans="1:24" ht="36" hidden="1" customHeight="1" x14ac:dyDescent="0.35">
      <c r="A23" s="37" t="s">
        <v>381</v>
      </c>
      <c r="B23" s="39">
        <v>1298.7895133</v>
      </c>
      <c r="C23" s="39">
        <v>248.60876769999987</v>
      </c>
      <c r="D23" s="50">
        <f t="shared" si="15"/>
        <v>0.19141574916810647</v>
      </c>
      <c r="E23" s="39">
        <v>697.1138707999994</v>
      </c>
      <c r="F23" s="39">
        <v>234.97050490000021</v>
      </c>
      <c r="G23" s="50">
        <f t="shared" si="16"/>
        <v>0.33706187000747945</v>
      </c>
      <c r="H23" s="39">
        <v>523.4930306</v>
      </c>
      <c r="I23" s="39">
        <v>30.325952099999995</v>
      </c>
      <c r="J23" s="50">
        <f t="shared" si="17"/>
        <v>5.793000159952845E-2</v>
      </c>
      <c r="K23" s="39">
        <v>187.04736679999996</v>
      </c>
      <c r="L23" s="39">
        <v>87.204846199999992</v>
      </c>
      <c r="M23" s="50">
        <f t="shared" si="18"/>
        <v>0.46621798366850897</v>
      </c>
      <c r="N23" s="39">
        <v>868.36401420000027</v>
      </c>
      <c r="O23" s="39">
        <v>70.242375300000489</v>
      </c>
      <c r="P23" s="50">
        <f t="shared" si="19"/>
        <v>8.0890472372594627E-2</v>
      </c>
      <c r="Q23" s="39">
        <f t="shared" si="20"/>
        <v>3574.8077956999996</v>
      </c>
      <c r="R23" s="39">
        <f t="shared" si="20"/>
        <v>671.3524462000006</v>
      </c>
      <c r="S23" s="50">
        <f t="shared" si="21"/>
        <v>0.18780099086936783</v>
      </c>
      <c r="U23" s="40">
        <f>B23-C23</f>
        <v>1050.1807456000001</v>
      </c>
      <c r="V23" s="40">
        <f t="shared" si="11"/>
        <v>462.1433658999992</v>
      </c>
      <c r="W23" s="40">
        <f t="shared" si="12"/>
        <v>99.842520599999972</v>
      </c>
      <c r="X23" s="40">
        <f>N23-O23</f>
        <v>798.12163889999977</v>
      </c>
    </row>
    <row r="24" spans="1:24" ht="36" hidden="1" customHeight="1" x14ac:dyDescent="0.35">
      <c r="A24" s="37" t="s">
        <v>382</v>
      </c>
      <c r="B24" s="39">
        <v>1302.2806993999995</v>
      </c>
      <c r="C24" s="39">
        <v>236.62720429999976</v>
      </c>
      <c r="D24" s="50">
        <f t="shared" si="15"/>
        <v>0.18170215101016327</v>
      </c>
      <c r="E24" s="39">
        <v>798.05986829999972</v>
      </c>
      <c r="F24" s="39">
        <v>259.85736430000009</v>
      </c>
      <c r="G24" s="50">
        <f t="shared" si="16"/>
        <v>0.32561136654263734</v>
      </c>
      <c r="H24" s="39">
        <v>584.27593059999992</v>
      </c>
      <c r="I24" s="39">
        <v>168.90588909999997</v>
      </c>
      <c r="J24" s="50">
        <f t="shared" si="17"/>
        <v>0.28908582444350994</v>
      </c>
      <c r="K24" s="39">
        <v>369.84986780000003</v>
      </c>
      <c r="L24" s="39">
        <v>77.98093590000002</v>
      </c>
      <c r="M24" s="50">
        <f t="shared" si="18"/>
        <v>0.21084483918801611</v>
      </c>
      <c r="N24" s="39">
        <v>714.43682420000016</v>
      </c>
      <c r="O24" s="39">
        <v>58.638161900000249</v>
      </c>
      <c r="P24" s="50">
        <f t="shared" si="19"/>
        <v>8.2076063150385736E-2</v>
      </c>
      <c r="Q24" s="39">
        <f t="shared" si="20"/>
        <v>3768.9031902999991</v>
      </c>
      <c r="R24" s="39">
        <f t="shared" si="20"/>
        <v>802.00955550000015</v>
      </c>
      <c r="S24" s="50">
        <f t="shared" si="21"/>
        <v>0.21279653920645317</v>
      </c>
      <c r="U24" s="40">
        <f>B24-C24</f>
        <v>1065.6534950999999</v>
      </c>
      <c r="V24" s="40">
        <f t="shared" si="11"/>
        <v>538.20250399999964</v>
      </c>
      <c r="W24" s="40">
        <f t="shared" si="12"/>
        <v>291.86893190000001</v>
      </c>
      <c r="X24" s="40">
        <f>N24-O24</f>
        <v>655.79866229999993</v>
      </c>
    </row>
    <row r="25" spans="1:24" ht="36" customHeight="1" x14ac:dyDescent="0.35">
      <c r="A25" s="37" t="s">
        <v>383</v>
      </c>
      <c r="B25" s="39">
        <v>1077.2565537000012</v>
      </c>
      <c r="C25" s="39">
        <v>332.34894000000003</v>
      </c>
      <c r="D25" s="50">
        <f t="shared" si="15"/>
        <v>0.30851419641727601</v>
      </c>
      <c r="E25" s="39">
        <v>742.00697449999916</v>
      </c>
      <c r="F25" s="39">
        <v>251.35655100000008</v>
      </c>
      <c r="G25" s="50">
        <f t="shared" si="16"/>
        <v>0.33875227543430642</v>
      </c>
      <c r="H25" s="39">
        <v>552.43067770000005</v>
      </c>
      <c r="I25" s="39">
        <v>135.25991769999999</v>
      </c>
      <c r="J25" s="50">
        <f t="shared" si="17"/>
        <v>0.24484505144273233</v>
      </c>
      <c r="K25" s="39">
        <v>302.8840179999998</v>
      </c>
      <c r="L25" s="39">
        <v>32.036556600000004</v>
      </c>
      <c r="M25" s="50">
        <f t="shared" si="18"/>
        <v>0.10577169707250789</v>
      </c>
      <c r="N25" s="39">
        <v>1055.2337862999996</v>
      </c>
      <c r="O25" s="39">
        <v>80.77381370000019</v>
      </c>
      <c r="P25" s="50">
        <f t="shared" si="19"/>
        <v>7.6545894140880408E-2</v>
      </c>
      <c r="Q25" s="39">
        <f t="shared" si="20"/>
        <v>3729.8120101999993</v>
      </c>
      <c r="R25" s="39">
        <f t="shared" si="20"/>
        <v>831.7757790000004</v>
      </c>
      <c r="S25" s="50">
        <f t="shared" si="21"/>
        <v>0.22300742684224428</v>
      </c>
      <c r="U25" s="40"/>
      <c r="V25" s="40"/>
      <c r="W25" s="40"/>
      <c r="X25" s="40"/>
    </row>
    <row r="26" spans="1:24" ht="36" customHeight="1" x14ac:dyDescent="0.35">
      <c r="A26" s="37" t="s">
        <v>384</v>
      </c>
      <c r="B26" s="39">
        <v>965.31802130000051</v>
      </c>
      <c r="C26" s="39">
        <v>315.76901849999985</v>
      </c>
      <c r="D26" s="50">
        <f t="shared" si="15"/>
        <v>0.32711397853605956</v>
      </c>
      <c r="E26" s="39">
        <v>722.83523189999994</v>
      </c>
      <c r="F26" s="39">
        <v>250.36999260000013</v>
      </c>
      <c r="G26" s="50">
        <f t="shared" si="16"/>
        <v>0.34637214893620094</v>
      </c>
      <c r="H26" s="39">
        <v>708.68584840000005</v>
      </c>
      <c r="I26" s="39">
        <v>134.71739210000001</v>
      </c>
      <c r="J26" s="50">
        <f t="shared" si="17"/>
        <v>0.19009465534573811</v>
      </c>
      <c r="K26" s="39">
        <v>201.86647150000002</v>
      </c>
      <c r="L26" s="39">
        <v>41.619519100000005</v>
      </c>
      <c r="M26" s="50">
        <f t="shared" si="18"/>
        <v>0.20617351059212427</v>
      </c>
      <c r="N26" s="39">
        <v>638.28548169999988</v>
      </c>
      <c r="O26" s="39">
        <v>80.746411500000008</v>
      </c>
      <c r="P26" s="50">
        <f t="shared" si="19"/>
        <v>0.12650516706872486</v>
      </c>
      <c r="Q26" s="39">
        <f t="shared" si="20"/>
        <v>3236.9910548000003</v>
      </c>
      <c r="R26" s="39">
        <f t="shared" si="20"/>
        <v>823.2223338</v>
      </c>
      <c r="S26" s="50">
        <f t="shared" si="21"/>
        <v>0.25431714819825579</v>
      </c>
      <c r="U26" s="40"/>
      <c r="V26" s="40"/>
      <c r="W26" s="40"/>
      <c r="X26" s="40"/>
    </row>
    <row r="27" spans="1:24" ht="36" customHeight="1" x14ac:dyDescent="0.35">
      <c r="A27" s="37" t="s">
        <v>385</v>
      </c>
      <c r="B27" s="39">
        <v>853.13554239999985</v>
      </c>
      <c r="C27" s="39">
        <v>326.11171849999999</v>
      </c>
      <c r="D27" s="50">
        <f t="shared" si="15"/>
        <v>0.38225077058986218</v>
      </c>
      <c r="E27" s="39">
        <v>645.11364510000033</v>
      </c>
      <c r="F27" s="39">
        <v>247.83529520000008</v>
      </c>
      <c r="G27" s="50">
        <f t="shared" si="16"/>
        <v>0.38417307877836415</v>
      </c>
      <c r="H27" s="39">
        <v>580.83901500000013</v>
      </c>
      <c r="I27" s="39">
        <v>180.29225550000001</v>
      </c>
      <c r="J27" s="50">
        <f t="shared" si="17"/>
        <v>0.31039969913178089</v>
      </c>
      <c r="K27" s="39">
        <v>235.87141689999999</v>
      </c>
      <c r="L27" s="39">
        <v>42.451262499999991</v>
      </c>
      <c r="M27" s="50">
        <f t="shared" si="18"/>
        <v>0.17997628986982184</v>
      </c>
      <c r="N27" s="39">
        <v>924.08893569999998</v>
      </c>
      <c r="O27" s="39">
        <v>66.595832500000085</v>
      </c>
      <c r="P27" s="50">
        <f t="shared" si="19"/>
        <v>7.2066475343689249E-2</v>
      </c>
      <c r="Q27" s="39">
        <f t="shared" si="20"/>
        <v>3239.0485551000002</v>
      </c>
      <c r="R27" s="39">
        <f t="shared" si="20"/>
        <v>863.28636420000021</v>
      </c>
      <c r="S27" s="50">
        <f t="shared" si="21"/>
        <v>0.26652467522931211</v>
      </c>
      <c r="U27" s="40"/>
      <c r="V27" s="40"/>
      <c r="W27" s="40"/>
      <c r="X27" s="40"/>
    </row>
    <row r="28" spans="1:24" ht="36" customHeight="1" x14ac:dyDescent="0.35">
      <c r="A28" s="37" t="s">
        <v>386</v>
      </c>
      <c r="B28" s="39">
        <v>927.35498419999942</v>
      </c>
      <c r="C28" s="39">
        <v>320.48484299999996</v>
      </c>
      <c r="D28" s="50">
        <f t="shared" ref="D28" si="22">C28/B28</f>
        <v>0.34559025234168805</v>
      </c>
      <c r="E28" s="39">
        <v>730.90769390000025</v>
      </c>
      <c r="F28" s="39">
        <v>189.51926959999994</v>
      </c>
      <c r="G28" s="50">
        <f t="shared" ref="G28" si="23">F28/E28</f>
        <v>0.25929302862958942</v>
      </c>
      <c r="H28" s="39">
        <v>438.47938170000003</v>
      </c>
      <c r="I28" s="39">
        <v>184.52418470000006</v>
      </c>
      <c r="J28" s="50">
        <f t="shared" ref="J28" si="24">I28/H28</f>
        <v>0.42082750615226944</v>
      </c>
      <c r="K28" s="39">
        <v>232.33544949999998</v>
      </c>
      <c r="L28" s="39">
        <v>26.49957980000001</v>
      </c>
      <c r="M28" s="50">
        <f t="shared" ref="M28" si="25">L28/K28</f>
        <v>0.11405741076976723</v>
      </c>
      <c r="N28" s="39">
        <v>810.72983010000019</v>
      </c>
      <c r="O28" s="39">
        <v>77.648071100000138</v>
      </c>
      <c r="P28" s="50">
        <f t="shared" ref="P28" si="26">O28/N28</f>
        <v>9.5775520052620453E-2</v>
      </c>
      <c r="Q28" s="39">
        <f t="shared" ref="Q28" si="27">B28+E28+H28+K28+N28</f>
        <v>3139.8073393999998</v>
      </c>
      <c r="R28" s="39">
        <f t="shared" ref="R28" si="28">C28+F28+I28+L28+O28</f>
        <v>798.67594820000011</v>
      </c>
      <c r="S28" s="50">
        <f t="shared" ref="S28" si="29">R28/Q28</f>
        <v>0.25437100492688919</v>
      </c>
      <c r="U28" s="40"/>
      <c r="V28" s="40"/>
      <c r="W28" s="40"/>
      <c r="X28" s="40"/>
    </row>
    <row r="29" spans="1:24" x14ac:dyDescent="0.35">
      <c r="A29" s="41" t="s">
        <v>494</v>
      </c>
      <c r="P29" s="40"/>
      <c r="R29" s="40"/>
    </row>
    <row r="30" spans="1:24" x14ac:dyDescent="0.35">
      <c r="A30" s="41" t="s">
        <v>259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24" x14ac:dyDescent="0.35">
      <c r="A31" s="41"/>
    </row>
    <row r="32" spans="1:24" x14ac:dyDescent="0.35">
      <c r="A32" s="41"/>
    </row>
    <row r="33" spans="1:1" x14ac:dyDescent="0.35">
      <c r="A33" s="41"/>
    </row>
  </sheetData>
  <mergeCells count="6">
    <mergeCell ref="Q2:S2"/>
    <mergeCell ref="B2:D2"/>
    <mergeCell ref="E2:G2"/>
    <mergeCell ref="H2:J2"/>
    <mergeCell ref="K2:M2"/>
    <mergeCell ref="N2:P2"/>
  </mergeCells>
  <conditionalFormatting sqref="B5">
    <cfRule type="cellIs" dxfId="1198" priority="689" operator="lessThan">
      <formula>B4</formula>
    </cfRule>
    <cfRule type="cellIs" dxfId="1197" priority="690" operator="greaterThan">
      <formula>B4</formula>
    </cfRule>
  </conditionalFormatting>
  <conditionalFormatting sqref="B6:B13">
    <cfRule type="cellIs" dxfId="1196" priority="687" operator="lessThan">
      <formula>B5</formula>
    </cfRule>
    <cfRule type="cellIs" dxfId="1195" priority="688" operator="greaterThan">
      <formula>B5</formula>
    </cfRule>
  </conditionalFormatting>
  <conditionalFormatting sqref="C5">
    <cfRule type="cellIs" dxfId="1194" priority="685" operator="lessThan">
      <formula>C4</formula>
    </cfRule>
    <cfRule type="cellIs" dxfId="1193" priority="686" operator="greaterThan">
      <formula>C4</formula>
    </cfRule>
  </conditionalFormatting>
  <conditionalFormatting sqref="C6:C13">
    <cfRule type="cellIs" dxfId="1192" priority="683" operator="lessThan">
      <formula>C5</formula>
    </cfRule>
    <cfRule type="cellIs" dxfId="1191" priority="684" operator="greaterThan">
      <formula>C5</formula>
    </cfRule>
  </conditionalFormatting>
  <conditionalFormatting sqref="D5">
    <cfRule type="cellIs" dxfId="1190" priority="681" operator="lessThan">
      <formula>D4</formula>
    </cfRule>
    <cfRule type="cellIs" dxfId="1189" priority="682" operator="greaterThan">
      <formula>D4</formula>
    </cfRule>
  </conditionalFormatting>
  <conditionalFormatting sqref="D6:D13">
    <cfRule type="cellIs" dxfId="1188" priority="679" operator="lessThan">
      <formula>D5</formula>
    </cfRule>
    <cfRule type="cellIs" dxfId="1187" priority="680" operator="greaterThan">
      <formula>D5</formula>
    </cfRule>
  </conditionalFormatting>
  <conditionalFormatting sqref="E5">
    <cfRule type="cellIs" dxfId="1186" priority="677" operator="lessThan">
      <formula>E4</formula>
    </cfRule>
    <cfRule type="cellIs" dxfId="1185" priority="678" operator="greaterThan">
      <formula>E4</formula>
    </cfRule>
  </conditionalFormatting>
  <conditionalFormatting sqref="E6:E13">
    <cfRule type="cellIs" dxfId="1184" priority="675" operator="lessThan">
      <formula>E5</formula>
    </cfRule>
    <cfRule type="cellIs" dxfId="1183" priority="676" operator="greaterThan">
      <formula>E5</formula>
    </cfRule>
  </conditionalFormatting>
  <conditionalFormatting sqref="F5">
    <cfRule type="cellIs" dxfId="1182" priority="673" operator="lessThan">
      <formula>F4</formula>
    </cfRule>
    <cfRule type="cellIs" dxfId="1181" priority="674" operator="greaterThan">
      <formula>F4</formula>
    </cfRule>
  </conditionalFormatting>
  <conditionalFormatting sqref="F6:F13">
    <cfRule type="cellIs" dxfId="1180" priority="671" operator="lessThan">
      <formula>F5</formula>
    </cfRule>
    <cfRule type="cellIs" dxfId="1179" priority="672" operator="greaterThan">
      <formula>F5</formula>
    </cfRule>
  </conditionalFormatting>
  <conditionalFormatting sqref="G5">
    <cfRule type="cellIs" dxfId="1178" priority="669" operator="lessThan">
      <formula>G4</formula>
    </cfRule>
    <cfRule type="cellIs" dxfId="1177" priority="670" operator="greaterThan">
      <formula>G4</formula>
    </cfRule>
  </conditionalFormatting>
  <conditionalFormatting sqref="G6:G13">
    <cfRule type="cellIs" dxfId="1176" priority="667" operator="lessThan">
      <formula>G5</formula>
    </cfRule>
    <cfRule type="cellIs" dxfId="1175" priority="668" operator="greaterThan">
      <formula>G5</formula>
    </cfRule>
  </conditionalFormatting>
  <conditionalFormatting sqref="K5">
    <cfRule type="cellIs" dxfId="1174" priority="665" operator="lessThan">
      <formula>K4</formula>
    </cfRule>
    <cfRule type="cellIs" dxfId="1173" priority="666" operator="greaterThan">
      <formula>K4</formula>
    </cfRule>
  </conditionalFormatting>
  <conditionalFormatting sqref="K6:K13">
    <cfRule type="cellIs" dxfId="1172" priority="663" operator="lessThan">
      <formula>K5</formula>
    </cfRule>
    <cfRule type="cellIs" dxfId="1171" priority="664" operator="greaterThan">
      <formula>K5</formula>
    </cfRule>
  </conditionalFormatting>
  <conditionalFormatting sqref="L5">
    <cfRule type="cellIs" dxfId="1170" priority="661" operator="lessThan">
      <formula>L4</formula>
    </cfRule>
    <cfRule type="cellIs" dxfId="1169" priority="662" operator="greaterThan">
      <formula>L4</formula>
    </cfRule>
  </conditionalFormatting>
  <conditionalFormatting sqref="L6:L13">
    <cfRule type="cellIs" dxfId="1168" priority="659" operator="lessThan">
      <formula>L5</formula>
    </cfRule>
    <cfRule type="cellIs" dxfId="1167" priority="660" operator="greaterThan">
      <formula>L5</formula>
    </cfRule>
  </conditionalFormatting>
  <conditionalFormatting sqref="M5">
    <cfRule type="cellIs" dxfId="1166" priority="657" operator="lessThan">
      <formula>M4</formula>
    </cfRule>
    <cfRule type="cellIs" dxfId="1165" priority="658" operator="greaterThan">
      <formula>M4</formula>
    </cfRule>
  </conditionalFormatting>
  <conditionalFormatting sqref="M6:M13">
    <cfRule type="cellIs" dxfId="1164" priority="655" operator="lessThan">
      <formula>M5</formula>
    </cfRule>
    <cfRule type="cellIs" dxfId="1163" priority="656" operator="greaterThan">
      <formula>M5</formula>
    </cfRule>
  </conditionalFormatting>
  <conditionalFormatting sqref="N5">
    <cfRule type="cellIs" dxfId="1162" priority="653" operator="lessThan">
      <formula>N4</formula>
    </cfRule>
    <cfRule type="cellIs" dxfId="1161" priority="654" operator="greaterThan">
      <formula>N4</formula>
    </cfRule>
  </conditionalFormatting>
  <conditionalFormatting sqref="N6:N13">
    <cfRule type="cellIs" dxfId="1160" priority="651" operator="lessThan">
      <formula>N5</formula>
    </cfRule>
    <cfRule type="cellIs" dxfId="1159" priority="652" operator="greaterThan">
      <formula>N5</formula>
    </cfRule>
  </conditionalFormatting>
  <conditionalFormatting sqref="O5">
    <cfRule type="cellIs" dxfId="1158" priority="649" operator="lessThan">
      <formula>O4</formula>
    </cfRule>
    <cfRule type="cellIs" dxfId="1157" priority="650" operator="greaterThan">
      <formula>O4</formula>
    </cfRule>
  </conditionalFormatting>
  <conditionalFormatting sqref="O6:O13">
    <cfRule type="cellIs" dxfId="1156" priority="647" operator="lessThan">
      <formula>O5</formula>
    </cfRule>
    <cfRule type="cellIs" dxfId="1155" priority="648" operator="greaterThan">
      <formula>O5</formula>
    </cfRule>
  </conditionalFormatting>
  <conditionalFormatting sqref="P5">
    <cfRule type="cellIs" dxfId="1154" priority="645" operator="lessThan">
      <formula>P4</formula>
    </cfRule>
    <cfRule type="cellIs" dxfId="1153" priority="646" operator="greaterThan">
      <formula>P4</formula>
    </cfRule>
  </conditionalFormatting>
  <conditionalFormatting sqref="P6:P13">
    <cfRule type="cellIs" dxfId="1152" priority="643" operator="lessThan">
      <formula>P5</formula>
    </cfRule>
    <cfRule type="cellIs" dxfId="1151" priority="644" operator="greaterThan">
      <formula>P5</formula>
    </cfRule>
  </conditionalFormatting>
  <conditionalFormatting sqref="Q5">
    <cfRule type="cellIs" dxfId="1150" priority="641" operator="lessThan">
      <formula>Q4</formula>
    </cfRule>
    <cfRule type="cellIs" dxfId="1149" priority="642" operator="greaterThan">
      <formula>Q4</formula>
    </cfRule>
  </conditionalFormatting>
  <conditionalFormatting sqref="Q6:Q13">
    <cfRule type="cellIs" dxfId="1148" priority="639" operator="lessThan">
      <formula>Q5</formula>
    </cfRule>
    <cfRule type="cellIs" dxfId="1147" priority="640" operator="greaterThan">
      <formula>Q5</formula>
    </cfRule>
  </conditionalFormatting>
  <conditionalFormatting sqref="R5">
    <cfRule type="cellIs" dxfId="1146" priority="637" operator="lessThan">
      <formula>R4</formula>
    </cfRule>
    <cfRule type="cellIs" dxfId="1145" priority="638" operator="greaterThan">
      <formula>R4</formula>
    </cfRule>
  </conditionalFormatting>
  <conditionalFormatting sqref="R6:R13">
    <cfRule type="cellIs" dxfId="1144" priority="635" operator="lessThan">
      <formula>R5</formula>
    </cfRule>
    <cfRule type="cellIs" dxfId="1143" priority="636" operator="greaterThan">
      <formula>R5</formula>
    </cfRule>
  </conditionalFormatting>
  <conditionalFormatting sqref="S5">
    <cfRule type="cellIs" dxfId="1142" priority="633" operator="lessThan">
      <formula>S4</formula>
    </cfRule>
    <cfRule type="cellIs" dxfId="1141" priority="634" operator="greaterThan">
      <formula>S4</formula>
    </cfRule>
  </conditionalFormatting>
  <conditionalFormatting sqref="S6:S13">
    <cfRule type="cellIs" dxfId="1140" priority="631" operator="lessThan">
      <formula>S5</formula>
    </cfRule>
    <cfRule type="cellIs" dxfId="1139" priority="632" operator="greaterThan">
      <formula>S5</formula>
    </cfRule>
  </conditionalFormatting>
  <conditionalFormatting sqref="B14">
    <cfRule type="cellIs" dxfId="1138" priority="629" operator="lessThan">
      <formula>B13</formula>
    </cfRule>
    <cfRule type="cellIs" dxfId="1137" priority="630" operator="greaterThan">
      <formula>B13</formula>
    </cfRule>
  </conditionalFormatting>
  <conditionalFormatting sqref="C14">
    <cfRule type="cellIs" dxfId="1136" priority="627" operator="lessThan">
      <formula>C13</formula>
    </cfRule>
    <cfRule type="cellIs" dxfId="1135" priority="628" operator="greaterThan">
      <formula>C13</formula>
    </cfRule>
  </conditionalFormatting>
  <conditionalFormatting sqref="D14">
    <cfRule type="cellIs" dxfId="1134" priority="625" operator="lessThan">
      <formula>D13</formula>
    </cfRule>
    <cfRule type="cellIs" dxfId="1133" priority="626" operator="greaterThan">
      <formula>D13</formula>
    </cfRule>
  </conditionalFormatting>
  <conditionalFormatting sqref="E14">
    <cfRule type="cellIs" dxfId="1132" priority="623" operator="lessThan">
      <formula>E13</formula>
    </cfRule>
    <cfRule type="cellIs" dxfId="1131" priority="624" operator="greaterThan">
      <formula>E13</formula>
    </cfRule>
  </conditionalFormatting>
  <conditionalFormatting sqref="F14">
    <cfRule type="cellIs" dxfId="1130" priority="621" operator="lessThan">
      <formula>F13</formula>
    </cfRule>
    <cfRule type="cellIs" dxfId="1129" priority="622" operator="greaterThan">
      <formula>F13</formula>
    </cfRule>
  </conditionalFormatting>
  <conditionalFormatting sqref="G14">
    <cfRule type="cellIs" dxfId="1128" priority="619" operator="lessThan">
      <formula>G13</formula>
    </cfRule>
    <cfRule type="cellIs" dxfId="1127" priority="620" operator="greaterThan">
      <formula>G13</formula>
    </cfRule>
  </conditionalFormatting>
  <conditionalFormatting sqref="K14">
    <cfRule type="cellIs" dxfId="1126" priority="617" operator="lessThan">
      <formula>K13</formula>
    </cfRule>
    <cfRule type="cellIs" dxfId="1125" priority="618" operator="greaterThan">
      <formula>K13</formula>
    </cfRule>
  </conditionalFormatting>
  <conditionalFormatting sqref="L14">
    <cfRule type="cellIs" dxfId="1124" priority="615" operator="lessThan">
      <formula>L13</formula>
    </cfRule>
    <cfRule type="cellIs" dxfId="1123" priority="616" operator="greaterThan">
      <formula>L13</formula>
    </cfRule>
  </conditionalFormatting>
  <conditionalFormatting sqref="M14">
    <cfRule type="cellIs" dxfId="1122" priority="613" operator="lessThan">
      <formula>M13</formula>
    </cfRule>
    <cfRule type="cellIs" dxfId="1121" priority="614" operator="greaterThan">
      <formula>M13</formula>
    </cfRule>
  </conditionalFormatting>
  <conditionalFormatting sqref="N14">
    <cfRule type="cellIs" dxfId="1120" priority="611" operator="lessThan">
      <formula>N13</formula>
    </cfRule>
    <cfRule type="cellIs" dxfId="1119" priority="612" operator="greaterThan">
      <formula>N13</formula>
    </cfRule>
  </conditionalFormatting>
  <conditionalFormatting sqref="O14">
    <cfRule type="cellIs" dxfId="1118" priority="609" operator="lessThan">
      <formula>O13</formula>
    </cfRule>
    <cfRule type="cellIs" dxfId="1117" priority="610" operator="greaterThan">
      <formula>O13</formula>
    </cfRule>
  </conditionalFormatting>
  <conditionalFormatting sqref="P14">
    <cfRule type="cellIs" dxfId="1116" priority="607" operator="lessThan">
      <formula>P13</formula>
    </cfRule>
    <cfRule type="cellIs" dxfId="1115" priority="608" operator="greaterThan">
      <formula>P13</formula>
    </cfRule>
  </conditionalFormatting>
  <conditionalFormatting sqref="Q14">
    <cfRule type="cellIs" dxfId="1114" priority="605" operator="lessThan">
      <formula>Q13</formula>
    </cfRule>
    <cfRule type="cellIs" dxfId="1113" priority="606" operator="greaterThan">
      <formula>Q13</formula>
    </cfRule>
  </conditionalFormatting>
  <conditionalFormatting sqref="R14">
    <cfRule type="cellIs" dxfId="1112" priority="603" operator="lessThan">
      <formula>R13</formula>
    </cfRule>
    <cfRule type="cellIs" dxfId="1111" priority="604" operator="greaterThan">
      <formula>R13</formula>
    </cfRule>
  </conditionalFormatting>
  <conditionalFormatting sqref="S14">
    <cfRule type="cellIs" dxfId="1110" priority="601" operator="lessThan">
      <formula>S13</formula>
    </cfRule>
    <cfRule type="cellIs" dxfId="1109" priority="602" operator="greaterThan">
      <formula>S13</formula>
    </cfRule>
  </conditionalFormatting>
  <conditionalFormatting sqref="B15">
    <cfRule type="cellIs" dxfId="1108" priority="599" operator="lessThan">
      <formula>B14</formula>
    </cfRule>
    <cfRule type="cellIs" dxfId="1107" priority="600" operator="greaterThan">
      <formula>B14</formula>
    </cfRule>
  </conditionalFormatting>
  <conditionalFormatting sqref="C15">
    <cfRule type="cellIs" dxfId="1106" priority="597" operator="lessThan">
      <formula>C14</formula>
    </cfRule>
    <cfRule type="cellIs" dxfId="1105" priority="598" operator="greaterThan">
      <formula>C14</formula>
    </cfRule>
  </conditionalFormatting>
  <conditionalFormatting sqref="D15">
    <cfRule type="cellIs" dxfId="1104" priority="595" operator="lessThan">
      <formula>D14</formula>
    </cfRule>
    <cfRule type="cellIs" dxfId="1103" priority="596" operator="greaterThan">
      <formula>D14</formula>
    </cfRule>
  </conditionalFormatting>
  <conditionalFormatting sqref="E15">
    <cfRule type="cellIs" dxfId="1102" priority="593" operator="lessThan">
      <formula>E14</formula>
    </cfRule>
    <cfRule type="cellIs" dxfId="1101" priority="594" operator="greaterThan">
      <formula>E14</formula>
    </cfRule>
  </conditionalFormatting>
  <conditionalFormatting sqref="F15">
    <cfRule type="cellIs" dxfId="1100" priority="591" operator="lessThan">
      <formula>F14</formula>
    </cfRule>
    <cfRule type="cellIs" dxfId="1099" priority="592" operator="greaterThan">
      <formula>F14</formula>
    </cfRule>
  </conditionalFormatting>
  <conditionalFormatting sqref="G15">
    <cfRule type="cellIs" dxfId="1098" priority="589" operator="lessThan">
      <formula>G14</formula>
    </cfRule>
    <cfRule type="cellIs" dxfId="1097" priority="590" operator="greaterThan">
      <formula>G14</formula>
    </cfRule>
  </conditionalFormatting>
  <conditionalFormatting sqref="K15">
    <cfRule type="cellIs" dxfId="1096" priority="587" operator="lessThan">
      <formula>K14</formula>
    </cfRule>
    <cfRule type="cellIs" dxfId="1095" priority="588" operator="greaterThan">
      <formula>K14</formula>
    </cfRule>
  </conditionalFormatting>
  <conditionalFormatting sqref="L15">
    <cfRule type="cellIs" dxfId="1094" priority="585" operator="lessThan">
      <formula>L14</formula>
    </cfRule>
    <cfRule type="cellIs" dxfId="1093" priority="586" operator="greaterThan">
      <formula>L14</formula>
    </cfRule>
  </conditionalFormatting>
  <conditionalFormatting sqref="M15">
    <cfRule type="cellIs" dxfId="1092" priority="583" operator="lessThan">
      <formula>M14</formula>
    </cfRule>
    <cfRule type="cellIs" dxfId="1091" priority="584" operator="greaterThan">
      <formula>M14</formula>
    </cfRule>
  </conditionalFormatting>
  <conditionalFormatting sqref="N15">
    <cfRule type="cellIs" dxfId="1090" priority="581" operator="lessThan">
      <formula>N14</formula>
    </cfRule>
    <cfRule type="cellIs" dxfId="1089" priority="582" operator="greaterThan">
      <formula>N14</formula>
    </cfRule>
  </conditionalFormatting>
  <conditionalFormatting sqref="O15">
    <cfRule type="cellIs" dxfId="1088" priority="579" operator="lessThan">
      <formula>O14</formula>
    </cfRule>
    <cfRule type="cellIs" dxfId="1087" priority="580" operator="greaterThan">
      <formula>O14</formula>
    </cfRule>
  </conditionalFormatting>
  <conditionalFormatting sqref="P15">
    <cfRule type="cellIs" dxfId="1086" priority="577" operator="lessThan">
      <formula>P14</formula>
    </cfRule>
    <cfRule type="cellIs" dxfId="1085" priority="578" operator="greaterThan">
      <formula>P14</formula>
    </cfRule>
  </conditionalFormatting>
  <conditionalFormatting sqref="Q15">
    <cfRule type="cellIs" dxfId="1084" priority="575" operator="lessThan">
      <formula>Q14</formula>
    </cfRule>
    <cfRule type="cellIs" dxfId="1083" priority="576" operator="greaterThan">
      <formula>Q14</formula>
    </cfRule>
  </conditionalFormatting>
  <conditionalFormatting sqref="R15">
    <cfRule type="cellIs" dxfId="1082" priority="573" operator="lessThan">
      <formula>R14</formula>
    </cfRule>
    <cfRule type="cellIs" dxfId="1081" priority="574" operator="greaterThan">
      <formula>R14</formula>
    </cfRule>
  </conditionalFormatting>
  <conditionalFormatting sqref="S15">
    <cfRule type="cellIs" dxfId="1080" priority="571" operator="lessThan">
      <formula>S14</formula>
    </cfRule>
    <cfRule type="cellIs" dxfId="1079" priority="572" operator="greaterThan">
      <formula>S14</formula>
    </cfRule>
  </conditionalFormatting>
  <conditionalFormatting sqref="B16">
    <cfRule type="cellIs" dxfId="1078" priority="569" operator="lessThan">
      <formula>B15</formula>
    </cfRule>
    <cfRule type="cellIs" dxfId="1077" priority="570" operator="greaterThan">
      <formula>B15</formula>
    </cfRule>
  </conditionalFormatting>
  <conditionalFormatting sqref="C16">
    <cfRule type="cellIs" dxfId="1076" priority="567" operator="lessThan">
      <formula>C15</formula>
    </cfRule>
    <cfRule type="cellIs" dxfId="1075" priority="568" operator="greaterThan">
      <formula>C15</formula>
    </cfRule>
  </conditionalFormatting>
  <conditionalFormatting sqref="D16">
    <cfRule type="cellIs" dxfId="1074" priority="565" operator="lessThan">
      <formula>D15</formula>
    </cfRule>
    <cfRule type="cellIs" dxfId="1073" priority="566" operator="greaterThan">
      <formula>D15</formula>
    </cfRule>
  </conditionalFormatting>
  <conditionalFormatting sqref="E16">
    <cfRule type="cellIs" dxfId="1072" priority="563" operator="lessThan">
      <formula>E15</formula>
    </cfRule>
    <cfRule type="cellIs" dxfId="1071" priority="564" operator="greaterThan">
      <formula>E15</formula>
    </cfRule>
  </conditionalFormatting>
  <conditionalFormatting sqref="F16">
    <cfRule type="cellIs" dxfId="1070" priority="561" operator="lessThan">
      <formula>F15</formula>
    </cfRule>
    <cfRule type="cellIs" dxfId="1069" priority="562" operator="greaterThan">
      <formula>F15</formula>
    </cfRule>
  </conditionalFormatting>
  <conditionalFormatting sqref="G16">
    <cfRule type="cellIs" dxfId="1068" priority="559" operator="lessThan">
      <formula>G15</formula>
    </cfRule>
    <cfRule type="cellIs" dxfId="1067" priority="560" operator="greaterThan">
      <formula>G15</formula>
    </cfRule>
  </conditionalFormatting>
  <conditionalFormatting sqref="K16">
    <cfRule type="cellIs" dxfId="1066" priority="557" operator="lessThan">
      <formula>K15</formula>
    </cfRule>
    <cfRule type="cellIs" dxfId="1065" priority="558" operator="greaterThan">
      <formula>K15</formula>
    </cfRule>
  </conditionalFormatting>
  <conditionalFormatting sqref="L16">
    <cfRule type="cellIs" dxfId="1064" priority="555" operator="lessThan">
      <formula>L15</formula>
    </cfRule>
    <cfRule type="cellIs" dxfId="1063" priority="556" operator="greaterThan">
      <formula>L15</formula>
    </cfRule>
  </conditionalFormatting>
  <conditionalFormatting sqref="M16">
    <cfRule type="cellIs" dxfId="1062" priority="553" operator="lessThan">
      <formula>M15</formula>
    </cfRule>
    <cfRule type="cellIs" dxfId="1061" priority="554" operator="greaterThan">
      <formula>M15</formula>
    </cfRule>
  </conditionalFormatting>
  <conditionalFormatting sqref="N16">
    <cfRule type="cellIs" dxfId="1060" priority="551" operator="lessThan">
      <formula>N15</formula>
    </cfRule>
    <cfRule type="cellIs" dxfId="1059" priority="552" operator="greaterThan">
      <formula>N15</formula>
    </cfRule>
  </conditionalFormatting>
  <conditionalFormatting sqref="O16">
    <cfRule type="cellIs" dxfId="1058" priority="549" operator="lessThan">
      <formula>O15</formula>
    </cfRule>
    <cfRule type="cellIs" dxfId="1057" priority="550" operator="greaterThan">
      <formula>O15</formula>
    </cfRule>
  </conditionalFormatting>
  <conditionalFormatting sqref="P16">
    <cfRule type="cellIs" dxfId="1056" priority="547" operator="lessThan">
      <formula>P15</formula>
    </cfRule>
    <cfRule type="cellIs" dxfId="1055" priority="548" operator="greaterThan">
      <formula>P15</formula>
    </cfRule>
  </conditionalFormatting>
  <conditionalFormatting sqref="Q16">
    <cfRule type="cellIs" dxfId="1054" priority="545" operator="lessThan">
      <formula>Q15</formula>
    </cfRule>
    <cfRule type="cellIs" dxfId="1053" priority="546" operator="greaterThan">
      <formula>Q15</formula>
    </cfRule>
  </conditionalFormatting>
  <conditionalFormatting sqref="R16">
    <cfRule type="cellIs" dxfId="1052" priority="543" operator="lessThan">
      <formula>R15</formula>
    </cfRule>
    <cfRule type="cellIs" dxfId="1051" priority="544" operator="greaterThan">
      <formula>R15</formula>
    </cfRule>
  </conditionalFormatting>
  <conditionalFormatting sqref="S16">
    <cfRule type="cellIs" dxfId="1050" priority="541" operator="lessThan">
      <formula>S15</formula>
    </cfRule>
    <cfRule type="cellIs" dxfId="1049" priority="542" operator="greaterThan">
      <formula>S15</formula>
    </cfRule>
  </conditionalFormatting>
  <conditionalFormatting sqref="B17">
    <cfRule type="cellIs" dxfId="1048" priority="539" operator="lessThan">
      <formula>B16</formula>
    </cfRule>
    <cfRule type="cellIs" dxfId="1047" priority="540" operator="greaterThan">
      <formula>B16</formula>
    </cfRule>
  </conditionalFormatting>
  <conditionalFormatting sqref="C17">
    <cfRule type="cellIs" dxfId="1046" priority="537" operator="lessThan">
      <formula>C16</formula>
    </cfRule>
    <cfRule type="cellIs" dxfId="1045" priority="538" operator="greaterThan">
      <formula>C16</formula>
    </cfRule>
  </conditionalFormatting>
  <conditionalFormatting sqref="D17">
    <cfRule type="cellIs" dxfId="1044" priority="535" operator="lessThan">
      <formula>D16</formula>
    </cfRule>
    <cfRule type="cellIs" dxfId="1043" priority="536" operator="greaterThan">
      <formula>D16</formula>
    </cfRule>
  </conditionalFormatting>
  <conditionalFormatting sqref="E17">
    <cfRule type="cellIs" dxfId="1042" priority="533" operator="lessThan">
      <formula>E16</formula>
    </cfRule>
    <cfRule type="cellIs" dxfId="1041" priority="534" operator="greaterThan">
      <formula>E16</formula>
    </cfRule>
  </conditionalFormatting>
  <conditionalFormatting sqref="F17">
    <cfRule type="cellIs" dxfId="1040" priority="531" operator="lessThan">
      <formula>F16</formula>
    </cfRule>
    <cfRule type="cellIs" dxfId="1039" priority="532" operator="greaterThan">
      <formula>F16</formula>
    </cfRule>
  </conditionalFormatting>
  <conditionalFormatting sqref="G17">
    <cfRule type="cellIs" dxfId="1038" priority="529" operator="lessThan">
      <formula>G16</formula>
    </cfRule>
    <cfRule type="cellIs" dxfId="1037" priority="530" operator="greaterThan">
      <formula>G16</formula>
    </cfRule>
  </conditionalFormatting>
  <conditionalFormatting sqref="K17">
    <cfRule type="cellIs" dxfId="1036" priority="527" operator="lessThan">
      <formula>K16</formula>
    </cfRule>
    <cfRule type="cellIs" dxfId="1035" priority="528" operator="greaterThan">
      <formula>K16</formula>
    </cfRule>
  </conditionalFormatting>
  <conditionalFormatting sqref="L17">
    <cfRule type="cellIs" dxfId="1034" priority="525" operator="lessThan">
      <formula>L16</formula>
    </cfRule>
    <cfRule type="cellIs" dxfId="1033" priority="526" operator="greaterThan">
      <formula>L16</formula>
    </cfRule>
  </conditionalFormatting>
  <conditionalFormatting sqref="M17">
    <cfRule type="cellIs" dxfId="1032" priority="523" operator="lessThan">
      <formula>M16</formula>
    </cfRule>
    <cfRule type="cellIs" dxfId="1031" priority="524" operator="greaterThan">
      <formula>M16</formula>
    </cfRule>
  </conditionalFormatting>
  <conditionalFormatting sqref="N17">
    <cfRule type="cellIs" dxfId="1030" priority="521" operator="lessThan">
      <formula>N16</formula>
    </cfRule>
    <cfRule type="cellIs" dxfId="1029" priority="522" operator="greaterThan">
      <formula>N16</formula>
    </cfRule>
  </conditionalFormatting>
  <conditionalFormatting sqref="O17">
    <cfRule type="cellIs" dxfId="1028" priority="519" operator="lessThan">
      <formula>O16</formula>
    </cfRule>
    <cfRule type="cellIs" dxfId="1027" priority="520" operator="greaterThan">
      <formula>O16</formula>
    </cfRule>
  </conditionalFormatting>
  <conditionalFormatting sqref="P17">
    <cfRule type="cellIs" dxfId="1026" priority="517" operator="lessThan">
      <formula>P16</formula>
    </cfRule>
    <cfRule type="cellIs" dxfId="1025" priority="518" operator="greaterThan">
      <formula>P16</formula>
    </cfRule>
  </conditionalFormatting>
  <conditionalFormatting sqref="Q17">
    <cfRule type="cellIs" dxfId="1024" priority="515" operator="lessThan">
      <formula>Q16</formula>
    </cfRule>
    <cfRule type="cellIs" dxfId="1023" priority="516" operator="greaterThan">
      <formula>Q16</formula>
    </cfRule>
  </conditionalFormatting>
  <conditionalFormatting sqref="R17">
    <cfRule type="cellIs" dxfId="1022" priority="513" operator="lessThan">
      <formula>R16</formula>
    </cfRule>
    <cfRule type="cellIs" dxfId="1021" priority="514" operator="greaterThan">
      <formula>R16</formula>
    </cfRule>
  </conditionalFormatting>
  <conditionalFormatting sqref="S17">
    <cfRule type="cellIs" dxfId="1020" priority="511" operator="lessThan">
      <formula>S16</formula>
    </cfRule>
    <cfRule type="cellIs" dxfId="1019" priority="512" operator="greaterThan">
      <formula>S16</formula>
    </cfRule>
  </conditionalFormatting>
  <conditionalFormatting sqref="B18">
    <cfRule type="cellIs" dxfId="1018" priority="509" operator="lessThan">
      <formula>B17</formula>
    </cfRule>
    <cfRule type="cellIs" dxfId="1017" priority="510" operator="greaterThan">
      <formula>B17</formula>
    </cfRule>
  </conditionalFormatting>
  <conditionalFormatting sqref="C18">
    <cfRule type="cellIs" dxfId="1016" priority="507" operator="lessThan">
      <formula>C17</formula>
    </cfRule>
    <cfRule type="cellIs" dxfId="1015" priority="508" operator="greaterThan">
      <formula>C17</formula>
    </cfRule>
  </conditionalFormatting>
  <conditionalFormatting sqref="D18">
    <cfRule type="cellIs" dxfId="1014" priority="505" operator="lessThan">
      <formula>D17</formula>
    </cfRule>
    <cfRule type="cellIs" dxfId="1013" priority="506" operator="greaterThan">
      <formula>D17</formula>
    </cfRule>
  </conditionalFormatting>
  <conditionalFormatting sqref="E18">
    <cfRule type="cellIs" dxfId="1012" priority="503" operator="lessThan">
      <formula>E17</formula>
    </cfRule>
    <cfRule type="cellIs" dxfId="1011" priority="504" operator="greaterThan">
      <formula>E17</formula>
    </cfRule>
  </conditionalFormatting>
  <conditionalFormatting sqref="F18">
    <cfRule type="cellIs" dxfId="1010" priority="501" operator="lessThan">
      <formula>F17</formula>
    </cfRule>
    <cfRule type="cellIs" dxfId="1009" priority="502" operator="greaterThan">
      <formula>F17</formula>
    </cfRule>
  </conditionalFormatting>
  <conditionalFormatting sqref="G18">
    <cfRule type="cellIs" dxfId="1008" priority="499" operator="lessThan">
      <formula>G17</formula>
    </cfRule>
    <cfRule type="cellIs" dxfId="1007" priority="500" operator="greaterThan">
      <formula>G17</formula>
    </cfRule>
  </conditionalFormatting>
  <conditionalFormatting sqref="K18">
    <cfRule type="cellIs" dxfId="1006" priority="497" operator="lessThan">
      <formula>K17</formula>
    </cfRule>
    <cfRule type="cellIs" dxfId="1005" priority="498" operator="greaterThan">
      <formula>K17</formula>
    </cfRule>
  </conditionalFormatting>
  <conditionalFormatting sqref="L18">
    <cfRule type="cellIs" dxfId="1004" priority="495" operator="lessThan">
      <formula>L17</formula>
    </cfRule>
    <cfRule type="cellIs" dxfId="1003" priority="496" operator="greaterThan">
      <formula>L17</formula>
    </cfRule>
  </conditionalFormatting>
  <conditionalFormatting sqref="M18">
    <cfRule type="cellIs" dxfId="1002" priority="493" operator="lessThan">
      <formula>M17</formula>
    </cfRule>
    <cfRule type="cellIs" dxfId="1001" priority="494" operator="greaterThan">
      <formula>M17</formula>
    </cfRule>
  </conditionalFormatting>
  <conditionalFormatting sqref="N18">
    <cfRule type="cellIs" dxfId="1000" priority="491" operator="lessThan">
      <formula>N17</formula>
    </cfRule>
    <cfRule type="cellIs" dxfId="999" priority="492" operator="greaterThan">
      <formula>N17</formula>
    </cfRule>
  </conditionalFormatting>
  <conditionalFormatting sqref="O18">
    <cfRule type="cellIs" dxfId="998" priority="489" operator="lessThan">
      <formula>O17</formula>
    </cfRule>
    <cfRule type="cellIs" dxfId="997" priority="490" operator="greaterThan">
      <formula>O17</formula>
    </cfRule>
  </conditionalFormatting>
  <conditionalFormatting sqref="P18">
    <cfRule type="cellIs" dxfId="996" priority="487" operator="lessThan">
      <formula>P17</formula>
    </cfRule>
    <cfRule type="cellIs" dxfId="995" priority="488" operator="greaterThan">
      <formula>P17</formula>
    </cfRule>
  </conditionalFormatting>
  <conditionalFormatting sqref="Q18">
    <cfRule type="cellIs" dxfId="994" priority="485" operator="lessThan">
      <formula>Q17</formula>
    </cfRule>
    <cfRule type="cellIs" dxfId="993" priority="486" operator="greaterThan">
      <formula>Q17</formula>
    </cfRule>
  </conditionalFormatting>
  <conditionalFormatting sqref="R18">
    <cfRule type="cellIs" dxfId="992" priority="483" operator="lessThan">
      <formula>R17</formula>
    </cfRule>
    <cfRule type="cellIs" dxfId="991" priority="484" operator="greaterThan">
      <formula>R17</formula>
    </cfRule>
  </conditionalFormatting>
  <conditionalFormatting sqref="S18">
    <cfRule type="cellIs" dxfId="990" priority="481" operator="lessThan">
      <formula>S17</formula>
    </cfRule>
    <cfRule type="cellIs" dxfId="989" priority="482" operator="greaterThan">
      <formula>S17</formula>
    </cfRule>
  </conditionalFormatting>
  <conditionalFormatting sqref="B19">
    <cfRule type="cellIs" dxfId="988" priority="479" operator="lessThan">
      <formula>B18</formula>
    </cfRule>
    <cfRule type="cellIs" dxfId="987" priority="480" operator="greaterThan">
      <formula>B18</formula>
    </cfRule>
  </conditionalFormatting>
  <conditionalFormatting sqref="C19">
    <cfRule type="cellIs" dxfId="986" priority="477" operator="lessThan">
      <formula>C18</formula>
    </cfRule>
    <cfRule type="cellIs" dxfId="985" priority="478" operator="greaterThan">
      <formula>C18</formula>
    </cfRule>
  </conditionalFormatting>
  <conditionalFormatting sqref="D19">
    <cfRule type="cellIs" dxfId="984" priority="475" operator="lessThan">
      <formula>D18</formula>
    </cfRule>
    <cfRule type="cellIs" dxfId="983" priority="476" operator="greaterThan">
      <formula>D18</formula>
    </cfRule>
  </conditionalFormatting>
  <conditionalFormatting sqref="E19">
    <cfRule type="cellIs" dxfId="982" priority="473" operator="lessThan">
      <formula>E18</formula>
    </cfRule>
    <cfRule type="cellIs" dxfId="981" priority="474" operator="greaterThan">
      <formula>E18</formula>
    </cfRule>
  </conditionalFormatting>
  <conditionalFormatting sqref="F19">
    <cfRule type="cellIs" dxfId="980" priority="471" operator="lessThan">
      <formula>F18</formula>
    </cfRule>
    <cfRule type="cellIs" dxfId="979" priority="472" operator="greaterThan">
      <formula>F18</formula>
    </cfRule>
  </conditionalFormatting>
  <conditionalFormatting sqref="G19">
    <cfRule type="cellIs" dxfId="978" priority="469" operator="lessThan">
      <formula>G18</formula>
    </cfRule>
    <cfRule type="cellIs" dxfId="977" priority="470" operator="greaterThan">
      <formula>G18</formula>
    </cfRule>
  </conditionalFormatting>
  <conditionalFormatting sqref="K19">
    <cfRule type="cellIs" dxfId="976" priority="467" operator="lessThan">
      <formula>K18</formula>
    </cfRule>
    <cfRule type="cellIs" dxfId="975" priority="468" operator="greaterThan">
      <formula>K18</formula>
    </cfRule>
  </conditionalFormatting>
  <conditionalFormatting sqref="L19">
    <cfRule type="cellIs" dxfId="974" priority="465" operator="lessThan">
      <formula>L18</formula>
    </cfRule>
    <cfRule type="cellIs" dxfId="973" priority="466" operator="greaterThan">
      <formula>L18</formula>
    </cfRule>
  </conditionalFormatting>
  <conditionalFormatting sqref="M19">
    <cfRule type="cellIs" dxfId="972" priority="463" operator="lessThan">
      <formula>M18</formula>
    </cfRule>
    <cfRule type="cellIs" dxfId="971" priority="464" operator="greaterThan">
      <formula>M18</formula>
    </cfRule>
  </conditionalFormatting>
  <conditionalFormatting sqref="N19">
    <cfRule type="cellIs" dxfId="970" priority="461" operator="lessThan">
      <formula>N18</formula>
    </cfRule>
    <cfRule type="cellIs" dxfId="969" priority="462" operator="greaterThan">
      <formula>N18</formula>
    </cfRule>
  </conditionalFormatting>
  <conditionalFormatting sqref="O19">
    <cfRule type="cellIs" dxfId="968" priority="459" operator="lessThan">
      <formula>O18</formula>
    </cfRule>
    <cfRule type="cellIs" dxfId="967" priority="460" operator="greaterThan">
      <formula>O18</formula>
    </cfRule>
  </conditionalFormatting>
  <conditionalFormatting sqref="P19">
    <cfRule type="cellIs" dxfId="966" priority="457" operator="lessThan">
      <formula>P18</formula>
    </cfRule>
    <cfRule type="cellIs" dxfId="965" priority="458" operator="greaterThan">
      <formula>P18</formula>
    </cfRule>
  </conditionalFormatting>
  <conditionalFormatting sqref="Q19">
    <cfRule type="cellIs" dxfId="964" priority="455" operator="lessThan">
      <formula>Q18</formula>
    </cfRule>
    <cfRule type="cellIs" dxfId="963" priority="456" operator="greaterThan">
      <formula>Q18</formula>
    </cfRule>
  </conditionalFormatting>
  <conditionalFormatting sqref="R19">
    <cfRule type="cellIs" dxfId="962" priority="453" operator="lessThan">
      <formula>R18</formula>
    </cfRule>
    <cfRule type="cellIs" dxfId="961" priority="454" operator="greaterThan">
      <formula>R18</formula>
    </cfRule>
  </conditionalFormatting>
  <conditionalFormatting sqref="S19">
    <cfRule type="cellIs" dxfId="960" priority="451" operator="lessThan">
      <formula>S18</formula>
    </cfRule>
    <cfRule type="cellIs" dxfId="959" priority="452" operator="greaterThan">
      <formula>S18</formula>
    </cfRule>
  </conditionalFormatting>
  <conditionalFormatting sqref="B20">
    <cfRule type="cellIs" dxfId="958" priority="449" operator="lessThan">
      <formula>B19</formula>
    </cfRule>
    <cfRule type="cellIs" dxfId="957" priority="450" operator="greaterThan">
      <formula>B19</formula>
    </cfRule>
  </conditionalFormatting>
  <conditionalFormatting sqref="C20">
    <cfRule type="cellIs" dxfId="956" priority="447" operator="lessThan">
      <formula>C19</formula>
    </cfRule>
    <cfRule type="cellIs" dxfId="955" priority="448" operator="greaterThan">
      <formula>C19</formula>
    </cfRule>
  </conditionalFormatting>
  <conditionalFormatting sqref="D20">
    <cfRule type="cellIs" dxfId="954" priority="445" operator="lessThan">
      <formula>D19</formula>
    </cfRule>
    <cfRule type="cellIs" dxfId="953" priority="446" operator="greaterThan">
      <formula>D19</formula>
    </cfRule>
  </conditionalFormatting>
  <conditionalFormatting sqref="E20">
    <cfRule type="cellIs" dxfId="952" priority="443" operator="lessThan">
      <formula>E19</formula>
    </cfRule>
    <cfRule type="cellIs" dxfId="951" priority="444" operator="greaterThan">
      <formula>E19</formula>
    </cfRule>
  </conditionalFormatting>
  <conditionalFormatting sqref="F20">
    <cfRule type="cellIs" dxfId="950" priority="441" operator="lessThan">
      <formula>F19</formula>
    </cfRule>
    <cfRule type="cellIs" dxfId="949" priority="442" operator="greaterThan">
      <formula>F19</formula>
    </cfRule>
  </conditionalFormatting>
  <conditionalFormatting sqref="G20">
    <cfRule type="cellIs" dxfId="948" priority="439" operator="lessThan">
      <formula>G19</formula>
    </cfRule>
    <cfRule type="cellIs" dxfId="947" priority="440" operator="greaterThan">
      <formula>G19</formula>
    </cfRule>
  </conditionalFormatting>
  <conditionalFormatting sqref="K20">
    <cfRule type="cellIs" dxfId="946" priority="437" operator="lessThan">
      <formula>K19</formula>
    </cfRule>
    <cfRule type="cellIs" dxfId="945" priority="438" operator="greaterThan">
      <formula>K19</formula>
    </cfRule>
  </conditionalFormatting>
  <conditionalFormatting sqref="L20">
    <cfRule type="cellIs" dxfId="944" priority="435" operator="lessThan">
      <formula>L19</formula>
    </cfRule>
    <cfRule type="cellIs" dxfId="943" priority="436" operator="greaterThan">
      <formula>L19</formula>
    </cfRule>
  </conditionalFormatting>
  <conditionalFormatting sqref="M20">
    <cfRule type="cellIs" dxfId="942" priority="433" operator="lessThan">
      <formula>M19</formula>
    </cfRule>
    <cfRule type="cellIs" dxfId="941" priority="434" operator="greaterThan">
      <formula>M19</formula>
    </cfRule>
  </conditionalFormatting>
  <conditionalFormatting sqref="N20">
    <cfRule type="cellIs" dxfId="940" priority="431" operator="lessThan">
      <formula>N19</formula>
    </cfRule>
    <cfRule type="cellIs" dxfId="939" priority="432" operator="greaterThan">
      <formula>N19</formula>
    </cfRule>
  </conditionalFormatting>
  <conditionalFormatting sqref="O20">
    <cfRule type="cellIs" dxfId="938" priority="429" operator="lessThan">
      <formula>O19</formula>
    </cfRule>
    <cfRule type="cellIs" dxfId="937" priority="430" operator="greaterThan">
      <formula>O19</formula>
    </cfRule>
  </conditionalFormatting>
  <conditionalFormatting sqref="P20">
    <cfRule type="cellIs" dxfId="936" priority="427" operator="lessThan">
      <formula>P19</formula>
    </cfRule>
    <cfRule type="cellIs" dxfId="935" priority="428" operator="greaterThan">
      <formula>P19</formula>
    </cfRule>
  </conditionalFormatting>
  <conditionalFormatting sqref="Q20">
    <cfRule type="cellIs" dxfId="934" priority="425" operator="lessThan">
      <formula>Q19</formula>
    </cfRule>
    <cfRule type="cellIs" dxfId="933" priority="426" operator="greaterThan">
      <formula>Q19</formula>
    </cfRule>
  </conditionalFormatting>
  <conditionalFormatting sqref="R20">
    <cfRule type="cellIs" dxfId="932" priority="423" operator="lessThan">
      <formula>R19</formula>
    </cfRule>
    <cfRule type="cellIs" dxfId="931" priority="424" operator="greaterThan">
      <formula>R19</formula>
    </cfRule>
  </conditionalFormatting>
  <conditionalFormatting sqref="S20">
    <cfRule type="cellIs" dxfId="930" priority="421" operator="lessThan">
      <formula>S19</formula>
    </cfRule>
    <cfRule type="cellIs" dxfId="929" priority="422" operator="greaterThan">
      <formula>S19</formula>
    </cfRule>
  </conditionalFormatting>
  <conditionalFormatting sqref="H5">
    <cfRule type="cellIs" dxfId="928" priority="419" operator="lessThan">
      <formula>H4</formula>
    </cfRule>
    <cfRule type="cellIs" dxfId="927" priority="420" operator="greaterThan">
      <formula>H4</formula>
    </cfRule>
  </conditionalFormatting>
  <conditionalFormatting sqref="H6:H13">
    <cfRule type="cellIs" dxfId="926" priority="417" operator="lessThan">
      <formula>H5</formula>
    </cfRule>
    <cfRule type="cellIs" dxfId="925" priority="418" operator="greaterThan">
      <formula>H5</formula>
    </cfRule>
  </conditionalFormatting>
  <conditionalFormatting sqref="I5">
    <cfRule type="cellIs" dxfId="924" priority="415" operator="lessThan">
      <formula>I4</formula>
    </cfRule>
    <cfRule type="cellIs" dxfId="923" priority="416" operator="greaterThan">
      <formula>I4</formula>
    </cfRule>
  </conditionalFormatting>
  <conditionalFormatting sqref="I6:I13">
    <cfRule type="cellIs" dxfId="922" priority="413" operator="lessThan">
      <formula>I5</formula>
    </cfRule>
    <cfRule type="cellIs" dxfId="921" priority="414" operator="greaterThan">
      <formula>I5</formula>
    </cfRule>
  </conditionalFormatting>
  <conditionalFormatting sqref="J5">
    <cfRule type="cellIs" dxfId="920" priority="411" operator="lessThan">
      <formula>J4</formula>
    </cfRule>
    <cfRule type="cellIs" dxfId="919" priority="412" operator="greaterThan">
      <formula>J4</formula>
    </cfRule>
  </conditionalFormatting>
  <conditionalFormatting sqref="J6:J13">
    <cfRule type="cellIs" dxfId="918" priority="409" operator="lessThan">
      <formula>J5</formula>
    </cfRule>
    <cfRule type="cellIs" dxfId="917" priority="410" operator="greaterThan">
      <formula>J5</formula>
    </cfRule>
  </conditionalFormatting>
  <conditionalFormatting sqref="H14">
    <cfRule type="cellIs" dxfId="916" priority="407" operator="lessThan">
      <formula>H13</formula>
    </cfRule>
    <cfRule type="cellIs" dxfId="915" priority="408" operator="greaterThan">
      <formula>H13</formula>
    </cfRule>
  </conditionalFormatting>
  <conditionalFormatting sqref="I14">
    <cfRule type="cellIs" dxfId="914" priority="405" operator="lessThan">
      <formula>I13</formula>
    </cfRule>
    <cfRule type="cellIs" dxfId="913" priority="406" operator="greaterThan">
      <formula>I13</formula>
    </cfRule>
  </conditionalFormatting>
  <conditionalFormatting sqref="J14">
    <cfRule type="cellIs" dxfId="912" priority="403" operator="lessThan">
      <formula>J13</formula>
    </cfRule>
    <cfRule type="cellIs" dxfId="911" priority="404" operator="greaterThan">
      <formula>J13</formula>
    </cfRule>
  </conditionalFormatting>
  <conditionalFormatting sqref="H15">
    <cfRule type="cellIs" dxfId="910" priority="401" operator="lessThan">
      <formula>H14</formula>
    </cfRule>
    <cfRule type="cellIs" dxfId="909" priority="402" operator="greaterThan">
      <formula>H14</formula>
    </cfRule>
  </conditionalFormatting>
  <conditionalFormatting sqref="I15">
    <cfRule type="cellIs" dxfId="908" priority="399" operator="lessThan">
      <formula>I14</formula>
    </cfRule>
    <cfRule type="cellIs" dxfId="907" priority="400" operator="greaterThan">
      <formula>I14</formula>
    </cfRule>
  </conditionalFormatting>
  <conditionalFormatting sqref="J15">
    <cfRule type="cellIs" dxfId="906" priority="397" operator="lessThan">
      <formula>J14</formula>
    </cfRule>
    <cfRule type="cellIs" dxfId="905" priority="398" operator="greaterThan">
      <formula>J14</formula>
    </cfRule>
  </conditionalFormatting>
  <conditionalFormatting sqref="H16">
    <cfRule type="cellIs" dxfId="904" priority="395" operator="lessThan">
      <formula>H15</formula>
    </cfRule>
    <cfRule type="cellIs" dxfId="903" priority="396" operator="greaterThan">
      <formula>H15</formula>
    </cfRule>
  </conditionalFormatting>
  <conditionalFormatting sqref="I16">
    <cfRule type="cellIs" dxfId="902" priority="393" operator="lessThan">
      <formula>I15</formula>
    </cfRule>
    <cfRule type="cellIs" dxfId="901" priority="394" operator="greaterThan">
      <formula>I15</formula>
    </cfRule>
  </conditionalFormatting>
  <conditionalFormatting sqref="J16">
    <cfRule type="cellIs" dxfId="900" priority="391" operator="lessThan">
      <formula>J15</formula>
    </cfRule>
    <cfRule type="cellIs" dxfId="899" priority="392" operator="greaterThan">
      <formula>J15</formula>
    </cfRule>
  </conditionalFormatting>
  <conditionalFormatting sqref="H17">
    <cfRule type="cellIs" dxfId="898" priority="389" operator="lessThan">
      <formula>H16</formula>
    </cfRule>
    <cfRule type="cellIs" dxfId="897" priority="390" operator="greaterThan">
      <formula>H16</formula>
    </cfRule>
  </conditionalFormatting>
  <conditionalFormatting sqref="I17">
    <cfRule type="cellIs" dxfId="896" priority="387" operator="lessThan">
      <formula>I16</formula>
    </cfRule>
    <cfRule type="cellIs" dxfId="895" priority="388" operator="greaterThan">
      <formula>I16</formula>
    </cfRule>
  </conditionalFormatting>
  <conditionalFormatting sqref="J17">
    <cfRule type="cellIs" dxfId="894" priority="385" operator="lessThan">
      <formula>J16</formula>
    </cfRule>
    <cfRule type="cellIs" dxfId="893" priority="386" operator="greaterThan">
      <formula>J16</formula>
    </cfRule>
  </conditionalFormatting>
  <conditionalFormatting sqref="H18">
    <cfRule type="cellIs" dxfId="892" priority="383" operator="lessThan">
      <formula>H17</formula>
    </cfRule>
    <cfRule type="cellIs" dxfId="891" priority="384" operator="greaterThan">
      <formula>H17</formula>
    </cfRule>
  </conditionalFormatting>
  <conditionalFormatting sqref="I18">
    <cfRule type="cellIs" dxfId="890" priority="381" operator="lessThan">
      <formula>I17</formula>
    </cfRule>
    <cfRule type="cellIs" dxfId="889" priority="382" operator="greaterThan">
      <formula>I17</formula>
    </cfRule>
  </conditionalFormatting>
  <conditionalFormatting sqref="J18">
    <cfRule type="cellIs" dxfId="888" priority="379" operator="lessThan">
      <formula>J17</formula>
    </cfRule>
    <cfRule type="cellIs" dxfId="887" priority="380" operator="greaterThan">
      <formula>J17</formula>
    </cfRule>
  </conditionalFormatting>
  <conditionalFormatting sqref="H19">
    <cfRule type="cellIs" dxfId="886" priority="377" operator="lessThan">
      <formula>H18</formula>
    </cfRule>
    <cfRule type="cellIs" dxfId="885" priority="378" operator="greaterThan">
      <formula>H18</formula>
    </cfRule>
  </conditionalFormatting>
  <conditionalFormatting sqref="I19">
    <cfRule type="cellIs" dxfId="884" priority="375" operator="lessThan">
      <formula>I18</formula>
    </cfRule>
    <cfRule type="cellIs" dxfId="883" priority="376" operator="greaterThan">
      <formula>I18</formula>
    </cfRule>
  </conditionalFormatting>
  <conditionalFormatting sqref="J19">
    <cfRule type="cellIs" dxfId="882" priority="373" operator="lessThan">
      <formula>J18</formula>
    </cfRule>
    <cfRule type="cellIs" dxfId="881" priority="374" operator="greaterThan">
      <formula>J18</formula>
    </cfRule>
  </conditionalFormatting>
  <conditionalFormatting sqref="H20">
    <cfRule type="cellIs" dxfId="880" priority="371" operator="lessThan">
      <formula>H19</formula>
    </cfRule>
    <cfRule type="cellIs" dxfId="879" priority="372" operator="greaterThan">
      <formula>H19</formula>
    </cfRule>
  </conditionalFormatting>
  <conditionalFormatting sqref="I20">
    <cfRule type="cellIs" dxfId="878" priority="369" operator="lessThan">
      <formula>I19</formula>
    </cfRule>
    <cfRule type="cellIs" dxfId="877" priority="370" operator="greaterThan">
      <formula>I19</formula>
    </cfRule>
  </conditionalFormatting>
  <conditionalFormatting sqref="J20">
    <cfRule type="cellIs" dxfId="876" priority="367" operator="lessThan">
      <formula>J19</formula>
    </cfRule>
    <cfRule type="cellIs" dxfId="875" priority="368" operator="greaterThan">
      <formula>J19</formula>
    </cfRule>
  </conditionalFormatting>
  <conditionalFormatting sqref="B21">
    <cfRule type="cellIs" dxfId="874" priority="365" operator="lessThan">
      <formula>B20</formula>
    </cfRule>
    <cfRule type="cellIs" dxfId="873" priority="366" operator="greaterThan">
      <formula>B20</formula>
    </cfRule>
  </conditionalFormatting>
  <conditionalFormatting sqref="C21">
    <cfRule type="cellIs" dxfId="872" priority="363" operator="lessThan">
      <formula>C20</formula>
    </cfRule>
    <cfRule type="cellIs" dxfId="871" priority="364" operator="greaterThan">
      <formula>C20</formula>
    </cfRule>
  </conditionalFormatting>
  <conditionalFormatting sqref="D21">
    <cfRule type="cellIs" dxfId="870" priority="361" operator="lessThan">
      <formula>D20</formula>
    </cfRule>
    <cfRule type="cellIs" dxfId="869" priority="362" operator="greaterThan">
      <formula>D20</formula>
    </cfRule>
  </conditionalFormatting>
  <conditionalFormatting sqref="E21">
    <cfRule type="cellIs" dxfId="868" priority="359" operator="lessThan">
      <formula>E20</formula>
    </cfRule>
    <cfRule type="cellIs" dxfId="867" priority="360" operator="greaterThan">
      <formula>E20</formula>
    </cfRule>
  </conditionalFormatting>
  <conditionalFormatting sqref="F21">
    <cfRule type="cellIs" dxfId="866" priority="357" operator="lessThan">
      <formula>F20</formula>
    </cfRule>
    <cfRule type="cellIs" dxfId="865" priority="358" operator="greaterThan">
      <formula>F20</formula>
    </cfRule>
  </conditionalFormatting>
  <conditionalFormatting sqref="G21">
    <cfRule type="cellIs" dxfId="864" priority="355" operator="lessThan">
      <formula>G20</formula>
    </cfRule>
    <cfRule type="cellIs" dxfId="863" priority="356" operator="greaterThan">
      <formula>G20</formula>
    </cfRule>
  </conditionalFormatting>
  <conditionalFormatting sqref="K21">
    <cfRule type="cellIs" dxfId="862" priority="353" operator="lessThan">
      <formula>K20</formula>
    </cfRule>
    <cfRule type="cellIs" dxfId="861" priority="354" operator="greaterThan">
      <formula>K20</formula>
    </cfRule>
  </conditionalFormatting>
  <conditionalFormatting sqref="L21">
    <cfRule type="cellIs" dxfId="860" priority="351" operator="lessThan">
      <formula>L20</formula>
    </cfRule>
    <cfRule type="cellIs" dxfId="859" priority="352" operator="greaterThan">
      <formula>L20</formula>
    </cfRule>
  </conditionalFormatting>
  <conditionalFormatting sqref="M21">
    <cfRule type="cellIs" dxfId="858" priority="349" operator="lessThan">
      <formula>M20</formula>
    </cfRule>
    <cfRule type="cellIs" dxfId="857" priority="350" operator="greaterThan">
      <formula>M20</formula>
    </cfRule>
  </conditionalFormatting>
  <conditionalFormatting sqref="N21">
    <cfRule type="cellIs" dxfId="856" priority="347" operator="lessThan">
      <formula>N20</formula>
    </cfRule>
    <cfRule type="cellIs" dxfId="855" priority="348" operator="greaterThan">
      <formula>N20</formula>
    </cfRule>
  </conditionalFormatting>
  <conditionalFormatting sqref="O21">
    <cfRule type="cellIs" dxfId="854" priority="345" operator="lessThan">
      <formula>O20</formula>
    </cfRule>
    <cfRule type="cellIs" dxfId="853" priority="346" operator="greaterThan">
      <formula>O20</formula>
    </cfRule>
  </conditionalFormatting>
  <conditionalFormatting sqref="P21">
    <cfRule type="cellIs" dxfId="852" priority="343" operator="lessThan">
      <formula>P20</formula>
    </cfRule>
    <cfRule type="cellIs" dxfId="851" priority="344" operator="greaterThan">
      <formula>P20</formula>
    </cfRule>
  </conditionalFormatting>
  <conditionalFormatting sqref="Q21">
    <cfRule type="cellIs" dxfId="850" priority="341" operator="lessThan">
      <formula>Q20</formula>
    </cfRule>
    <cfRule type="cellIs" dxfId="849" priority="342" operator="greaterThan">
      <formula>Q20</formula>
    </cfRule>
  </conditionalFormatting>
  <conditionalFormatting sqref="R21">
    <cfRule type="cellIs" dxfId="848" priority="339" operator="lessThan">
      <formula>R20</formula>
    </cfRule>
    <cfRule type="cellIs" dxfId="847" priority="340" operator="greaterThan">
      <formula>R20</formula>
    </cfRule>
  </conditionalFormatting>
  <conditionalFormatting sqref="S21">
    <cfRule type="cellIs" dxfId="846" priority="337" operator="lessThan">
      <formula>S20</formula>
    </cfRule>
    <cfRule type="cellIs" dxfId="845" priority="338" operator="greaterThan">
      <formula>S20</formula>
    </cfRule>
  </conditionalFormatting>
  <conditionalFormatting sqref="H21">
    <cfRule type="cellIs" dxfId="844" priority="335" operator="lessThan">
      <formula>H20</formula>
    </cfRule>
    <cfRule type="cellIs" dxfId="843" priority="336" operator="greaterThan">
      <formula>H20</formula>
    </cfRule>
  </conditionalFormatting>
  <conditionalFormatting sqref="I21">
    <cfRule type="cellIs" dxfId="842" priority="333" operator="lessThan">
      <formula>I20</formula>
    </cfRule>
    <cfRule type="cellIs" dxfId="841" priority="334" operator="greaterThan">
      <formula>I20</formula>
    </cfRule>
  </conditionalFormatting>
  <conditionalFormatting sqref="J21">
    <cfRule type="cellIs" dxfId="840" priority="331" operator="lessThan">
      <formula>J20</formula>
    </cfRule>
    <cfRule type="cellIs" dxfId="839" priority="332" operator="greaterThan">
      <formula>J20</formula>
    </cfRule>
  </conditionalFormatting>
  <conditionalFormatting sqref="B22">
    <cfRule type="cellIs" dxfId="838" priority="329" operator="lessThan">
      <formula>B21</formula>
    </cfRule>
    <cfRule type="cellIs" dxfId="837" priority="330" operator="greaterThan">
      <formula>B21</formula>
    </cfRule>
  </conditionalFormatting>
  <conditionalFormatting sqref="C22">
    <cfRule type="cellIs" dxfId="836" priority="327" operator="lessThan">
      <formula>C21</formula>
    </cfRule>
    <cfRule type="cellIs" dxfId="835" priority="328" operator="greaterThan">
      <formula>C21</formula>
    </cfRule>
  </conditionalFormatting>
  <conditionalFormatting sqref="D22">
    <cfRule type="cellIs" dxfId="834" priority="325" operator="lessThan">
      <formula>D21</formula>
    </cfRule>
    <cfRule type="cellIs" dxfId="833" priority="326" operator="greaterThan">
      <formula>D21</formula>
    </cfRule>
  </conditionalFormatting>
  <conditionalFormatting sqref="E22">
    <cfRule type="cellIs" dxfId="832" priority="323" operator="lessThan">
      <formula>E21</formula>
    </cfRule>
    <cfRule type="cellIs" dxfId="831" priority="324" operator="greaterThan">
      <formula>E21</formula>
    </cfRule>
  </conditionalFormatting>
  <conditionalFormatting sqref="F22">
    <cfRule type="cellIs" dxfId="830" priority="321" operator="lessThan">
      <formula>F21</formula>
    </cfRule>
    <cfRule type="cellIs" dxfId="829" priority="322" operator="greaterThan">
      <formula>F21</formula>
    </cfRule>
  </conditionalFormatting>
  <conditionalFormatting sqref="G22">
    <cfRule type="cellIs" dxfId="828" priority="319" operator="lessThan">
      <formula>G21</formula>
    </cfRule>
    <cfRule type="cellIs" dxfId="827" priority="320" operator="greaterThan">
      <formula>G21</formula>
    </cfRule>
  </conditionalFormatting>
  <conditionalFormatting sqref="K22">
    <cfRule type="cellIs" dxfId="826" priority="317" operator="lessThan">
      <formula>K21</formula>
    </cfRule>
    <cfRule type="cellIs" dxfId="825" priority="318" operator="greaterThan">
      <formula>K21</formula>
    </cfRule>
  </conditionalFormatting>
  <conditionalFormatting sqref="L22">
    <cfRule type="cellIs" dxfId="824" priority="315" operator="lessThan">
      <formula>L21</formula>
    </cfRule>
    <cfRule type="cellIs" dxfId="823" priority="316" operator="greaterThan">
      <formula>L21</formula>
    </cfRule>
  </conditionalFormatting>
  <conditionalFormatting sqref="M22">
    <cfRule type="cellIs" dxfId="822" priority="313" operator="lessThan">
      <formula>M21</formula>
    </cfRule>
    <cfRule type="cellIs" dxfId="821" priority="314" operator="greaterThan">
      <formula>M21</formula>
    </cfRule>
  </conditionalFormatting>
  <conditionalFormatting sqref="N22">
    <cfRule type="cellIs" dxfId="820" priority="311" operator="lessThan">
      <formula>N21</formula>
    </cfRule>
    <cfRule type="cellIs" dxfId="819" priority="312" operator="greaterThan">
      <formula>N21</formula>
    </cfRule>
  </conditionalFormatting>
  <conditionalFormatting sqref="O22">
    <cfRule type="cellIs" dxfId="818" priority="309" operator="lessThan">
      <formula>O21</formula>
    </cfRule>
    <cfRule type="cellIs" dxfId="817" priority="310" operator="greaterThan">
      <formula>O21</formula>
    </cfRule>
  </conditionalFormatting>
  <conditionalFormatting sqref="P22">
    <cfRule type="cellIs" dxfId="816" priority="307" operator="lessThan">
      <formula>P21</formula>
    </cfRule>
    <cfRule type="cellIs" dxfId="815" priority="308" operator="greaterThan">
      <formula>P21</formula>
    </cfRule>
  </conditionalFormatting>
  <conditionalFormatting sqref="Q22">
    <cfRule type="cellIs" dxfId="814" priority="305" operator="lessThan">
      <formula>Q21</formula>
    </cfRule>
    <cfRule type="cellIs" dxfId="813" priority="306" operator="greaterThan">
      <formula>Q21</formula>
    </cfRule>
  </conditionalFormatting>
  <conditionalFormatting sqref="R22">
    <cfRule type="cellIs" dxfId="812" priority="303" operator="lessThan">
      <formula>R21</formula>
    </cfRule>
    <cfRule type="cellIs" dxfId="811" priority="304" operator="greaterThan">
      <formula>R21</formula>
    </cfRule>
  </conditionalFormatting>
  <conditionalFormatting sqref="S22">
    <cfRule type="cellIs" dxfId="810" priority="301" operator="lessThan">
      <formula>S21</formula>
    </cfRule>
    <cfRule type="cellIs" dxfId="809" priority="302" operator="greaterThan">
      <formula>S21</formula>
    </cfRule>
  </conditionalFormatting>
  <conditionalFormatting sqref="H22">
    <cfRule type="cellIs" dxfId="808" priority="299" operator="lessThan">
      <formula>H21</formula>
    </cfRule>
    <cfRule type="cellIs" dxfId="807" priority="300" operator="greaterThan">
      <formula>H21</formula>
    </cfRule>
  </conditionalFormatting>
  <conditionalFormatting sqref="I22">
    <cfRule type="cellIs" dxfId="806" priority="297" operator="lessThan">
      <formula>I21</formula>
    </cfRule>
    <cfRule type="cellIs" dxfId="805" priority="298" operator="greaterThan">
      <formula>I21</formula>
    </cfRule>
  </conditionalFormatting>
  <conditionalFormatting sqref="J22">
    <cfRule type="cellIs" dxfId="804" priority="295" operator="lessThan">
      <formula>J21</formula>
    </cfRule>
    <cfRule type="cellIs" dxfId="803" priority="296" operator="greaterThan">
      <formula>J21</formula>
    </cfRule>
  </conditionalFormatting>
  <conditionalFormatting sqref="B23">
    <cfRule type="cellIs" dxfId="802" priority="293" operator="lessThan">
      <formula>B22</formula>
    </cfRule>
    <cfRule type="cellIs" dxfId="801" priority="294" operator="greaterThan">
      <formula>B22</formula>
    </cfRule>
  </conditionalFormatting>
  <conditionalFormatting sqref="C23">
    <cfRule type="cellIs" dxfId="800" priority="291" operator="lessThan">
      <formula>C22</formula>
    </cfRule>
    <cfRule type="cellIs" dxfId="799" priority="292" operator="greaterThan">
      <formula>C22</formula>
    </cfRule>
  </conditionalFormatting>
  <conditionalFormatting sqref="D23">
    <cfRule type="cellIs" dxfId="798" priority="289" operator="lessThan">
      <formula>D22</formula>
    </cfRule>
    <cfRule type="cellIs" dxfId="797" priority="290" operator="greaterThan">
      <formula>D22</formula>
    </cfRule>
  </conditionalFormatting>
  <conditionalFormatting sqref="E23">
    <cfRule type="cellIs" dxfId="796" priority="287" operator="lessThan">
      <formula>E22</formula>
    </cfRule>
    <cfRule type="cellIs" dxfId="795" priority="288" operator="greaterThan">
      <formula>E22</formula>
    </cfRule>
  </conditionalFormatting>
  <conditionalFormatting sqref="F23">
    <cfRule type="cellIs" dxfId="794" priority="285" operator="lessThan">
      <formula>F22</formula>
    </cfRule>
    <cfRule type="cellIs" dxfId="793" priority="286" operator="greaterThan">
      <formula>F22</formula>
    </cfRule>
  </conditionalFormatting>
  <conditionalFormatting sqref="G23">
    <cfRule type="cellIs" dxfId="792" priority="283" operator="lessThan">
      <formula>G22</formula>
    </cfRule>
    <cfRule type="cellIs" dxfId="791" priority="284" operator="greaterThan">
      <formula>G22</formula>
    </cfRule>
  </conditionalFormatting>
  <conditionalFormatting sqref="K23">
    <cfRule type="cellIs" dxfId="790" priority="281" operator="lessThan">
      <formula>K22</formula>
    </cfRule>
    <cfRule type="cellIs" dxfId="789" priority="282" operator="greaterThan">
      <formula>K22</formula>
    </cfRule>
  </conditionalFormatting>
  <conditionalFormatting sqref="L23">
    <cfRule type="cellIs" dxfId="788" priority="279" operator="lessThan">
      <formula>L22</formula>
    </cfRule>
    <cfRule type="cellIs" dxfId="787" priority="280" operator="greaterThan">
      <formula>L22</formula>
    </cfRule>
  </conditionalFormatting>
  <conditionalFormatting sqref="M23">
    <cfRule type="cellIs" dxfId="786" priority="277" operator="lessThan">
      <formula>M22</formula>
    </cfRule>
    <cfRule type="cellIs" dxfId="785" priority="278" operator="greaterThan">
      <formula>M22</formula>
    </cfRule>
  </conditionalFormatting>
  <conditionalFormatting sqref="N23">
    <cfRule type="cellIs" dxfId="784" priority="275" operator="lessThan">
      <formula>N22</formula>
    </cfRule>
    <cfRule type="cellIs" dxfId="783" priority="276" operator="greaterThan">
      <formula>N22</formula>
    </cfRule>
  </conditionalFormatting>
  <conditionalFormatting sqref="O23">
    <cfRule type="cellIs" dxfId="782" priority="273" operator="lessThan">
      <formula>O22</formula>
    </cfRule>
    <cfRule type="cellIs" dxfId="781" priority="274" operator="greaterThan">
      <formula>O22</formula>
    </cfRule>
  </conditionalFormatting>
  <conditionalFormatting sqref="P23">
    <cfRule type="cellIs" dxfId="780" priority="271" operator="lessThan">
      <formula>P22</formula>
    </cfRule>
    <cfRule type="cellIs" dxfId="779" priority="272" operator="greaterThan">
      <formula>P22</formula>
    </cfRule>
  </conditionalFormatting>
  <conditionalFormatting sqref="Q23">
    <cfRule type="cellIs" dxfId="778" priority="269" operator="lessThan">
      <formula>Q22</formula>
    </cfRule>
    <cfRule type="cellIs" dxfId="777" priority="270" operator="greaterThan">
      <formula>Q22</formula>
    </cfRule>
  </conditionalFormatting>
  <conditionalFormatting sqref="R23">
    <cfRule type="cellIs" dxfId="776" priority="267" operator="lessThan">
      <formula>R22</formula>
    </cfRule>
    <cfRule type="cellIs" dxfId="775" priority="268" operator="greaterThan">
      <formula>R22</formula>
    </cfRule>
  </conditionalFormatting>
  <conditionalFormatting sqref="S23">
    <cfRule type="cellIs" dxfId="774" priority="265" operator="lessThan">
      <formula>S22</formula>
    </cfRule>
    <cfRule type="cellIs" dxfId="773" priority="266" operator="greaterThan">
      <formula>S22</formula>
    </cfRule>
  </conditionalFormatting>
  <conditionalFormatting sqref="H23">
    <cfRule type="cellIs" dxfId="772" priority="263" operator="lessThan">
      <formula>H22</formula>
    </cfRule>
    <cfRule type="cellIs" dxfId="771" priority="264" operator="greaterThan">
      <formula>H22</formula>
    </cfRule>
  </conditionalFormatting>
  <conditionalFormatting sqref="I23">
    <cfRule type="cellIs" dxfId="770" priority="261" operator="lessThan">
      <formula>I22</formula>
    </cfRule>
    <cfRule type="cellIs" dxfId="769" priority="262" operator="greaterThan">
      <formula>I22</formula>
    </cfRule>
  </conditionalFormatting>
  <conditionalFormatting sqref="J23">
    <cfRule type="cellIs" dxfId="768" priority="259" operator="lessThan">
      <formula>J22</formula>
    </cfRule>
    <cfRule type="cellIs" dxfId="767" priority="260" operator="greaterThan">
      <formula>J22</formula>
    </cfRule>
  </conditionalFormatting>
  <conditionalFormatting sqref="B24:B25">
    <cfRule type="cellIs" dxfId="766" priority="257" operator="lessThan">
      <formula>B23</formula>
    </cfRule>
    <cfRule type="cellIs" dxfId="765" priority="258" operator="greaterThan">
      <formula>B23</formula>
    </cfRule>
  </conditionalFormatting>
  <conditionalFormatting sqref="C24:C25">
    <cfRule type="cellIs" dxfId="764" priority="255" operator="lessThan">
      <formula>C23</formula>
    </cfRule>
    <cfRule type="cellIs" dxfId="763" priority="256" operator="greaterThan">
      <formula>C23</formula>
    </cfRule>
  </conditionalFormatting>
  <conditionalFormatting sqref="D24:D25">
    <cfRule type="cellIs" dxfId="762" priority="253" operator="lessThan">
      <formula>D23</formula>
    </cfRule>
    <cfRule type="cellIs" dxfId="761" priority="254" operator="greaterThan">
      <formula>D23</formula>
    </cfRule>
  </conditionalFormatting>
  <conditionalFormatting sqref="E24:E25">
    <cfRule type="cellIs" dxfId="760" priority="251" operator="lessThan">
      <formula>E23</formula>
    </cfRule>
    <cfRule type="cellIs" dxfId="759" priority="252" operator="greaterThan">
      <formula>E23</formula>
    </cfRule>
  </conditionalFormatting>
  <conditionalFormatting sqref="F24:F25">
    <cfRule type="cellIs" dxfId="758" priority="249" operator="lessThan">
      <formula>F23</formula>
    </cfRule>
    <cfRule type="cellIs" dxfId="757" priority="250" operator="greaterThan">
      <formula>F23</formula>
    </cfRule>
  </conditionalFormatting>
  <conditionalFormatting sqref="G24:G25">
    <cfRule type="cellIs" dxfId="756" priority="247" operator="lessThan">
      <formula>G23</formula>
    </cfRule>
    <cfRule type="cellIs" dxfId="755" priority="248" operator="greaterThan">
      <formula>G23</formula>
    </cfRule>
  </conditionalFormatting>
  <conditionalFormatting sqref="K24:K25">
    <cfRule type="cellIs" dxfId="754" priority="245" operator="lessThan">
      <formula>K23</formula>
    </cfRule>
    <cfRule type="cellIs" dxfId="753" priority="246" operator="greaterThan">
      <formula>K23</formula>
    </cfRule>
  </conditionalFormatting>
  <conditionalFormatting sqref="L24:L25">
    <cfRule type="cellIs" dxfId="752" priority="243" operator="lessThan">
      <formula>L23</formula>
    </cfRule>
    <cfRule type="cellIs" dxfId="751" priority="244" operator="greaterThan">
      <formula>L23</formula>
    </cfRule>
  </conditionalFormatting>
  <conditionalFormatting sqref="M24:M25">
    <cfRule type="cellIs" dxfId="750" priority="241" operator="lessThan">
      <formula>M23</formula>
    </cfRule>
    <cfRule type="cellIs" dxfId="749" priority="242" operator="greaterThan">
      <formula>M23</formula>
    </cfRule>
  </conditionalFormatting>
  <conditionalFormatting sqref="N24:N25">
    <cfRule type="cellIs" dxfId="748" priority="239" operator="lessThan">
      <formula>N23</formula>
    </cfRule>
    <cfRule type="cellIs" dxfId="747" priority="240" operator="greaterThan">
      <formula>N23</formula>
    </cfRule>
  </conditionalFormatting>
  <conditionalFormatting sqref="O24:O25">
    <cfRule type="cellIs" dxfId="746" priority="237" operator="lessThan">
      <formula>O23</formula>
    </cfRule>
    <cfRule type="cellIs" dxfId="745" priority="238" operator="greaterThan">
      <formula>O23</formula>
    </cfRule>
  </conditionalFormatting>
  <conditionalFormatting sqref="P24:P25">
    <cfRule type="cellIs" dxfId="744" priority="235" operator="lessThan">
      <formula>P23</formula>
    </cfRule>
    <cfRule type="cellIs" dxfId="743" priority="236" operator="greaterThan">
      <formula>P23</formula>
    </cfRule>
  </conditionalFormatting>
  <conditionalFormatting sqref="Q24">
    <cfRule type="cellIs" dxfId="742" priority="233" operator="lessThan">
      <formula>Q23</formula>
    </cfRule>
    <cfRule type="cellIs" dxfId="741" priority="234" operator="greaterThan">
      <formula>Q23</formula>
    </cfRule>
  </conditionalFormatting>
  <conditionalFormatting sqref="R24">
    <cfRule type="cellIs" dxfId="740" priority="231" operator="lessThan">
      <formula>R23</formula>
    </cfRule>
    <cfRule type="cellIs" dxfId="739" priority="232" operator="greaterThan">
      <formula>R23</formula>
    </cfRule>
  </conditionalFormatting>
  <conditionalFormatting sqref="S24">
    <cfRule type="cellIs" dxfId="738" priority="229" operator="lessThan">
      <formula>S23</formula>
    </cfRule>
    <cfRule type="cellIs" dxfId="737" priority="230" operator="greaterThan">
      <formula>S23</formula>
    </cfRule>
  </conditionalFormatting>
  <conditionalFormatting sqref="H24:H25">
    <cfRule type="cellIs" dxfId="736" priority="227" operator="lessThan">
      <formula>H23</formula>
    </cfRule>
    <cfRule type="cellIs" dxfId="735" priority="228" operator="greaterThan">
      <formula>H23</formula>
    </cfRule>
  </conditionalFormatting>
  <conditionalFormatting sqref="I24:I25">
    <cfRule type="cellIs" dxfId="734" priority="225" operator="lessThan">
      <formula>I23</formula>
    </cfRule>
    <cfRule type="cellIs" dxfId="733" priority="226" operator="greaterThan">
      <formula>I23</formula>
    </cfRule>
  </conditionalFormatting>
  <conditionalFormatting sqref="J24:J25">
    <cfRule type="cellIs" dxfId="732" priority="223" operator="lessThan">
      <formula>J23</formula>
    </cfRule>
    <cfRule type="cellIs" dxfId="731" priority="224" operator="greaterThan">
      <formula>J23</formula>
    </cfRule>
  </conditionalFormatting>
  <conditionalFormatting sqref="Q25">
    <cfRule type="cellIs" dxfId="730" priority="221" operator="lessThan">
      <formula>Q24</formula>
    </cfRule>
    <cfRule type="cellIs" dxfId="729" priority="222" operator="greaterThan">
      <formula>Q24</formula>
    </cfRule>
  </conditionalFormatting>
  <conditionalFormatting sqref="R25">
    <cfRule type="cellIs" dxfId="728" priority="219" operator="lessThan">
      <formula>R24</formula>
    </cfRule>
    <cfRule type="cellIs" dxfId="727" priority="220" operator="greaterThan">
      <formula>R24</formula>
    </cfRule>
  </conditionalFormatting>
  <conditionalFormatting sqref="S25">
    <cfRule type="cellIs" dxfId="726" priority="217" operator="lessThan">
      <formula>S24</formula>
    </cfRule>
    <cfRule type="cellIs" dxfId="725" priority="218" operator="greaterThan">
      <formula>S24</formula>
    </cfRule>
  </conditionalFormatting>
  <conditionalFormatting sqref="B26">
    <cfRule type="cellIs" dxfId="724" priority="179" operator="lessThan">
      <formula>B25</formula>
    </cfRule>
    <cfRule type="cellIs" dxfId="723" priority="180" operator="greaterThan">
      <formula>B25</formula>
    </cfRule>
  </conditionalFormatting>
  <conditionalFormatting sqref="C26">
    <cfRule type="cellIs" dxfId="722" priority="177" operator="lessThan">
      <formula>C25</formula>
    </cfRule>
    <cfRule type="cellIs" dxfId="721" priority="178" operator="greaterThan">
      <formula>C25</formula>
    </cfRule>
  </conditionalFormatting>
  <conditionalFormatting sqref="D26">
    <cfRule type="cellIs" dxfId="720" priority="175" operator="lessThan">
      <formula>D25</formula>
    </cfRule>
    <cfRule type="cellIs" dxfId="719" priority="176" operator="greaterThan">
      <formula>D25</formula>
    </cfRule>
  </conditionalFormatting>
  <conditionalFormatting sqref="E26">
    <cfRule type="cellIs" dxfId="718" priority="173" operator="lessThan">
      <formula>E25</formula>
    </cfRule>
    <cfRule type="cellIs" dxfId="717" priority="174" operator="greaterThan">
      <formula>E25</formula>
    </cfRule>
  </conditionalFormatting>
  <conditionalFormatting sqref="F26">
    <cfRule type="cellIs" dxfId="716" priority="171" operator="lessThan">
      <formula>F25</formula>
    </cfRule>
    <cfRule type="cellIs" dxfId="715" priority="172" operator="greaterThan">
      <formula>F25</formula>
    </cfRule>
  </conditionalFormatting>
  <conditionalFormatting sqref="G26">
    <cfRule type="cellIs" dxfId="714" priority="169" operator="lessThan">
      <formula>G25</formula>
    </cfRule>
    <cfRule type="cellIs" dxfId="713" priority="170" operator="greaterThan">
      <formula>G25</formula>
    </cfRule>
  </conditionalFormatting>
  <conditionalFormatting sqref="K26">
    <cfRule type="cellIs" dxfId="712" priority="167" operator="lessThan">
      <formula>K25</formula>
    </cfRule>
    <cfRule type="cellIs" dxfId="711" priority="168" operator="greaterThan">
      <formula>K25</formula>
    </cfRule>
  </conditionalFormatting>
  <conditionalFormatting sqref="L26">
    <cfRule type="cellIs" dxfId="710" priority="165" operator="lessThan">
      <formula>L25</formula>
    </cfRule>
    <cfRule type="cellIs" dxfId="709" priority="166" operator="greaterThan">
      <formula>L25</formula>
    </cfRule>
  </conditionalFormatting>
  <conditionalFormatting sqref="M26">
    <cfRule type="cellIs" dxfId="708" priority="163" operator="lessThan">
      <formula>M25</formula>
    </cfRule>
    <cfRule type="cellIs" dxfId="707" priority="164" operator="greaterThan">
      <formula>M25</formula>
    </cfRule>
  </conditionalFormatting>
  <conditionalFormatting sqref="N26">
    <cfRule type="cellIs" dxfId="706" priority="161" operator="lessThan">
      <formula>N25</formula>
    </cfRule>
    <cfRule type="cellIs" dxfId="705" priority="162" operator="greaterThan">
      <formula>N25</formula>
    </cfRule>
  </conditionalFormatting>
  <conditionalFormatting sqref="O26">
    <cfRule type="cellIs" dxfId="704" priority="159" operator="lessThan">
      <formula>O25</formula>
    </cfRule>
    <cfRule type="cellIs" dxfId="703" priority="160" operator="greaterThan">
      <formula>O25</formula>
    </cfRule>
  </conditionalFormatting>
  <conditionalFormatting sqref="P26">
    <cfRule type="cellIs" dxfId="702" priority="157" operator="lessThan">
      <formula>P25</formula>
    </cfRule>
    <cfRule type="cellIs" dxfId="701" priority="158" operator="greaterThan">
      <formula>P25</formula>
    </cfRule>
  </conditionalFormatting>
  <conditionalFormatting sqref="H26">
    <cfRule type="cellIs" dxfId="700" priority="155" operator="lessThan">
      <formula>H25</formula>
    </cfRule>
    <cfRule type="cellIs" dxfId="699" priority="156" operator="greaterThan">
      <formula>H25</formula>
    </cfRule>
  </conditionalFormatting>
  <conditionalFormatting sqref="I26">
    <cfRule type="cellIs" dxfId="698" priority="153" operator="lessThan">
      <formula>I25</formula>
    </cfRule>
    <cfRule type="cellIs" dxfId="697" priority="154" operator="greaterThan">
      <formula>I25</formula>
    </cfRule>
  </conditionalFormatting>
  <conditionalFormatting sqref="J26">
    <cfRule type="cellIs" dxfId="696" priority="151" operator="lessThan">
      <formula>J25</formula>
    </cfRule>
    <cfRule type="cellIs" dxfId="695" priority="152" operator="greaterThan">
      <formula>J25</formula>
    </cfRule>
  </conditionalFormatting>
  <conditionalFormatting sqref="Q26">
    <cfRule type="cellIs" dxfId="694" priority="149" operator="lessThan">
      <formula>Q25</formula>
    </cfRule>
    <cfRule type="cellIs" dxfId="693" priority="150" operator="greaterThan">
      <formula>Q25</formula>
    </cfRule>
  </conditionalFormatting>
  <conditionalFormatting sqref="R26">
    <cfRule type="cellIs" dxfId="692" priority="147" operator="lessThan">
      <formula>R25</formula>
    </cfRule>
    <cfRule type="cellIs" dxfId="691" priority="148" operator="greaterThan">
      <formula>R25</formula>
    </cfRule>
  </conditionalFormatting>
  <conditionalFormatting sqref="S26">
    <cfRule type="cellIs" dxfId="690" priority="145" operator="lessThan">
      <formula>S25</formula>
    </cfRule>
    <cfRule type="cellIs" dxfId="689" priority="146" operator="greaterThan">
      <formula>S25</formula>
    </cfRule>
  </conditionalFormatting>
  <conditionalFormatting sqref="B27">
    <cfRule type="cellIs" dxfId="688" priority="107" operator="lessThan">
      <formula>B26</formula>
    </cfRule>
    <cfRule type="cellIs" dxfId="687" priority="108" operator="greaterThan">
      <formula>B26</formula>
    </cfRule>
  </conditionalFormatting>
  <conditionalFormatting sqref="C27">
    <cfRule type="cellIs" dxfId="686" priority="105" operator="lessThan">
      <formula>C26</formula>
    </cfRule>
    <cfRule type="cellIs" dxfId="685" priority="106" operator="greaterThan">
      <formula>C26</formula>
    </cfRule>
  </conditionalFormatting>
  <conditionalFormatting sqref="D27">
    <cfRule type="cellIs" dxfId="684" priority="103" operator="lessThan">
      <formula>D26</formula>
    </cfRule>
    <cfRule type="cellIs" dxfId="683" priority="104" operator="greaterThan">
      <formula>D26</formula>
    </cfRule>
  </conditionalFormatting>
  <conditionalFormatting sqref="E27">
    <cfRule type="cellIs" dxfId="682" priority="101" operator="lessThan">
      <formula>E26</formula>
    </cfRule>
    <cfRule type="cellIs" dxfId="681" priority="102" operator="greaterThan">
      <formula>E26</formula>
    </cfRule>
  </conditionalFormatting>
  <conditionalFormatting sqref="F27">
    <cfRule type="cellIs" dxfId="680" priority="99" operator="lessThan">
      <formula>F26</formula>
    </cfRule>
    <cfRule type="cellIs" dxfId="679" priority="100" operator="greaterThan">
      <formula>F26</formula>
    </cfRule>
  </conditionalFormatting>
  <conditionalFormatting sqref="G27">
    <cfRule type="cellIs" dxfId="678" priority="97" operator="lessThan">
      <formula>G26</formula>
    </cfRule>
    <cfRule type="cellIs" dxfId="677" priority="98" operator="greaterThan">
      <formula>G26</formula>
    </cfRule>
  </conditionalFormatting>
  <conditionalFormatting sqref="K27">
    <cfRule type="cellIs" dxfId="676" priority="95" operator="lessThan">
      <formula>K26</formula>
    </cfRule>
    <cfRule type="cellIs" dxfId="675" priority="96" operator="greaterThan">
      <formula>K26</formula>
    </cfRule>
  </conditionalFormatting>
  <conditionalFormatting sqref="L27">
    <cfRule type="cellIs" dxfId="674" priority="93" operator="lessThan">
      <formula>L26</formula>
    </cfRule>
    <cfRule type="cellIs" dxfId="673" priority="94" operator="greaterThan">
      <formula>L26</formula>
    </cfRule>
  </conditionalFormatting>
  <conditionalFormatting sqref="M27">
    <cfRule type="cellIs" dxfId="672" priority="91" operator="lessThan">
      <formula>M26</formula>
    </cfRule>
    <cfRule type="cellIs" dxfId="671" priority="92" operator="greaterThan">
      <formula>M26</formula>
    </cfRule>
  </conditionalFormatting>
  <conditionalFormatting sqref="N27">
    <cfRule type="cellIs" dxfId="670" priority="89" operator="lessThan">
      <formula>N26</formula>
    </cfRule>
    <cfRule type="cellIs" dxfId="669" priority="90" operator="greaterThan">
      <formula>N26</formula>
    </cfRule>
  </conditionalFormatting>
  <conditionalFormatting sqref="O27">
    <cfRule type="cellIs" dxfId="668" priority="87" operator="lessThan">
      <formula>O26</formula>
    </cfRule>
    <cfRule type="cellIs" dxfId="667" priority="88" operator="greaterThan">
      <formula>O26</formula>
    </cfRule>
  </conditionalFormatting>
  <conditionalFormatting sqref="P27">
    <cfRule type="cellIs" dxfId="666" priority="85" operator="lessThan">
      <formula>P26</formula>
    </cfRule>
    <cfRule type="cellIs" dxfId="665" priority="86" operator="greaterThan">
      <formula>P26</formula>
    </cfRule>
  </conditionalFormatting>
  <conditionalFormatting sqref="H27">
    <cfRule type="cellIs" dxfId="664" priority="83" operator="lessThan">
      <formula>H26</formula>
    </cfRule>
    <cfRule type="cellIs" dxfId="663" priority="84" operator="greaterThan">
      <formula>H26</formula>
    </cfRule>
  </conditionalFormatting>
  <conditionalFormatting sqref="I27">
    <cfRule type="cellIs" dxfId="662" priority="81" operator="lessThan">
      <formula>I26</formula>
    </cfRule>
    <cfRule type="cellIs" dxfId="661" priority="82" operator="greaterThan">
      <formula>I26</formula>
    </cfRule>
  </conditionalFormatting>
  <conditionalFormatting sqref="J27">
    <cfRule type="cellIs" dxfId="660" priority="79" operator="lessThan">
      <formula>J26</formula>
    </cfRule>
    <cfRule type="cellIs" dxfId="659" priority="80" operator="greaterThan">
      <formula>J26</formula>
    </cfRule>
  </conditionalFormatting>
  <conditionalFormatting sqref="Q27">
    <cfRule type="cellIs" dxfId="658" priority="77" operator="lessThan">
      <formula>Q26</formula>
    </cfRule>
    <cfRule type="cellIs" dxfId="657" priority="78" operator="greaterThan">
      <formula>Q26</formula>
    </cfRule>
  </conditionalFormatting>
  <conditionalFormatting sqref="R27">
    <cfRule type="cellIs" dxfId="656" priority="75" operator="lessThan">
      <formula>R26</formula>
    </cfRule>
    <cfRule type="cellIs" dxfId="655" priority="76" operator="greaterThan">
      <formula>R26</formula>
    </cfRule>
  </conditionalFormatting>
  <conditionalFormatting sqref="S27">
    <cfRule type="cellIs" dxfId="654" priority="73" operator="lessThan">
      <formula>S26</formula>
    </cfRule>
    <cfRule type="cellIs" dxfId="653" priority="74" operator="greaterThan">
      <formula>S26</formula>
    </cfRule>
  </conditionalFormatting>
  <conditionalFormatting sqref="B28">
    <cfRule type="cellIs" dxfId="652" priority="35" operator="lessThan">
      <formula>B27</formula>
    </cfRule>
    <cfRule type="cellIs" dxfId="651" priority="36" operator="greaterThan">
      <formula>B27</formula>
    </cfRule>
  </conditionalFormatting>
  <conditionalFormatting sqref="C28">
    <cfRule type="cellIs" dxfId="650" priority="33" operator="lessThan">
      <formula>C27</formula>
    </cfRule>
    <cfRule type="cellIs" dxfId="649" priority="34" operator="greaterThan">
      <formula>C27</formula>
    </cfRule>
  </conditionalFormatting>
  <conditionalFormatting sqref="D28">
    <cfRule type="cellIs" dxfId="648" priority="31" operator="lessThan">
      <formula>D27</formula>
    </cfRule>
    <cfRule type="cellIs" dxfId="647" priority="32" operator="greaterThan">
      <formula>D27</formula>
    </cfRule>
  </conditionalFormatting>
  <conditionalFormatting sqref="E28">
    <cfRule type="cellIs" dxfId="646" priority="29" operator="lessThan">
      <formula>E27</formula>
    </cfRule>
    <cfRule type="cellIs" dxfId="645" priority="30" operator="greaterThan">
      <formula>E27</formula>
    </cfRule>
  </conditionalFormatting>
  <conditionalFormatting sqref="F28">
    <cfRule type="cellIs" dxfId="644" priority="27" operator="lessThan">
      <formula>F27</formula>
    </cfRule>
    <cfRule type="cellIs" dxfId="643" priority="28" operator="greaterThan">
      <formula>F27</formula>
    </cfRule>
  </conditionalFormatting>
  <conditionalFormatting sqref="G28">
    <cfRule type="cellIs" dxfId="642" priority="25" operator="lessThan">
      <formula>G27</formula>
    </cfRule>
    <cfRule type="cellIs" dxfId="641" priority="26" operator="greaterThan">
      <formula>G27</formula>
    </cfRule>
  </conditionalFormatting>
  <conditionalFormatting sqref="K28">
    <cfRule type="cellIs" dxfId="640" priority="23" operator="lessThan">
      <formula>K27</formula>
    </cfRule>
    <cfRule type="cellIs" dxfId="639" priority="24" operator="greaterThan">
      <formula>K27</formula>
    </cfRule>
  </conditionalFormatting>
  <conditionalFormatting sqref="L28">
    <cfRule type="cellIs" dxfId="638" priority="21" operator="lessThan">
      <formula>L27</formula>
    </cfRule>
    <cfRule type="cellIs" dxfId="637" priority="22" operator="greaterThan">
      <formula>L27</formula>
    </cfRule>
  </conditionalFormatting>
  <conditionalFormatting sqref="M28">
    <cfRule type="cellIs" dxfId="636" priority="19" operator="lessThan">
      <formula>M27</formula>
    </cfRule>
    <cfRule type="cellIs" dxfId="635" priority="20" operator="greaterThan">
      <formula>M27</formula>
    </cfRule>
  </conditionalFormatting>
  <conditionalFormatting sqref="N28">
    <cfRule type="cellIs" dxfId="634" priority="17" operator="lessThan">
      <formula>N27</formula>
    </cfRule>
    <cfRule type="cellIs" dxfId="633" priority="18" operator="greaterThan">
      <formula>N27</formula>
    </cfRule>
  </conditionalFormatting>
  <conditionalFormatting sqref="O28">
    <cfRule type="cellIs" dxfId="632" priority="15" operator="lessThan">
      <formula>O27</formula>
    </cfRule>
    <cfRule type="cellIs" dxfId="631" priority="16" operator="greaterThan">
      <formula>O27</formula>
    </cfRule>
  </conditionalFormatting>
  <conditionalFormatting sqref="P28">
    <cfRule type="cellIs" dxfId="630" priority="13" operator="lessThan">
      <formula>P27</formula>
    </cfRule>
    <cfRule type="cellIs" dxfId="629" priority="14" operator="greaterThan">
      <formula>P27</formula>
    </cfRule>
  </conditionalFormatting>
  <conditionalFormatting sqref="H28">
    <cfRule type="cellIs" dxfId="628" priority="11" operator="lessThan">
      <formula>H27</formula>
    </cfRule>
    <cfRule type="cellIs" dxfId="627" priority="12" operator="greaterThan">
      <formula>H27</formula>
    </cfRule>
  </conditionalFormatting>
  <conditionalFormatting sqref="I28">
    <cfRule type="cellIs" dxfId="626" priority="9" operator="lessThan">
      <formula>I27</formula>
    </cfRule>
    <cfRule type="cellIs" dxfId="625" priority="10" operator="greaterThan">
      <formula>I27</formula>
    </cfRule>
  </conditionalFormatting>
  <conditionalFormatting sqref="J28">
    <cfRule type="cellIs" dxfId="624" priority="7" operator="lessThan">
      <formula>J27</formula>
    </cfRule>
    <cfRule type="cellIs" dxfId="623" priority="8" operator="greaterThan">
      <formula>J27</formula>
    </cfRule>
  </conditionalFormatting>
  <conditionalFormatting sqref="Q28">
    <cfRule type="cellIs" dxfId="622" priority="5" operator="lessThan">
      <formula>Q27</formula>
    </cfRule>
    <cfRule type="cellIs" dxfId="621" priority="6" operator="greaterThan">
      <formula>Q27</formula>
    </cfRule>
  </conditionalFormatting>
  <conditionalFormatting sqref="R28">
    <cfRule type="cellIs" dxfId="620" priority="3" operator="lessThan">
      <formula>R27</formula>
    </cfRule>
    <cfRule type="cellIs" dxfId="619" priority="4" operator="greaterThan">
      <formula>R27</formula>
    </cfRule>
  </conditionalFormatting>
  <conditionalFormatting sqref="S28">
    <cfRule type="cellIs" dxfId="618" priority="1" operator="lessThan">
      <formula>S27</formula>
    </cfRule>
    <cfRule type="cellIs" dxfId="617" priority="2" operator="greaterThan">
      <formula>S27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8" sqref="R28"/>
    </sheetView>
  </sheetViews>
  <sheetFormatPr defaultRowHeight="21" x14ac:dyDescent="0.35"/>
  <cols>
    <col min="1" max="1" width="15.140625" style="32" customWidth="1"/>
    <col min="2" max="19" width="9" style="33" customWidth="1"/>
    <col min="20" max="16384" width="9.140625" style="33"/>
  </cols>
  <sheetData>
    <row r="1" spans="1:24" x14ac:dyDescent="0.35">
      <c r="A1" s="46" t="s">
        <v>40</v>
      </c>
      <c r="B1" s="49"/>
      <c r="C1" s="49"/>
      <c r="D1" s="49"/>
      <c r="E1" s="49"/>
      <c r="F1" s="49"/>
      <c r="G1" s="49"/>
    </row>
    <row r="2" spans="1:24" s="35" customFormat="1" ht="42" customHeight="1" x14ac:dyDescent="0.2">
      <c r="A2" s="34" t="s">
        <v>25</v>
      </c>
      <c r="B2" s="219" t="s">
        <v>27</v>
      </c>
      <c r="C2" s="219"/>
      <c r="D2" s="219"/>
      <c r="E2" s="219" t="s">
        <v>30</v>
      </c>
      <c r="F2" s="219"/>
      <c r="G2" s="219"/>
      <c r="H2" s="219" t="s">
        <v>35</v>
      </c>
      <c r="I2" s="219"/>
      <c r="J2" s="219"/>
      <c r="K2" s="219" t="s">
        <v>28</v>
      </c>
      <c r="L2" s="219"/>
      <c r="M2" s="219"/>
      <c r="N2" s="219" t="s">
        <v>29</v>
      </c>
      <c r="O2" s="219"/>
      <c r="P2" s="219"/>
      <c r="Q2" s="219" t="s">
        <v>31</v>
      </c>
      <c r="R2" s="219"/>
      <c r="S2" s="219"/>
    </row>
    <row r="3" spans="1:24" s="35" customFormat="1" x14ac:dyDescent="0.2">
      <c r="A3" s="34"/>
      <c r="B3" s="74" t="s">
        <v>41</v>
      </c>
      <c r="C3" s="74" t="s">
        <v>42</v>
      </c>
      <c r="D3" s="74" t="s">
        <v>43</v>
      </c>
      <c r="E3" s="74" t="s">
        <v>41</v>
      </c>
      <c r="F3" s="74" t="s">
        <v>42</v>
      </c>
      <c r="G3" s="74" t="s">
        <v>43</v>
      </c>
      <c r="H3" s="74" t="s">
        <v>41</v>
      </c>
      <c r="I3" s="74" t="s">
        <v>42</v>
      </c>
      <c r="J3" s="74" t="s">
        <v>43</v>
      </c>
      <c r="K3" s="74" t="s">
        <v>41</v>
      </c>
      <c r="L3" s="74" t="s">
        <v>42</v>
      </c>
      <c r="M3" s="74" t="s">
        <v>43</v>
      </c>
      <c r="N3" s="74" t="s">
        <v>41</v>
      </c>
      <c r="O3" s="74" t="s">
        <v>42</v>
      </c>
      <c r="P3" s="74" t="s">
        <v>43</v>
      </c>
      <c r="Q3" s="74" t="s">
        <v>41</v>
      </c>
      <c r="R3" s="74" t="s">
        <v>42</v>
      </c>
      <c r="S3" s="74" t="s">
        <v>43</v>
      </c>
      <c r="U3" s="35" t="s">
        <v>27</v>
      </c>
      <c r="V3" s="35" t="s">
        <v>30</v>
      </c>
      <c r="W3" s="35" t="s">
        <v>28</v>
      </c>
      <c r="X3" s="35" t="s">
        <v>29</v>
      </c>
    </row>
    <row r="4" spans="1:24" ht="36" customHeight="1" x14ac:dyDescent="0.35">
      <c r="A4" s="37" t="s">
        <v>34</v>
      </c>
      <c r="B4" s="39">
        <v>1149.4831473999996</v>
      </c>
      <c r="C4" s="39">
        <v>384.68362099999985</v>
      </c>
      <c r="D4" s="50">
        <f>C4/B4</f>
        <v>0.33465790418077074</v>
      </c>
      <c r="E4" s="39">
        <v>586.04007390000004</v>
      </c>
      <c r="F4" s="39">
        <v>157.95286680000007</v>
      </c>
      <c r="G4" s="50">
        <f>F4/E4</f>
        <v>0.26952570964789113</v>
      </c>
      <c r="H4" s="39">
        <v>347.00665950000001</v>
      </c>
      <c r="I4" s="39">
        <v>144.22970509999999</v>
      </c>
      <c r="J4" s="50">
        <f>I4/H4</f>
        <v>0.41563958832323211</v>
      </c>
      <c r="K4" s="39">
        <v>265.93421559999996</v>
      </c>
      <c r="L4" s="39">
        <v>29.073256499999999</v>
      </c>
      <c r="M4" s="50">
        <f>L4/K4</f>
        <v>0.10932499390650055</v>
      </c>
      <c r="N4" s="39">
        <v>709.2072647</v>
      </c>
      <c r="O4" s="39">
        <v>15.105746399999997</v>
      </c>
      <c r="P4" s="50">
        <f>O4/N4</f>
        <v>2.1299480634042633E-2</v>
      </c>
      <c r="Q4" s="39">
        <f>B4+E4+H4+K4+N4</f>
        <v>3057.6713610999991</v>
      </c>
      <c r="R4" s="39">
        <f>C4+F4+I4+L4+O4</f>
        <v>731.04519579999999</v>
      </c>
      <c r="S4" s="50">
        <f>R4/Q4</f>
        <v>0.23908560125212608</v>
      </c>
      <c r="U4" s="40">
        <f>B4-C4</f>
        <v>764.79952639999965</v>
      </c>
      <c r="V4" s="40">
        <f>E4-F4</f>
        <v>428.0872071</v>
      </c>
      <c r="W4" s="40">
        <f>K4-L4</f>
        <v>236.86095909999995</v>
      </c>
      <c r="X4" s="40">
        <f>N4-O4</f>
        <v>694.10151829999995</v>
      </c>
    </row>
    <row r="5" spans="1:24" ht="36" hidden="1" customHeight="1" x14ac:dyDescent="0.35">
      <c r="A5" s="37" t="s">
        <v>9</v>
      </c>
      <c r="B5" s="39">
        <v>924.94520169999976</v>
      </c>
      <c r="C5" s="39">
        <v>324.34815980000002</v>
      </c>
      <c r="D5" s="50">
        <f t="shared" ref="D5:D20" si="0">C5/B5</f>
        <v>0.35066743327482047</v>
      </c>
      <c r="E5" s="39">
        <v>544.02268440000023</v>
      </c>
      <c r="F5" s="39">
        <v>117.24564479999998</v>
      </c>
      <c r="G5" s="50">
        <f t="shared" ref="G5:G20" si="1">F5/E5</f>
        <v>0.21551609549022682</v>
      </c>
      <c r="H5" s="39">
        <v>342.68271590000006</v>
      </c>
      <c r="I5" s="39">
        <v>63.692930499999996</v>
      </c>
      <c r="J5" s="50">
        <f t="shared" ref="J5:J20" si="2">I5/H5</f>
        <v>0.18586560554336959</v>
      </c>
      <c r="K5" s="39">
        <v>217.43415089999996</v>
      </c>
      <c r="L5" s="39">
        <v>40.419665299999991</v>
      </c>
      <c r="M5" s="50">
        <f t="shared" ref="M5:M20" si="3">L5/K5</f>
        <v>0.1858938217970616</v>
      </c>
      <c r="N5" s="39">
        <v>846.79114540000023</v>
      </c>
      <c r="O5" s="39">
        <v>44.040848100000012</v>
      </c>
      <c r="P5" s="50">
        <f t="shared" ref="P5:P20" si="4">O5/N5</f>
        <v>5.2009103235481233E-2</v>
      </c>
      <c r="Q5" s="39">
        <f t="shared" ref="Q5:Q20" si="5">B5+E5+H5+K5+N5</f>
        <v>2875.8758983000007</v>
      </c>
      <c r="R5" s="39">
        <f t="shared" ref="R5:R19" si="6">C5+F5+I5+L5+O5</f>
        <v>589.74724850000007</v>
      </c>
      <c r="S5" s="50">
        <f t="shared" ref="S5:S20" si="7">R5/Q5</f>
        <v>0.20506700196924835</v>
      </c>
      <c r="U5" s="40">
        <f t="shared" ref="U5:U12" si="8">B5-C5</f>
        <v>600.59704189999979</v>
      </c>
      <c r="V5" s="40">
        <f t="shared" ref="V5:V12" si="9">E5-F5</f>
        <v>426.77703960000025</v>
      </c>
      <c r="W5" s="40">
        <f t="shared" ref="W5:W12" si="10">K5-L5</f>
        <v>177.01448559999997</v>
      </c>
      <c r="X5" s="40">
        <f t="shared" ref="X5:X12" si="11">N5-O5</f>
        <v>802.75029730000017</v>
      </c>
    </row>
    <row r="6" spans="1:24" ht="36" hidden="1" customHeight="1" x14ac:dyDescent="0.35">
      <c r="A6" s="37" t="s">
        <v>10</v>
      </c>
      <c r="B6" s="39">
        <v>805.84949159999996</v>
      </c>
      <c r="C6" s="39">
        <v>220.71976959999998</v>
      </c>
      <c r="D6" s="50">
        <f t="shared" si="0"/>
        <v>0.27389701414561268</v>
      </c>
      <c r="E6" s="39">
        <v>637.25611709999953</v>
      </c>
      <c r="F6" s="39">
        <v>114.85140110000002</v>
      </c>
      <c r="G6" s="50">
        <f t="shared" si="1"/>
        <v>0.18022800883051751</v>
      </c>
      <c r="H6" s="39">
        <v>270.30706839999999</v>
      </c>
      <c r="I6" s="39">
        <v>64.7722701</v>
      </c>
      <c r="J6" s="50">
        <f t="shared" si="2"/>
        <v>0.23962477371901386</v>
      </c>
      <c r="K6" s="39">
        <v>278.25526899999988</v>
      </c>
      <c r="L6" s="39">
        <v>122.26338749999998</v>
      </c>
      <c r="M6" s="50">
        <f t="shared" si="3"/>
        <v>0.43939289250260355</v>
      </c>
      <c r="N6" s="39">
        <v>770.74465049999992</v>
      </c>
      <c r="O6" s="39">
        <v>46.889492799999999</v>
      </c>
      <c r="P6" s="50">
        <f t="shared" si="4"/>
        <v>6.0836611411550764E-2</v>
      </c>
      <c r="Q6" s="39">
        <f t="shared" si="5"/>
        <v>2762.4125965999992</v>
      </c>
      <c r="R6" s="39">
        <f t="shared" si="6"/>
        <v>569.49632109999993</v>
      </c>
      <c r="S6" s="50">
        <f t="shared" si="7"/>
        <v>0.20615903714055633</v>
      </c>
      <c r="U6" s="40">
        <f t="shared" si="8"/>
        <v>585.12972200000002</v>
      </c>
      <c r="V6" s="40">
        <f t="shared" si="9"/>
        <v>522.40471599999955</v>
      </c>
      <c r="W6" s="40">
        <f t="shared" si="10"/>
        <v>155.99188149999992</v>
      </c>
      <c r="X6" s="40">
        <f t="shared" si="11"/>
        <v>723.85515769999995</v>
      </c>
    </row>
    <row r="7" spans="1:24" ht="36" hidden="1" customHeight="1" x14ac:dyDescent="0.35">
      <c r="A7" s="37" t="s">
        <v>37</v>
      </c>
      <c r="B7" s="39">
        <v>871.29112839999993</v>
      </c>
      <c r="C7" s="39">
        <v>268.27494489999987</v>
      </c>
      <c r="D7" s="50">
        <f t="shared" si="0"/>
        <v>0.30790505739757501</v>
      </c>
      <c r="E7" s="39">
        <v>614.55136440000024</v>
      </c>
      <c r="F7" s="39">
        <v>133.03139069999997</v>
      </c>
      <c r="G7" s="50">
        <f t="shared" si="1"/>
        <v>0.21646911618182052</v>
      </c>
      <c r="H7" s="39">
        <v>189.57483259999998</v>
      </c>
      <c r="I7" s="39">
        <v>53.597351699999997</v>
      </c>
      <c r="J7" s="50">
        <f t="shared" si="2"/>
        <v>0.28272398274031235</v>
      </c>
      <c r="K7" s="39">
        <v>271.00610149999994</v>
      </c>
      <c r="L7" s="39">
        <v>109.23672629999999</v>
      </c>
      <c r="M7" s="50">
        <f t="shared" si="3"/>
        <v>0.40307847570730804</v>
      </c>
      <c r="N7" s="39">
        <v>1155.4082583000004</v>
      </c>
      <c r="O7" s="39">
        <v>28.456326400000009</v>
      </c>
      <c r="P7" s="50">
        <f t="shared" si="4"/>
        <v>2.4628806480809624E-2</v>
      </c>
      <c r="Q7" s="39">
        <f t="shared" si="5"/>
        <v>3101.8316852000007</v>
      </c>
      <c r="R7" s="39">
        <f t="shared" si="6"/>
        <v>592.59673999999984</v>
      </c>
      <c r="S7" s="50">
        <f t="shared" si="7"/>
        <v>0.19104735528607195</v>
      </c>
      <c r="U7" s="40">
        <f t="shared" si="8"/>
        <v>603.01618350000012</v>
      </c>
      <c r="V7" s="40">
        <f t="shared" si="9"/>
        <v>481.51997370000026</v>
      </c>
      <c r="W7" s="40">
        <f t="shared" si="10"/>
        <v>161.76937519999996</v>
      </c>
      <c r="X7" s="40">
        <f t="shared" si="11"/>
        <v>1126.9519319000003</v>
      </c>
    </row>
    <row r="8" spans="1:24" ht="36" hidden="1" customHeight="1" x14ac:dyDescent="0.35">
      <c r="A8" s="37" t="s">
        <v>12</v>
      </c>
      <c r="B8" s="39">
        <v>861.13403159999984</v>
      </c>
      <c r="C8" s="39">
        <v>289.47491529999979</v>
      </c>
      <c r="D8" s="50">
        <f t="shared" si="0"/>
        <v>0.33615547020264791</v>
      </c>
      <c r="E8" s="39">
        <v>536.8522131000002</v>
      </c>
      <c r="F8" s="39">
        <v>164.33894570000001</v>
      </c>
      <c r="G8" s="50">
        <f t="shared" si="1"/>
        <v>0.30611580187225262</v>
      </c>
      <c r="H8" s="39">
        <v>193.05039389999996</v>
      </c>
      <c r="I8" s="39">
        <v>20.177803100000002</v>
      </c>
      <c r="J8" s="50">
        <f t="shared" si="2"/>
        <v>0.10452091131423485</v>
      </c>
      <c r="K8" s="39">
        <v>259.07808540000002</v>
      </c>
      <c r="L8" s="39">
        <v>113.8331819</v>
      </c>
      <c r="M8" s="50">
        <f t="shared" si="3"/>
        <v>0.43937788765209079</v>
      </c>
      <c r="N8" s="39">
        <v>595.58785599999987</v>
      </c>
      <c r="O8" s="39">
        <v>58.033301299999998</v>
      </c>
      <c r="P8" s="50">
        <f t="shared" si="4"/>
        <v>9.7438691396018004E-2</v>
      </c>
      <c r="Q8" s="39">
        <f t="shared" si="5"/>
        <v>2445.7025800000001</v>
      </c>
      <c r="R8" s="39">
        <f t="shared" si="6"/>
        <v>645.8581472999997</v>
      </c>
      <c r="S8" s="50">
        <f t="shared" si="7"/>
        <v>0.26407877743662506</v>
      </c>
      <c r="U8" s="40">
        <f t="shared" si="8"/>
        <v>571.65911630000005</v>
      </c>
      <c r="V8" s="40">
        <f t="shared" si="9"/>
        <v>372.51326740000019</v>
      </c>
      <c r="W8" s="40">
        <f t="shared" si="10"/>
        <v>145.24490350000002</v>
      </c>
      <c r="X8" s="40">
        <f t="shared" si="11"/>
        <v>537.55455469999993</v>
      </c>
    </row>
    <row r="9" spans="1:24" ht="36" hidden="1" customHeight="1" x14ac:dyDescent="0.35">
      <c r="A9" s="37" t="s">
        <v>13</v>
      </c>
      <c r="B9" s="39">
        <v>876.33204199999989</v>
      </c>
      <c r="C9" s="39">
        <v>277.44054499999993</v>
      </c>
      <c r="D9" s="50">
        <f t="shared" si="0"/>
        <v>0.31659294845229446</v>
      </c>
      <c r="E9" s="39">
        <v>646.68693189999988</v>
      </c>
      <c r="F9" s="39">
        <v>194.73189859999997</v>
      </c>
      <c r="G9" s="50">
        <f t="shared" si="1"/>
        <v>0.30112236538918069</v>
      </c>
      <c r="H9" s="39">
        <v>296.03917759999996</v>
      </c>
      <c r="I9" s="39">
        <v>19.6973187</v>
      </c>
      <c r="J9" s="50">
        <f t="shared" si="2"/>
        <v>6.6536189093912693E-2</v>
      </c>
      <c r="K9" s="39">
        <v>215.92123790000002</v>
      </c>
      <c r="L9" s="39">
        <v>116.40877400000001</v>
      </c>
      <c r="M9" s="50">
        <f t="shared" si="3"/>
        <v>0.53912609584941618</v>
      </c>
      <c r="N9" s="39">
        <v>554.20701699999984</v>
      </c>
      <c r="O9" s="39">
        <v>93.291429699999966</v>
      </c>
      <c r="P9" s="50">
        <f t="shared" si="4"/>
        <v>0.168333180270794</v>
      </c>
      <c r="Q9" s="39">
        <f t="shared" si="5"/>
        <v>2589.1864063999997</v>
      </c>
      <c r="R9" s="39">
        <f t="shared" si="6"/>
        <v>701.56996599999991</v>
      </c>
      <c r="S9" s="50">
        <f t="shared" si="7"/>
        <v>0.27096155157691471</v>
      </c>
      <c r="U9" s="40">
        <f t="shared" si="8"/>
        <v>598.89149699999996</v>
      </c>
      <c r="V9" s="40">
        <f t="shared" si="9"/>
        <v>451.95503329999991</v>
      </c>
      <c r="W9" s="40">
        <f t="shared" si="10"/>
        <v>99.512463900000014</v>
      </c>
      <c r="X9" s="40">
        <f t="shared" si="11"/>
        <v>460.91558729999986</v>
      </c>
    </row>
    <row r="10" spans="1:24" ht="36" hidden="1" customHeight="1" x14ac:dyDescent="0.35">
      <c r="A10" s="37" t="s">
        <v>38</v>
      </c>
      <c r="B10" s="39">
        <v>780.98287090000031</v>
      </c>
      <c r="C10" s="39">
        <v>311.89573649999988</v>
      </c>
      <c r="D10" s="50">
        <f t="shared" si="0"/>
        <v>0.39936309504531509</v>
      </c>
      <c r="E10" s="39">
        <v>602.75370510000016</v>
      </c>
      <c r="F10" s="39">
        <v>191.16242639999996</v>
      </c>
      <c r="G10" s="50">
        <f t="shared" si="1"/>
        <v>0.31714848831710635</v>
      </c>
      <c r="H10" s="39">
        <v>204.25912750000001</v>
      </c>
      <c r="I10" s="39">
        <v>12.224827900000001</v>
      </c>
      <c r="J10" s="50">
        <f t="shared" si="2"/>
        <v>5.9849604028099065E-2</v>
      </c>
      <c r="K10" s="39">
        <v>376.11123650000008</v>
      </c>
      <c r="L10" s="39">
        <v>103.12687450000003</v>
      </c>
      <c r="M10" s="50">
        <f t="shared" si="3"/>
        <v>0.27419248480761621</v>
      </c>
      <c r="N10" s="39">
        <v>678.132563</v>
      </c>
      <c r="O10" s="39">
        <v>48.342858600000007</v>
      </c>
      <c r="P10" s="50">
        <f t="shared" si="4"/>
        <v>7.1288213009762236E-2</v>
      </c>
      <c r="Q10" s="39">
        <f t="shared" si="5"/>
        <v>2642.2395030000007</v>
      </c>
      <c r="R10" s="39">
        <f t="shared" si="6"/>
        <v>666.75272389999986</v>
      </c>
      <c r="S10" s="50">
        <f t="shared" si="7"/>
        <v>0.25234378758737364</v>
      </c>
      <c r="U10" s="40">
        <f t="shared" si="8"/>
        <v>469.08713440000042</v>
      </c>
      <c r="V10" s="40">
        <f t="shared" si="9"/>
        <v>411.5912787000002</v>
      </c>
      <c r="W10" s="40">
        <f t="shared" si="10"/>
        <v>272.98436200000003</v>
      </c>
      <c r="X10" s="40">
        <f t="shared" si="11"/>
        <v>629.78970440000001</v>
      </c>
    </row>
    <row r="11" spans="1:24" ht="36" hidden="1" customHeight="1" x14ac:dyDescent="0.35">
      <c r="A11" s="37" t="s">
        <v>15</v>
      </c>
      <c r="B11" s="39">
        <v>748.51978019999967</v>
      </c>
      <c r="C11" s="39">
        <v>261.0742217999998</v>
      </c>
      <c r="D11" s="50">
        <f t="shared" si="0"/>
        <v>0.34878733829885222</v>
      </c>
      <c r="E11" s="39">
        <v>635.68963750000069</v>
      </c>
      <c r="F11" s="39">
        <v>194.55107630000003</v>
      </c>
      <c r="G11" s="50">
        <f t="shared" si="1"/>
        <v>0.30604726713041602</v>
      </c>
      <c r="H11" s="39">
        <v>187.67426509999999</v>
      </c>
      <c r="I11" s="39">
        <v>7.3464579000000008</v>
      </c>
      <c r="J11" s="50">
        <f t="shared" si="2"/>
        <v>3.9144727147781978E-2</v>
      </c>
      <c r="K11" s="39">
        <v>335.4008776</v>
      </c>
      <c r="L11" s="39">
        <v>116.06681709999999</v>
      </c>
      <c r="M11" s="50">
        <f t="shared" si="3"/>
        <v>0.34605400537568537</v>
      </c>
      <c r="N11" s="39">
        <v>649.18286009999997</v>
      </c>
      <c r="O11" s="39">
        <v>87.791970999999975</v>
      </c>
      <c r="P11" s="50">
        <f t="shared" si="4"/>
        <v>0.135234579339443</v>
      </c>
      <c r="Q11" s="39">
        <f t="shared" si="5"/>
        <v>2556.4674205000001</v>
      </c>
      <c r="R11" s="39">
        <f t="shared" si="6"/>
        <v>666.83054409999988</v>
      </c>
      <c r="S11" s="50">
        <f t="shared" si="7"/>
        <v>0.26084061887617543</v>
      </c>
      <c r="U11" s="40">
        <f t="shared" si="8"/>
        <v>487.44555839999987</v>
      </c>
      <c r="V11" s="40">
        <f t="shared" si="9"/>
        <v>441.13856120000065</v>
      </c>
      <c r="W11" s="40">
        <f t="shared" si="10"/>
        <v>219.33406050000002</v>
      </c>
      <c r="X11" s="40">
        <f t="shared" si="11"/>
        <v>561.39088909999998</v>
      </c>
    </row>
    <row r="12" spans="1:24" ht="36" hidden="1" customHeight="1" x14ac:dyDescent="0.35">
      <c r="A12" s="37" t="s">
        <v>16</v>
      </c>
      <c r="B12" s="39">
        <v>934.01162299999999</v>
      </c>
      <c r="C12" s="39">
        <v>213.12280210000006</v>
      </c>
      <c r="D12" s="50">
        <f t="shared" si="0"/>
        <v>0.22818003208082141</v>
      </c>
      <c r="E12" s="39">
        <v>632.39556269999969</v>
      </c>
      <c r="F12" s="39">
        <v>184.17270589999981</v>
      </c>
      <c r="G12" s="50">
        <f t="shared" si="1"/>
        <v>0.2912302311446941</v>
      </c>
      <c r="H12" s="39">
        <v>253.11114649999996</v>
      </c>
      <c r="I12" s="39">
        <v>39.5897328</v>
      </c>
      <c r="J12" s="50">
        <f t="shared" si="2"/>
        <v>0.15641244310036739</v>
      </c>
      <c r="K12" s="39">
        <v>291.1002191</v>
      </c>
      <c r="L12" s="39">
        <v>127.95886329999992</v>
      </c>
      <c r="M12" s="50">
        <f t="shared" si="3"/>
        <v>0.4395697938517969</v>
      </c>
      <c r="N12" s="39">
        <v>639.54176100000006</v>
      </c>
      <c r="O12" s="39">
        <v>46.499639299999821</v>
      </c>
      <c r="P12" s="50">
        <f t="shared" si="4"/>
        <v>7.2707745038091132E-2</v>
      </c>
      <c r="Q12" s="39">
        <f t="shared" si="5"/>
        <v>2750.1603122999995</v>
      </c>
      <c r="R12" s="39">
        <f t="shared" si="6"/>
        <v>611.34374339999954</v>
      </c>
      <c r="S12" s="50">
        <f t="shared" si="7"/>
        <v>0.22229385707654395</v>
      </c>
      <c r="U12" s="40">
        <f t="shared" si="8"/>
        <v>720.88882089999993</v>
      </c>
      <c r="V12" s="40">
        <f t="shared" si="9"/>
        <v>448.22285679999987</v>
      </c>
      <c r="W12" s="40">
        <f t="shared" si="10"/>
        <v>163.1413558000001</v>
      </c>
      <c r="X12" s="40">
        <f t="shared" si="11"/>
        <v>593.04212170000028</v>
      </c>
    </row>
    <row r="13" spans="1:24" ht="36" hidden="1" customHeight="1" x14ac:dyDescent="0.35">
      <c r="A13" s="37" t="s">
        <v>17</v>
      </c>
      <c r="B13" s="39">
        <v>800.62667509999972</v>
      </c>
      <c r="C13" s="39">
        <v>199.38182409999985</v>
      </c>
      <c r="D13" s="50">
        <f t="shared" si="0"/>
        <v>0.24903220227467027</v>
      </c>
      <c r="E13" s="39">
        <v>603.84464880000007</v>
      </c>
      <c r="F13" s="39">
        <v>162.60598729999992</v>
      </c>
      <c r="G13" s="50">
        <f t="shared" si="1"/>
        <v>0.26928447179774012</v>
      </c>
      <c r="H13" s="39">
        <v>281.32357979999995</v>
      </c>
      <c r="I13" s="39">
        <v>20.285684700000001</v>
      </c>
      <c r="J13" s="50">
        <f t="shared" si="2"/>
        <v>7.2108014246163116E-2</v>
      </c>
      <c r="K13" s="39">
        <v>206.49995670000001</v>
      </c>
      <c r="L13" s="39">
        <v>146.11998969999999</v>
      </c>
      <c r="M13" s="50">
        <f t="shared" si="3"/>
        <v>0.70760300406397125</v>
      </c>
      <c r="N13" s="39">
        <v>1202.2503058000002</v>
      </c>
      <c r="O13" s="39">
        <v>45.905881699999867</v>
      </c>
      <c r="P13" s="50">
        <f t="shared" si="4"/>
        <v>3.8183298002534692E-2</v>
      </c>
      <c r="Q13" s="39">
        <f t="shared" si="5"/>
        <v>3094.5451662</v>
      </c>
      <c r="R13" s="39">
        <f t="shared" si="6"/>
        <v>574.29936749999968</v>
      </c>
      <c r="S13" s="50">
        <f t="shared" si="7"/>
        <v>0.18558441924608277</v>
      </c>
      <c r="U13" s="40">
        <f>B13-C13</f>
        <v>601.24485099999993</v>
      </c>
      <c r="V13" s="40">
        <f>E13-F13</f>
        <v>441.23866150000015</v>
      </c>
      <c r="W13" s="40">
        <f>K13-L13</f>
        <v>60.379967000000022</v>
      </c>
      <c r="X13" s="40">
        <f t="shared" ref="X13:X20" si="12">N13-O13</f>
        <v>1156.3444241000004</v>
      </c>
    </row>
    <row r="14" spans="1:24" ht="36" hidden="1" customHeight="1" x14ac:dyDescent="0.35">
      <c r="A14" s="37" t="s">
        <v>18</v>
      </c>
      <c r="B14" s="39">
        <v>777.25925449999977</v>
      </c>
      <c r="C14" s="39">
        <v>168.47600439999997</v>
      </c>
      <c r="D14" s="50">
        <f t="shared" si="0"/>
        <v>0.21675651132436921</v>
      </c>
      <c r="E14" s="39">
        <v>481.26135679999999</v>
      </c>
      <c r="F14" s="39">
        <v>138.27971959999988</v>
      </c>
      <c r="G14" s="50">
        <f t="shared" si="1"/>
        <v>0.28732770176988348</v>
      </c>
      <c r="H14" s="39">
        <v>182.52597679999997</v>
      </c>
      <c r="I14" s="39">
        <v>44.408373699999991</v>
      </c>
      <c r="J14" s="50">
        <f t="shared" si="2"/>
        <v>0.24329892368503681</v>
      </c>
      <c r="K14" s="39">
        <v>223.55830479999997</v>
      </c>
      <c r="L14" s="39">
        <v>119.5203056</v>
      </c>
      <c r="M14" s="50">
        <f t="shared" si="3"/>
        <v>0.53462699901453181</v>
      </c>
      <c r="N14" s="39">
        <v>1125.4313795999994</v>
      </c>
      <c r="O14" s="39">
        <v>42.350641400000157</v>
      </c>
      <c r="P14" s="50">
        <f t="shared" si="4"/>
        <v>3.7630585185080244E-2</v>
      </c>
      <c r="Q14" s="39">
        <f t="shared" si="5"/>
        <v>2790.0362724999986</v>
      </c>
      <c r="R14" s="39">
        <f t="shared" si="6"/>
        <v>513.03504470000007</v>
      </c>
      <c r="S14" s="50">
        <f t="shared" si="7"/>
        <v>0.18388113794674701</v>
      </c>
      <c r="U14" s="40">
        <f t="shared" ref="U14:U20" si="13">B14-C14</f>
        <v>608.7832500999998</v>
      </c>
      <c r="V14" s="40">
        <f t="shared" ref="V14:V20" si="14">E14-F14</f>
        <v>342.98163720000014</v>
      </c>
      <c r="W14" s="40">
        <f t="shared" ref="W14:W20" si="15">K14-L14</f>
        <v>104.03799919999997</v>
      </c>
      <c r="X14" s="40">
        <f t="shared" si="12"/>
        <v>1083.0807381999994</v>
      </c>
    </row>
    <row r="15" spans="1:24" ht="36" hidden="1" customHeight="1" x14ac:dyDescent="0.35">
      <c r="A15" s="37" t="s">
        <v>19</v>
      </c>
      <c r="B15" s="39">
        <v>900.58071650000034</v>
      </c>
      <c r="C15" s="39">
        <v>180.19181119999996</v>
      </c>
      <c r="D15" s="50">
        <f t="shared" si="0"/>
        <v>0.20008402123053887</v>
      </c>
      <c r="E15" s="39">
        <v>549.06672539999988</v>
      </c>
      <c r="F15" s="39">
        <v>147.58436210000016</v>
      </c>
      <c r="G15" s="50">
        <f t="shared" si="1"/>
        <v>0.2687913058153063</v>
      </c>
      <c r="H15" s="39">
        <v>223.4265193</v>
      </c>
      <c r="I15" s="39">
        <v>46.305222799999981</v>
      </c>
      <c r="J15" s="50">
        <f t="shared" si="2"/>
        <v>0.20725034317804003</v>
      </c>
      <c r="K15" s="39">
        <v>266.2318042</v>
      </c>
      <c r="L15" s="39">
        <v>115.80045849999999</v>
      </c>
      <c r="M15" s="50">
        <f t="shared" si="3"/>
        <v>0.4349610252162352</v>
      </c>
      <c r="N15" s="39">
        <v>782.3243217000005</v>
      </c>
      <c r="O15" s="39">
        <v>38.295096400000119</v>
      </c>
      <c r="P15" s="50">
        <f t="shared" si="4"/>
        <v>4.8950410127585449E-2</v>
      </c>
      <c r="Q15" s="39">
        <f t="shared" si="5"/>
        <v>2721.6300871000008</v>
      </c>
      <c r="R15" s="39">
        <f t="shared" si="6"/>
        <v>528.17695100000014</v>
      </c>
      <c r="S15" s="50">
        <f t="shared" si="7"/>
        <v>0.19406639921547625</v>
      </c>
      <c r="U15" s="40">
        <f t="shared" si="13"/>
        <v>720.38890530000037</v>
      </c>
      <c r="V15" s="40">
        <f t="shared" si="14"/>
        <v>401.48236329999975</v>
      </c>
      <c r="W15" s="40">
        <f t="shared" si="15"/>
        <v>150.43134570000001</v>
      </c>
      <c r="X15" s="40">
        <f t="shared" si="12"/>
        <v>744.02922530000035</v>
      </c>
    </row>
    <row r="16" spans="1:24" ht="36" customHeight="1" x14ac:dyDescent="0.35">
      <c r="A16" s="37" t="s">
        <v>20</v>
      </c>
      <c r="B16" s="39">
        <v>876.64216239999962</v>
      </c>
      <c r="C16" s="39">
        <v>183.74550969999999</v>
      </c>
      <c r="D16" s="50">
        <f t="shared" si="0"/>
        <v>0.20960149714560439</v>
      </c>
      <c r="E16" s="39">
        <v>605.32744899999966</v>
      </c>
      <c r="F16" s="39">
        <v>170.93542950000005</v>
      </c>
      <c r="G16" s="50">
        <f t="shared" si="1"/>
        <v>0.28238506246889217</v>
      </c>
      <c r="H16" s="39">
        <v>118.68809780000001</v>
      </c>
      <c r="I16" s="39">
        <v>38.140833999999998</v>
      </c>
      <c r="J16" s="50">
        <f t="shared" si="2"/>
        <v>0.32135348621283572</v>
      </c>
      <c r="K16" s="39">
        <v>545.55636539999989</v>
      </c>
      <c r="L16" s="39">
        <v>97.076631199999994</v>
      </c>
      <c r="M16" s="50">
        <f t="shared" si="3"/>
        <v>0.17794060771121931</v>
      </c>
      <c r="N16" s="39">
        <v>539.0050987999997</v>
      </c>
      <c r="O16" s="39">
        <v>47.475423600000141</v>
      </c>
      <c r="P16" s="50">
        <f t="shared" si="4"/>
        <v>8.8079730053937974E-2</v>
      </c>
      <c r="Q16" s="39">
        <f t="shared" si="5"/>
        <v>2685.2191733999989</v>
      </c>
      <c r="R16" s="39">
        <f t="shared" si="6"/>
        <v>537.37382800000012</v>
      </c>
      <c r="S16" s="50">
        <f t="shared" si="7"/>
        <v>0.20012289250846607</v>
      </c>
      <c r="U16" s="40">
        <f t="shared" si="13"/>
        <v>692.89665269999966</v>
      </c>
      <c r="V16" s="40">
        <f t="shared" si="14"/>
        <v>434.39201949999961</v>
      </c>
      <c r="W16" s="40">
        <f t="shared" si="15"/>
        <v>448.47973419999988</v>
      </c>
      <c r="X16" s="40">
        <f t="shared" si="12"/>
        <v>491.52967519999959</v>
      </c>
    </row>
    <row r="17" spans="1:24" ht="36" hidden="1" customHeight="1" x14ac:dyDescent="0.35">
      <c r="A17" s="37" t="s">
        <v>336</v>
      </c>
      <c r="B17" s="39">
        <v>948.58685200000093</v>
      </c>
      <c r="C17" s="39">
        <v>173.949095</v>
      </c>
      <c r="D17" s="50">
        <f t="shared" si="0"/>
        <v>0.18337708838494404</v>
      </c>
      <c r="E17" s="39">
        <v>654.76344319999953</v>
      </c>
      <c r="F17" s="39">
        <v>170.38141120000006</v>
      </c>
      <c r="G17" s="50">
        <f t="shared" si="1"/>
        <v>0.2602182711473654</v>
      </c>
      <c r="H17" s="39">
        <v>138.68384490000003</v>
      </c>
      <c r="I17" s="39">
        <v>31.343609899999997</v>
      </c>
      <c r="J17" s="50">
        <f t="shared" si="2"/>
        <v>0.22600765015276839</v>
      </c>
      <c r="K17" s="39">
        <v>205.35350839999992</v>
      </c>
      <c r="L17" s="39">
        <v>96.032354799999979</v>
      </c>
      <c r="M17" s="50">
        <f t="shared" si="3"/>
        <v>0.46764409114911432</v>
      </c>
      <c r="N17" s="39">
        <v>994.78284680000024</v>
      </c>
      <c r="O17" s="39">
        <v>74.739205400000287</v>
      </c>
      <c r="P17" s="50">
        <f t="shared" si="4"/>
        <v>7.5131176256627297E-2</v>
      </c>
      <c r="Q17" s="39">
        <f t="shared" si="5"/>
        <v>2942.1704953000008</v>
      </c>
      <c r="R17" s="39">
        <f t="shared" si="6"/>
        <v>546.44567630000029</v>
      </c>
      <c r="S17" s="50">
        <f t="shared" si="7"/>
        <v>0.1857287594899498</v>
      </c>
      <c r="U17" s="40">
        <f t="shared" si="13"/>
        <v>774.63775700000087</v>
      </c>
      <c r="V17" s="40">
        <f t="shared" si="14"/>
        <v>484.38203199999947</v>
      </c>
      <c r="W17" s="40">
        <f t="shared" si="15"/>
        <v>109.32115359999995</v>
      </c>
      <c r="X17" s="40">
        <f t="shared" si="12"/>
        <v>920.04364139999996</v>
      </c>
    </row>
    <row r="18" spans="1:24" ht="36" hidden="1" customHeight="1" x14ac:dyDescent="0.35">
      <c r="A18" s="37" t="s">
        <v>337</v>
      </c>
      <c r="B18" s="39">
        <v>918.56641310000043</v>
      </c>
      <c r="C18" s="39">
        <v>190.29274380000004</v>
      </c>
      <c r="D18" s="50">
        <f t="shared" si="0"/>
        <v>0.20716274956951172</v>
      </c>
      <c r="E18" s="39">
        <v>606.96808189999911</v>
      </c>
      <c r="F18" s="39">
        <v>171.98394300000015</v>
      </c>
      <c r="G18" s="50">
        <f t="shared" si="1"/>
        <v>0.28334923718169308</v>
      </c>
      <c r="H18" s="39">
        <v>361.42592819999999</v>
      </c>
      <c r="I18" s="39">
        <v>31.343609899999997</v>
      </c>
      <c r="J18" s="50">
        <f t="shared" si="2"/>
        <v>8.6722084539146788E-2</v>
      </c>
      <c r="K18" s="39">
        <v>301.4399889</v>
      </c>
      <c r="L18" s="39">
        <v>96.26980069999999</v>
      </c>
      <c r="M18" s="50">
        <f t="shared" si="3"/>
        <v>0.31936638881690188</v>
      </c>
      <c r="N18" s="39">
        <v>1389.5510381999993</v>
      </c>
      <c r="O18" s="39">
        <v>79.838495000000293</v>
      </c>
      <c r="P18" s="50">
        <f t="shared" si="4"/>
        <v>5.7456324240829408E-2</v>
      </c>
      <c r="Q18" s="39">
        <f t="shared" si="5"/>
        <v>3577.9514502999987</v>
      </c>
      <c r="R18" s="39">
        <f t="shared" si="6"/>
        <v>569.72859240000048</v>
      </c>
      <c r="S18" s="50">
        <f t="shared" si="7"/>
        <v>0.1592331814206788</v>
      </c>
      <c r="U18" s="40">
        <f t="shared" si="13"/>
        <v>728.27366930000039</v>
      </c>
      <c r="V18" s="40">
        <f t="shared" si="14"/>
        <v>434.98413889999892</v>
      </c>
      <c r="W18" s="40">
        <f t="shared" si="15"/>
        <v>205.17018820000001</v>
      </c>
      <c r="X18" s="40">
        <f t="shared" si="12"/>
        <v>1309.7125431999991</v>
      </c>
    </row>
    <row r="19" spans="1:24" ht="36" customHeight="1" x14ac:dyDescent="0.35">
      <c r="A19" s="37" t="s">
        <v>338</v>
      </c>
      <c r="B19" s="39">
        <v>1042.4672761999996</v>
      </c>
      <c r="C19" s="39">
        <v>210.50670959999985</v>
      </c>
      <c r="D19" s="50">
        <f t="shared" si="0"/>
        <v>0.20193123986331604</v>
      </c>
      <c r="E19" s="39">
        <v>495.61528959999993</v>
      </c>
      <c r="F19" s="39">
        <v>174.90709680000003</v>
      </c>
      <c r="G19" s="50">
        <f t="shared" si="1"/>
        <v>0.35290900113506113</v>
      </c>
      <c r="H19" s="39">
        <v>193.42996440000002</v>
      </c>
      <c r="I19" s="39">
        <v>26.138809900000012</v>
      </c>
      <c r="J19" s="50">
        <f t="shared" si="2"/>
        <v>0.1351331991456439</v>
      </c>
      <c r="K19" s="39">
        <v>198.6878327</v>
      </c>
      <c r="L19" s="39">
        <v>96.813399499999989</v>
      </c>
      <c r="M19" s="50">
        <f t="shared" si="3"/>
        <v>0.48726385599151983</v>
      </c>
      <c r="N19" s="39">
        <v>1578.6290186999997</v>
      </c>
      <c r="O19" s="39">
        <v>85.601236800000279</v>
      </c>
      <c r="P19" s="50">
        <f t="shared" si="4"/>
        <v>5.4225049575290882E-2</v>
      </c>
      <c r="Q19" s="39">
        <f t="shared" si="5"/>
        <v>3508.8293815999991</v>
      </c>
      <c r="R19" s="39">
        <f t="shared" si="6"/>
        <v>593.96725260000017</v>
      </c>
      <c r="S19" s="50">
        <f t="shared" si="7"/>
        <v>0.16927789527604664</v>
      </c>
      <c r="U19" s="40">
        <f t="shared" si="13"/>
        <v>831.96056659999977</v>
      </c>
      <c r="V19" s="40">
        <f t="shared" si="14"/>
        <v>320.70819279999989</v>
      </c>
      <c r="W19" s="40">
        <f t="shared" si="15"/>
        <v>101.87443320000001</v>
      </c>
      <c r="X19" s="40">
        <f t="shared" si="12"/>
        <v>1493.0277818999994</v>
      </c>
    </row>
    <row r="20" spans="1:24" ht="36" hidden="1" customHeight="1" x14ac:dyDescent="0.35">
      <c r="A20" s="37" t="s">
        <v>339</v>
      </c>
      <c r="B20" s="39">
        <v>938.08397289999994</v>
      </c>
      <c r="C20" s="39">
        <v>190.31539699999999</v>
      </c>
      <c r="D20" s="50">
        <f t="shared" si="0"/>
        <v>0.20287671732804211</v>
      </c>
      <c r="E20" s="39">
        <v>510.92138309999973</v>
      </c>
      <c r="F20" s="39">
        <v>179.36982799999998</v>
      </c>
      <c r="G20" s="50">
        <f t="shared" si="1"/>
        <v>0.35107128793803671</v>
      </c>
      <c r="H20" s="39">
        <v>345.49991180000001</v>
      </c>
      <c r="I20" s="39">
        <v>39.430973100000003</v>
      </c>
      <c r="J20" s="50">
        <f t="shared" si="2"/>
        <v>0.11412730294074709</v>
      </c>
      <c r="K20" s="39">
        <v>207.8794773999999</v>
      </c>
      <c r="L20" s="39">
        <v>98.747858299999976</v>
      </c>
      <c r="M20" s="50">
        <f t="shared" si="3"/>
        <v>0.47502456488280559</v>
      </c>
      <c r="N20" s="39">
        <v>960.47505509999974</v>
      </c>
      <c r="O20" s="39">
        <v>90.04201880000015</v>
      </c>
      <c r="P20" s="50">
        <f t="shared" si="4"/>
        <v>9.3747378780831989E-2</v>
      </c>
      <c r="Q20" s="39">
        <f t="shared" si="5"/>
        <v>2962.8598002999993</v>
      </c>
      <c r="R20" s="39">
        <f t="shared" ref="R20:R27" si="16">C20+F20+I20+L20+O20</f>
        <v>597.90607520000003</v>
      </c>
      <c r="S20" s="50">
        <f t="shared" si="7"/>
        <v>0.20180032654243718</v>
      </c>
      <c r="U20" s="40">
        <f t="shared" si="13"/>
        <v>747.76857589999997</v>
      </c>
      <c r="V20" s="40">
        <f t="shared" si="14"/>
        <v>331.55155509999975</v>
      </c>
      <c r="W20" s="40">
        <f t="shared" si="15"/>
        <v>109.13161909999992</v>
      </c>
      <c r="X20" s="40">
        <f t="shared" si="12"/>
        <v>870.43303629999957</v>
      </c>
    </row>
    <row r="21" spans="1:24" ht="36" hidden="1" customHeight="1" x14ac:dyDescent="0.35">
      <c r="A21" s="37" t="s">
        <v>379</v>
      </c>
      <c r="B21" s="39">
        <v>914.30685819999997</v>
      </c>
      <c r="C21" s="39">
        <v>174.58193669999997</v>
      </c>
      <c r="D21" s="50">
        <f t="shared" ref="D21:D27" si="17">C21/B21</f>
        <v>0.19094457745149174</v>
      </c>
      <c r="E21" s="39">
        <v>586.40044229999978</v>
      </c>
      <c r="F21" s="39">
        <v>172.87652200000008</v>
      </c>
      <c r="G21" s="50">
        <f t="shared" ref="G21:G27" si="18">F21/E21</f>
        <v>0.2948096719060066</v>
      </c>
      <c r="H21" s="39">
        <v>806.9964827</v>
      </c>
      <c r="I21" s="39">
        <v>32.151548300000002</v>
      </c>
      <c r="J21" s="50">
        <f t="shared" ref="J21:J27" si="19">I21/H21</f>
        <v>3.9841001775409599E-2</v>
      </c>
      <c r="K21" s="39">
        <v>242.23008789999992</v>
      </c>
      <c r="L21" s="39">
        <v>96.544789800000046</v>
      </c>
      <c r="M21" s="50">
        <f t="shared" ref="M21:M27" si="20">L21/K21</f>
        <v>0.39856646478969504</v>
      </c>
      <c r="N21" s="39">
        <v>682.40011790000005</v>
      </c>
      <c r="O21" s="39">
        <v>50.646860999999568</v>
      </c>
      <c r="P21" s="50">
        <f t="shared" ref="P21:P27" si="21">O21/N21</f>
        <v>7.4218716661214643E-2</v>
      </c>
      <c r="Q21" s="39">
        <f t="shared" ref="Q21:Q27" si="22">B21+E21+H21+K21+N21</f>
        <v>3232.3339889999997</v>
      </c>
      <c r="R21" s="39">
        <f t="shared" si="16"/>
        <v>526.8016577999997</v>
      </c>
      <c r="S21" s="50">
        <f t="shared" ref="S21:S27" si="23">R21/Q21</f>
        <v>0.16297872051364917</v>
      </c>
      <c r="U21" s="40">
        <f t="shared" ref="U21:U26" si="24">B21-C21</f>
        <v>739.72492149999994</v>
      </c>
      <c r="V21" s="40">
        <f t="shared" ref="V21:V26" si="25">E21-F21</f>
        <v>413.5239202999997</v>
      </c>
      <c r="W21" s="40">
        <f t="shared" ref="W21:W26" si="26">K21-L21</f>
        <v>145.68529809999987</v>
      </c>
      <c r="X21" s="40">
        <f t="shared" ref="X21:X26" si="27">N21-O21</f>
        <v>631.75325690000045</v>
      </c>
    </row>
    <row r="22" spans="1:24" ht="36" customHeight="1" x14ac:dyDescent="0.35">
      <c r="A22" s="37" t="s">
        <v>380</v>
      </c>
      <c r="B22" s="39">
        <v>1003.4331837000001</v>
      </c>
      <c r="C22" s="39">
        <v>203.63413270000007</v>
      </c>
      <c r="D22" s="50">
        <f t="shared" si="17"/>
        <v>0.2029374112874478</v>
      </c>
      <c r="E22" s="39">
        <v>718.15696680000042</v>
      </c>
      <c r="F22" s="39">
        <v>156.97204350000004</v>
      </c>
      <c r="G22" s="50">
        <f t="shared" si="18"/>
        <v>0.21857623159940073</v>
      </c>
      <c r="H22" s="39">
        <v>798.9691418000001</v>
      </c>
      <c r="I22" s="39">
        <v>17.333314499999997</v>
      </c>
      <c r="J22" s="50">
        <f t="shared" si="19"/>
        <v>2.1694598193053763E-2</v>
      </c>
      <c r="K22" s="39">
        <v>174.95409690000002</v>
      </c>
      <c r="L22" s="39">
        <v>87.109575199999995</v>
      </c>
      <c r="M22" s="50">
        <f t="shared" si="20"/>
        <v>0.49789960191552385</v>
      </c>
      <c r="N22" s="39">
        <v>542.9041251000001</v>
      </c>
      <c r="O22" s="39">
        <v>39.325559300000009</v>
      </c>
      <c r="P22" s="50">
        <f t="shared" si="21"/>
        <v>7.2435550738827861E-2</v>
      </c>
      <c r="Q22" s="39">
        <f t="shared" si="22"/>
        <v>3238.4175143000011</v>
      </c>
      <c r="R22" s="39">
        <f t="shared" si="16"/>
        <v>504.37462520000008</v>
      </c>
      <c r="S22" s="50">
        <f t="shared" si="23"/>
        <v>0.15574725092512445</v>
      </c>
      <c r="U22" s="40">
        <f t="shared" si="24"/>
        <v>799.79905099999996</v>
      </c>
      <c r="V22" s="40">
        <f t="shared" si="25"/>
        <v>561.18492330000038</v>
      </c>
      <c r="W22" s="40">
        <f t="shared" si="26"/>
        <v>87.84452170000003</v>
      </c>
      <c r="X22" s="40">
        <f t="shared" si="27"/>
        <v>503.57856580000009</v>
      </c>
    </row>
    <row r="23" spans="1:24" ht="36" hidden="1" customHeight="1" x14ac:dyDescent="0.35">
      <c r="A23" s="37" t="s">
        <v>381</v>
      </c>
      <c r="B23" s="39">
        <v>1298.7895133</v>
      </c>
      <c r="C23" s="39">
        <v>208.83248599999979</v>
      </c>
      <c r="D23" s="50">
        <f t="shared" si="17"/>
        <v>0.16079009251421542</v>
      </c>
      <c r="E23" s="39">
        <v>697.1138707999994</v>
      </c>
      <c r="F23" s="39">
        <v>182.93650910000011</v>
      </c>
      <c r="G23" s="50">
        <f t="shared" si="18"/>
        <v>0.26241983808192543</v>
      </c>
      <c r="H23" s="39">
        <v>523.4930306</v>
      </c>
      <c r="I23" s="39">
        <v>28.850768699999996</v>
      </c>
      <c r="J23" s="50">
        <f t="shared" si="19"/>
        <v>5.5112039728461661E-2</v>
      </c>
      <c r="K23" s="39">
        <v>187.04736679999996</v>
      </c>
      <c r="L23" s="39">
        <v>83.381773399999986</v>
      </c>
      <c r="M23" s="50">
        <f t="shared" si="20"/>
        <v>0.44577892127802998</v>
      </c>
      <c r="N23" s="39">
        <v>868.36401420000027</v>
      </c>
      <c r="O23" s="39">
        <v>47.345419299999847</v>
      </c>
      <c r="P23" s="50">
        <f t="shared" si="21"/>
        <v>5.4522548753494667E-2</v>
      </c>
      <c r="Q23" s="39">
        <f t="shared" si="22"/>
        <v>3574.8077956999996</v>
      </c>
      <c r="R23" s="39">
        <f t="shared" si="16"/>
        <v>551.34695649999969</v>
      </c>
      <c r="S23" s="50">
        <f t="shared" si="23"/>
        <v>0.15423121689596683</v>
      </c>
      <c r="U23" s="40">
        <f t="shared" si="24"/>
        <v>1089.9570273000002</v>
      </c>
      <c r="V23" s="40">
        <f t="shared" si="25"/>
        <v>514.17736169999932</v>
      </c>
      <c r="W23" s="40">
        <f t="shared" si="26"/>
        <v>103.66559339999998</v>
      </c>
      <c r="X23" s="40">
        <f t="shared" si="27"/>
        <v>821.01859490000038</v>
      </c>
    </row>
    <row r="24" spans="1:24" ht="36" hidden="1" customHeight="1" x14ac:dyDescent="0.35">
      <c r="A24" s="37" t="s">
        <v>382</v>
      </c>
      <c r="B24" s="39">
        <v>1302.2806993999995</v>
      </c>
      <c r="C24" s="39">
        <v>195.71527529999986</v>
      </c>
      <c r="D24" s="50">
        <f t="shared" si="17"/>
        <v>0.15028655142487474</v>
      </c>
      <c r="E24" s="39">
        <v>798.05986829999972</v>
      </c>
      <c r="F24" s="39">
        <v>171.88780179999995</v>
      </c>
      <c r="G24" s="50">
        <f t="shared" si="18"/>
        <v>0.21538208927376534</v>
      </c>
      <c r="H24" s="39">
        <v>584.27593059999992</v>
      </c>
      <c r="I24" s="39">
        <v>23.157794700000007</v>
      </c>
      <c r="J24" s="50">
        <f t="shared" si="19"/>
        <v>3.9635031133695667E-2</v>
      </c>
      <c r="K24" s="39">
        <v>369.84986780000003</v>
      </c>
      <c r="L24" s="39">
        <v>76.506019900000027</v>
      </c>
      <c r="M24" s="50">
        <f t="shared" si="20"/>
        <v>0.20685696159656711</v>
      </c>
      <c r="N24" s="39">
        <v>714.43682420000016</v>
      </c>
      <c r="O24" s="39">
        <v>51.822427300000236</v>
      </c>
      <c r="P24" s="50">
        <f t="shared" si="21"/>
        <v>7.2536052936561693E-2</v>
      </c>
      <c r="Q24" s="39">
        <f t="shared" si="22"/>
        <v>3768.9031902999991</v>
      </c>
      <c r="R24" s="39">
        <f t="shared" si="16"/>
        <v>519.08931900000005</v>
      </c>
      <c r="S24" s="50">
        <f t="shared" si="23"/>
        <v>0.13772954432365808</v>
      </c>
      <c r="U24" s="40">
        <f t="shared" si="24"/>
        <v>1106.5654240999997</v>
      </c>
      <c r="V24" s="40">
        <f t="shared" si="25"/>
        <v>626.1720664999998</v>
      </c>
      <c r="W24" s="40">
        <f t="shared" si="26"/>
        <v>293.34384790000001</v>
      </c>
      <c r="X24" s="40">
        <f t="shared" si="27"/>
        <v>662.61439689999997</v>
      </c>
    </row>
    <row r="25" spans="1:24" ht="36" customHeight="1" x14ac:dyDescent="0.35">
      <c r="A25" s="37" t="s">
        <v>383</v>
      </c>
      <c r="B25" s="39">
        <v>1077.2565537000012</v>
      </c>
      <c r="C25" s="39">
        <v>186.86204639999988</v>
      </c>
      <c r="D25" s="50">
        <f t="shared" si="17"/>
        <v>0.17346104394370479</v>
      </c>
      <c r="E25" s="39">
        <v>742.00697449999916</v>
      </c>
      <c r="F25" s="39">
        <v>198.36430640000009</v>
      </c>
      <c r="G25" s="50">
        <f t="shared" si="18"/>
        <v>0.26733482732243552</v>
      </c>
      <c r="H25" s="39">
        <v>552.43067770000005</v>
      </c>
      <c r="I25" s="39">
        <v>134.41751769999999</v>
      </c>
      <c r="J25" s="50">
        <f t="shared" si="19"/>
        <v>0.24332015423118125</v>
      </c>
      <c r="K25" s="39">
        <v>302.8840179999998</v>
      </c>
      <c r="L25" s="39">
        <v>29.433725300000006</v>
      </c>
      <c r="M25" s="50">
        <f t="shared" si="20"/>
        <v>9.7178205355160155E-2</v>
      </c>
      <c r="N25" s="39">
        <v>1055.2337862999996</v>
      </c>
      <c r="O25" s="39">
        <v>32.087398500000198</v>
      </c>
      <c r="P25" s="50">
        <f t="shared" si="21"/>
        <v>3.0407857402395429E-2</v>
      </c>
      <c r="Q25" s="39">
        <f t="shared" si="22"/>
        <v>3729.8120101999993</v>
      </c>
      <c r="R25" s="39">
        <f t="shared" si="16"/>
        <v>581.1649943000001</v>
      </c>
      <c r="S25" s="50">
        <f t="shared" si="23"/>
        <v>0.15581616250649505</v>
      </c>
      <c r="U25" s="40">
        <f t="shared" si="24"/>
        <v>890.39450730000135</v>
      </c>
      <c r="V25" s="40">
        <f t="shared" si="25"/>
        <v>543.64266809999913</v>
      </c>
      <c r="W25" s="40">
        <f t="shared" si="26"/>
        <v>273.45029269999981</v>
      </c>
      <c r="X25" s="40">
        <f t="shared" si="27"/>
        <v>1023.1463877999994</v>
      </c>
    </row>
    <row r="26" spans="1:24" ht="36" customHeight="1" x14ac:dyDescent="0.35">
      <c r="A26" s="37" t="s">
        <v>384</v>
      </c>
      <c r="B26" s="39">
        <v>965.31802130000051</v>
      </c>
      <c r="C26" s="39">
        <v>211.00452809999979</v>
      </c>
      <c r="D26" s="50">
        <f t="shared" si="17"/>
        <v>0.21858550596189899</v>
      </c>
      <c r="E26" s="39">
        <v>722.83523189999994</v>
      </c>
      <c r="F26" s="39">
        <v>193.54841390000004</v>
      </c>
      <c r="G26" s="50">
        <f t="shared" si="18"/>
        <v>0.26776283910684689</v>
      </c>
      <c r="H26" s="39">
        <v>708.68584840000005</v>
      </c>
      <c r="I26" s="39">
        <v>106.31408860000002</v>
      </c>
      <c r="J26" s="50">
        <f t="shared" si="19"/>
        <v>0.15001581990105392</v>
      </c>
      <c r="K26" s="39">
        <v>201.86647150000002</v>
      </c>
      <c r="L26" s="39">
        <v>23.744741499999993</v>
      </c>
      <c r="M26" s="50">
        <f t="shared" si="20"/>
        <v>0.11762597980517032</v>
      </c>
      <c r="N26" s="39">
        <v>638.28548169999988</v>
      </c>
      <c r="O26" s="39">
        <v>72.131559299999992</v>
      </c>
      <c r="P26" s="50">
        <f t="shared" si="21"/>
        <v>0.11300830328756012</v>
      </c>
      <c r="Q26" s="39">
        <f t="shared" si="22"/>
        <v>3236.9910548000003</v>
      </c>
      <c r="R26" s="39">
        <f t="shared" si="16"/>
        <v>606.74333139999976</v>
      </c>
      <c r="S26" s="50">
        <f t="shared" si="23"/>
        <v>0.187440533856368</v>
      </c>
      <c r="U26" s="40">
        <f t="shared" si="24"/>
        <v>754.31349320000072</v>
      </c>
      <c r="V26" s="40">
        <f t="shared" si="25"/>
        <v>529.28681799999993</v>
      </c>
      <c r="W26" s="40">
        <f t="shared" si="26"/>
        <v>178.12173000000001</v>
      </c>
      <c r="X26" s="40">
        <f t="shared" si="27"/>
        <v>566.15392239999983</v>
      </c>
    </row>
    <row r="27" spans="1:24" ht="36" customHeight="1" x14ac:dyDescent="0.35">
      <c r="A27" s="37" t="s">
        <v>385</v>
      </c>
      <c r="B27" s="39">
        <v>853.13554239999985</v>
      </c>
      <c r="C27" s="39">
        <v>226.8598053999998</v>
      </c>
      <c r="D27" s="50">
        <f t="shared" si="17"/>
        <v>0.26591296942313375</v>
      </c>
      <c r="E27" s="39">
        <v>645.11364510000033</v>
      </c>
      <c r="F27" s="39">
        <v>173.70075010000008</v>
      </c>
      <c r="G27" s="50">
        <f t="shared" si="18"/>
        <v>0.26925604723966795</v>
      </c>
      <c r="H27" s="39">
        <v>580.83901500000013</v>
      </c>
      <c r="I27" s="39">
        <v>36.2619665</v>
      </c>
      <c r="J27" s="50">
        <f t="shared" si="19"/>
        <v>6.2430321592636111E-2</v>
      </c>
      <c r="K27" s="39">
        <v>235.87141689999999</v>
      </c>
      <c r="L27" s="39">
        <v>23.886263599999999</v>
      </c>
      <c r="M27" s="50">
        <f t="shared" si="20"/>
        <v>0.10126815666743892</v>
      </c>
      <c r="N27" s="39">
        <v>924.08893569999998</v>
      </c>
      <c r="O27" s="39">
        <v>52.214956799999932</v>
      </c>
      <c r="P27" s="50">
        <f t="shared" si="21"/>
        <v>5.6504254929150247E-2</v>
      </c>
      <c r="Q27" s="39">
        <f t="shared" si="22"/>
        <v>3239.0485551000002</v>
      </c>
      <c r="R27" s="39">
        <f t="shared" si="16"/>
        <v>512.92374239999981</v>
      </c>
      <c r="S27" s="50">
        <f t="shared" si="23"/>
        <v>0.15835629928806799</v>
      </c>
      <c r="U27" s="40">
        <f>B27-C27</f>
        <v>626.27573700000005</v>
      </c>
      <c r="V27" s="40">
        <f>E27-F27</f>
        <v>471.41289500000028</v>
      </c>
      <c r="W27" s="40">
        <f>K27-L27</f>
        <v>211.98515329999998</v>
      </c>
      <c r="X27" s="40">
        <f>N27-O27</f>
        <v>871.8739789</v>
      </c>
    </row>
    <row r="28" spans="1:24" ht="36" customHeight="1" x14ac:dyDescent="0.35">
      <c r="A28" s="37" t="s">
        <v>386</v>
      </c>
      <c r="B28" s="39">
        <v>927.35498419999942</v>
      </c>
      <c r="C28" s="39">
        <v>258.7957356999998</v>
      </c>
      <c r="D28" s="50">
        <f t="shared" ref="D28" si="28">C28/B28</f>
        <v>0.27906868471004648</v>
      </c>
      <c r="E28" s="39">
        <v>730.90769390000025</v>
      </c>
      <c r="F28" s="39">
        <v>168.79747419999995</v>
      </c>
      <c r="G28" s="50">
        <f t="shared" ref="G28" si="29">F28/E28</f>
        <v>0.2309422593423871</v>
      </c>
      <c r="H28" s="39">
        <v>438.47938170000003</v>
      </c>
      <c r="I28" s="39">
        <v>163.91720690000002</v>
      </c>
      <c r="J28" s="50">
        <f t="shared" ref="J28" si="30">I28/H28</f>
        <v>0.37383104825701774</v>
      </c>
      <c r="K28" s="39">
        <v>232.33544949999998</v>
      </c>
      <c r="L28" s="39">
        <v>26.116454600000008</v>
      </c>
      <c r="M28" s="50">
        <f t="shared" ref="M28" si="31">L28/K28</f>
        <v>0.11240839336487052</v>
      </c>
      <c r="N28" s="39">
        <v>810.72983010000019</v>
      </c>
      <c r="O28" s="39">
        <v>59.341163700000124</v>
      </c>
      <c r="P28" s="50">
        <f t="shared" ref="P28" si="32">O28/N28</f>
        <v>7.3194745643786946E-2</v>
      </c>
      <c r="Q28" s="39">
        <f t="shared" ref="Q28" si="33">B28+E28+H28+K28+N28</f>
        <v>3139.8073393999998</v>
      </c>
      <c r="R28" s="39">
        <f t="shared" ref="R28" si="34">C28+F28+I28+L28+O28</f>
        <v>676.96803509999995</v>
      </c>
      <c r="S28" s="50">
        <f t="shared" ref="S28" si="35">R28/Q28</f>
        <v>0.21560814467978309</v>
      </c>
      <c r="U28" s="40">
        <f>B28-C28</f>
        <v>668.55924849999963</v>
      </c>
      <c r="V28" s="40">
        <f>E28-F28</f>
        <v>562.11021970000024</v>
      </c>
      <c r="W28" s="40">
        <f>K28-L28</f>
        <v>206.21899489999998</v>
      </c>
      <c r="X28" s="40">
        <f>N28-O28</f>
        <v>751.38866640000003</v>
      </c>
    </row>
    <row r="29" spans="1:24" x14ac:dyDescent="0.35">
      <c r="A29" s="41" t="s">
        <v>494</v>
      </c>
      <c r="P29" s="40"/>
    </row>
    <row r="30" spans="1:24" x14ac:dyDescent="0.35">
      <c r="A30" s="41" t="s">
        <v>259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T30" s="40"/>
    </row>
    <row r="31" spans="1:24" x14ac:dyDescent="0.35">
      <c r="A31" s="41"/>
      <c r="I31" s="103"/>
      <c r="L31" s="103"/>
      <c r="O31" s="103"/>
    </row>
    <row r="32" spans="1:24" x14ac:dyDescent="0.35">
      <c r="B32" s="41">
        <v>3</v>
      </c>
      <c r="C32" s="33">
        <v>4</v>
      </c>
      <c r="D32" s="33">
        <v>5</v>
      </c>
      <c r="R32" s="44"/>
    </row>
    <row r="33" spans="1:4" x14ac:dyDescent="0.35">
      <c r="A33" s="46" t="s">
        <v>350</v>
      </c>
      <c r="B33" s="41">
        <v>3.8220000000000001</v>
      </c>
      <c r="C33" s="33">
        <v>3.4238750000000002</v>
      </c>
      <c r="D33" s="33">
        <v>2.6486580188679247</v>
      </c>
    </row>
  </sheetData>
  <mergeCells count="6">
    <mergeCell ref="B2:D2"/>
    <mergeCell ref="E2:G2"/>
    <mergeCell ref="K2:M2"/>
    <mergeCell ref="N2:P2"/>
    <mergeCell ref="Q2:S2"/>
    <mergeCell ref="H2:J2"/>
  </mergeCells>
  <conditionalFormatting sqref="B5">
    <cfRule type="cellIs" dxfId="616" priority="581" operator="lessThan">
      <formula>B4</formula>
    </cfRule>
    <cfRule type="cellIs" dxfId="615" priority="582" operator="greaterThan">
      <formula>B4</formula>
    </cfRule>
  </conditionalFormatting>
  <conditionalFormatting sqref="B6:B13">
    <cfRule type="cellIs" dxfId="614" priority="579" operator="lessThan">
      <formula>B5</formula>
    </cfRule>
    <cfRule type="cellIs" dxfId="613" priority="580" operator="greaterThan">
      <formula>B5</formula>
    </cfRule>
  </conditionalFormatting>
  <conditionalFormatting sqref="C5">
    <cfRule type="cellIs" dxfId="612" priority="577" operator="lessThan">
      <formula>C4</formula>
    </cfRule>
    <cfRule type="cellIs" dxfId="611" priority="578" operator="greaterThan">
      <formula>C4</formula>
    </cfRule>
  </conditionalFormatting>
  <conditionalFormatting sqref="C6:C13">
    <cfRule type="cellIs" dxfId="610" priority="575" operator="lessThan">
      <formula>C5</formula>
    </cfRule>
    <cfRule type="cellIs" dxfId="609" priority="576" operator="greaterThan">
      <formula>C5</formula>
    </cfRule>
  </conditionalFormatting>
  <conditionalFormatting sqref="D5">
    <cfRule type="cellIs" dxfId="608" priority="573" operator="lessThan">
      <formula>D4</formula>
    </cfRule>
    <cfRule type="cellIs" dxfId="607" priority="574" operator="greaterThan">
      <formula>D4</formula>
    </cfRule>
  </conditionalFormatting>
  <conditionalFormatting sqref="D6:D13">
    <cfRule type="cellIs" dxfId="606" priority="571" operator="lessThan">
      <formula>D5</formula>
    </cfRule>
    <cfRule type="cellIs" dxfId="605" priority="572" operator="greaterThan">
      <formula>D5</formula>
    </cfRule>
  </conditionalFormatting>
  <conditionalFormatting sqref="E5">
    <cfRule type="cellIs" dxfId="604" priority="569" operator="lessThan">
      <formula>E4</formula>
    </cfRule>
    <cfRule type="cellIs" dxfId="603" priority="570" operator="greaterThan">
      <formula>E4</formula>
    </cfRule>
  </conditionalFormatting>
  <conditionalFormatting sqref="E6:E13">
    <cfRule type="cellIs" dxfId="602" priority="567" operator="lessThan">
      <formula>E5</formula>
    </cfRule>
    <cfRule type="cellIs" dxfId="601" priority="568" operator="greaterThan">
      <formula>E5</formula>
    </cfRule>
  </conditionalFormatting>
  <conditionalFormatting sqref="F5">
    <cfRule type="cellIs" dxfId="600" priority="565" operator="lessThan">
      <formula>F4</formula>
    </cfRule>
    <cfRule type="cellIs" dxfId="599" priority="566" operator="greaterThan">
      <formula>F4</formula>
    </cfRule>
  </conditionalFormatting>
  <conditionalFormatting sqref="F6:F13">
    <cfRule type="cellIs" dxfId="598" priority="563" operator="lessThan">
      <formula>F5</formula>
    </cfRule>
    <cfRule type="cellIs" dxfId="597" priority="564" operator="greaterThan">
      <formula>F5</formula>
    </cfRule>
  </conditionalFormatting>
  <conditionalFormatting sqref="G5">
    <cfRule type="cellIs" dxfId="596" priority="561" operator="lessThan">
      <formula>G4</formula>
    </cfRule>
    <cfRule type="cellIs" dxfId="595" priority="562" operator="greaterThan">
      <formula>G4</formula>
    </cfRule>
  </conditionalFormatting>
  <conditionalFormatting sqref="G6:G13">
    <cfRule type="cellIs" dxfId="594" priority="559" operator="lessThan">
      <formula>G5</formula>
    </cfRule>
    <cfRule type="cellIs" dxfId="593" priority="560" operator="greaterThan">
      <formula>G5</formula>
    </cfRule>
  </conditionalFormatting>
  <conditionalFormatting sqref="K5">
    <cfRule type="cellIs" dxfId="592" priority="557" operator="lessThan">
      <formula>K4</formula>
    </cfRule>
    <cfRule type="cellIs" dxfId="591" priority="558" operator="greaterThan">
      <formula>K4</formula>
    </cfRule>
  </conditionalFormatting>
  <conditionalFormatting sqref="K6:K13">
    <cfRule type="cellIs" dxfId="590" priority="555" operator="lessThan">
      <formula>K5</formula>
    </cfRule>
    <cfRule type="cellIs" dxfId="589" priority="556" operator="greaterThan">
      <formula>K5</formula>
    </cfRule>
  </conditionalFormatting>
  <conditionalFormatting sqref="L5">
    <cfRule type="cellIs" dxfId="588" priority="553" operator="lessThan">
      <formula>L4</formula>
    </cfRule>
    <cfRule type="cellIs" dxfId="587" priority="554" operator="greaterThan">
      <formula>L4</formula>
    </cfRule>
  </conditionalFormatting>
  <conditionalFormatting sqref="L6:L13">
    <cfRule type="cellIs" dxfId="586" priority="551" operator="lessThan">
      <formula>L5</formula>
    </cfRule>
    <cfRule type="cellIs" dxfId="585" priority="552" operator="greaterThan">
      <formula>L5</formula>
    </cfRule>
  </conditionalFormatting>
  <conditionalFormatting sqref="M5">
    <cfRule type="cellIs" dxfId="584" priority="549" operator="lessThan">
      <formula>M4</formula>
    </cfRule>
    <cfRule type="cellIs" dxfId="583" priority="550" operator="greaterThan">
      <formula>M4</formula>
    </cfRule>
  </conditionalFormatting>
  <conditionalFormatting sqref="M6:M13">
    <cfRule type="cellIs" dxfId="582" priority="547" operator="lessThan">
      <formula>M5</formula>
    </cfRule>
    <cfRule type="cellIs" dxfId="581" priority="548" operator="greaterThan">
      <formula>M5</formula>
    </cfRule>
  </conditionalFormatting>
  <conditionalFormatting sqref="N5">
    <cfRule type="cellIs" dxfId="580" priority="545" operator="lessThan">
      <formula>N4</formula>
    </cfRule>
    <cfRule type="cellIs" dxfId="579" priority="546" operator="greaterThan">
      <formula>N4</formula>
    </cfRule>
  </conditionalFormatting>
  <conditionalFormatting sqref="N6:N13">
    <cfRule type="cellIs" dxfId="578" priority="543" operator="lessThan">
      <formula>N5</formula>
    </cfRule>
    <cfRule type="cellIs" dxfId="577" priority="544" operator="greaterThan">
      <formula>N5</formula>
    </cfRule>
  </conditionalFormatting>
  <conditionalFormatting sqref="O5">
    <cfRule type="cellIs" dxfId="576" priority="541" operator="lessThan">
      <formula>O4</formula>
    </cfRule>
    <cfRule type="cellIs" dxfId="575" priority="542" operator="greaterThan">
      <formula>O4</formula>
    </cfRule>
  </conditionalFormatting>
  <conditionalFormatting sqref="O6:O13">
    <cfRule type="cellIs" dxfId="574" priority="539" operator="lessThan">
      <formula>O5</formula>
    </cfRule>
    <cfRule type="cellIs" dxfId="573" priority="540" operator="greaterThan">
      <formula>O5</formula>
    </cfRule>
  </conditionalFormatting>
  <conditionalFormatting sqref="P5">
    <cfRule type="cellIs" dxfId="572" priority="537" operator="lessThan">
      <formula>P4</formula>
    </cfRule>
    <cfRule type="cellIs" dxfId="571" priority="538" operator="greaterThan">
      <formula>P4</formula>
    </cfRule>
  </conditionalFormatting>
  <conditionalFormatting sqref="P6:P13">
    <cfRule type="cellIs" dxfId="570" priority="535" operator="lessThan">
      <formula>P5</formula>
    </cfRule>
    <cfRule type="cellIs" dxfId="569" priority="536" operator="greaterThan">
      <formula>P5</formula>
    </cfRule>
  </conditionalFormatting>
  <conditionalFormatting sqref="Q5">
    <cfRule type="cellIs" dxfId="568" priority="533" operator="lessThan">
      <formula>Q4</formula>
    </cfRule>
    <cfRule type="cellIs" dxfId="567" priority="534" operator="greaterThan">
      <formula>Q4</formula>
    </cfRule>
  </conditionalFormatting>
  <conditionalFormatting sqref="Q6:Q13">
    <cfRule type="cellIs" dxfId="566" priority="531" operator="lessThan">
      <formula>Q5</formula>
    </cfRule>
    <cfRule type="cellIs" dxfId="565" priority="532" operator="greaterThan">
      <formula>Q5</formula>
    </cfRule>
  </conditionalFormatting>
  <conditionalFormatting sqref="R5">
    <cfRule type="cellIs" dxfId="564" priority="529" operator="lessThan">
      <formula>R4</formula>
    </cfRule>
    <cfRule type="cellIs" dxfId="563" priority="530" operator="greaterThan">
      <formula>R4</formula>
    </cfRule>
  </conditionalFormatting>
  <conditionalFormatting sqref="R6:R13">
    <cfRule type="cellIs" dxfId="562" priority="527" operator="lessThan">
      <formula>R5</formula>
    </cfRule>
    <cfRule type="cellIs" dxfId="561" priority="528" operator="greaterThan">
      <formula>R5</formula>
    </cfRule>
  </conditionalFormatting>
  <conditionalFormatting sqref="S5">
    <cfRule type="cellIs" dxfId="560" priority="525" operator="lessThan">
      <formula>S4</formula>
    </cfRule>
    <cfRule type="cellIs" dxfId="559" priority="526" operator="greaterThan">
      <formula>S4</formula>
    </cfRule>
  </conditionalFormatting>
  <conditionalFormatting sqref="S6:S13">
    <cfRule type="cellIs" dxfId="558" priority="523" operator="lessThan">
      <formula>S5</formula>
    </cfRule>
    <cfRule type="cellIs" dxfId="557" priority="524" operator="greaterThan">
      <formula>S5</formula>
    </cfRule>
  </conditionalFormatting>
  <conditionalFormatting sqref="B14">
    <cfRule type="cellIs" dxfId="556" priority="521" operator="lessThan">
      <formula>B13</formula>
    </cfRule>
    <cfRule type="cellIs" dxfId="555" priority="522" operator="greaterThan">
      <formula>B13</formula>
    </cfRule>
  </conditionalFormatting>
  <conditionalFormatting sqref="C14">
    <cfRule type="cellIs" dxfId="554" priority="519" operator="lessThan">
      <formula>C13</formula>
    </cfRule>
    <cfRule type="cellIs" dxfId="553" priority="520" operator="greaterThan">
      <formula>C13</formula>
    </cfRule>
  </conditionalFormatting>
  <conditionalFormatting sqref="D14">
    <cfRule type="cellIs" dxfId="552" priority="517" operator="lessThan">
      <formula>D13</formula>
    </cfRule>
    <cfRule type="cellIs" dxfId="551" priority="518" operator="greaterThan">
      <formula>D13</formula>
    </cfRule>
  </conditionalFormatting>
  <conditionalFormatting sqref="E14">
    <cfRule type="cellIs" dxfId="550" priority="515" operator="lessThan">
      <formula>E13</formula>
    </cfRule>
    <cfRule type="cellIs" dxfId="549" priority="516" operator="greaterThan">
      <formula>E13</formula>
    </cfRule>
  </conditionalFormatting>
  <conditionalFormatting sqref="F14">
    <cfRule type="cellIs" dxfId="548" priority="513" operator="lessThan">
      <formula>F13</formula>
    </cfRule>
    <cfRule type="cellIs" dxfId="547" priority="514" operator="greaterThan">
      <formula>F13</formula>
    </cfRule>
  </conditionalFormatting>
  <conditionalFormatting sqref="G14">
    <cfRule type="cellIs" dxfId="546" priority="511" operator="lessThan">
      <formula>G13</formula>
    </cfRule>
    <cfRule type="cellIs" dxfId="545" priority="512" operator="greaterThan">
      <formula>G13</formula>
    </cfRule>
  </conditionalFormatting>
  <conditionalFormatting sqref="K14">
    <cfRule type="cellIs" dxfId="544" priority="509" operator="lessThan">
      <formula>K13</formula>
    </cfRule>
    <cfRule type="cellIs" dxfId="543" priority="510" operator="greaterThan">
      <formula>K13</formula>
    </cfRule>
  </conditionalFormatting>
  <conditionalFormatting sqref="L14">
    <cfRule type="cellIs" dxfId="542" priority="507" operator="lessThan">
      <formula>L13</formula>
    </cfRule>
    <cfRule type="cellIs" dxfId="541" priority="508" operator="greaterThan">
      <formula>L13</formula>
    </cfRule>
  </conditionalFormatting>
  <conditionalFormatting sqref="M14">
    <cfRule type="cellIs" dxfId="540" priority="505" operator="lessThan">
      <formula>M13</formula>
    </cfRule>
    <cfRule type="cellIs" dxfId="539" priority="506" operator="greaterThan">
      <formula>M13</formula>
    </cfRule>
  </conditionalFormatting>
  <conditionalFormatting sqref="N14">
    <cfRule type="cellIs" dxfId="538" priority="503" operator="lessThan">
      <formula>N13</formula>
    </cfRule>
    <cfRule type="cellIs" dxfId="537" priority="504" operator="greaterThan">
      <formula>N13</formula>
    </cfRule>
  </conditionalFormatting>
  <conditionalFormatting sqref="O14">
    <cfRule type="cellIs" dxfId="536" priority="501" operator="lessThan">
      <formula>O13</formula>
    </cfRule>
    <cfRule type="cellIs" dxfId="535" priority="502" operator="greaterThan">
      <formula>O13</formula>
    </cfRule>
  </conditionalFormatting>
  <conditionalFormatting sqref="P14">
    <cfRule type="cellIs" dxfId="534" priority="499" operator="lessThan">
      <formula>P13</formula>
    </cfRule>
    <cfRule type="cellIs" dxfId="533" priority="500" operator="greaterThan">
      <formula>P13</formula>
    </cfRule>
  </conditionalFormatting>
  <conditionalFormatting sqref="Q14">
    <cfRule type="cellIs" dxfId="532" priority="497" operator="lessThan">
      <formula>Q13</formula>
    </cfRule>
    <cfRule type="cellIs" dxfId="531" priority="498" operator="greaterThan">
      <formula>Q13</formula>
    </cfRule>
  </conditionalFormatting>
  <conditionalFormatting sqref="R14">
    <cfRule type="cellIs" dxfId="530" priority="495" operator="lessThan">
      <formula>R13</formula>
    </cfRule>
    <cfRule type="cellIs" dxfId="529" priority="496" operator="greaterThan">
      <formula>R13</formula>
    </cfRule>
  </conditionalFormatting>
  <conditionalFormatting sqref="S14">
    <cfRule type="cellIs" dxfId="528" priority="493" operator="lessThan">
      <formula>S13</formula>
    </cfRule>
    <cfRule type="cellIs" dxfId="527" priority="494" operator="greaterThan">
      <formula>S13</formula>
    </cfRule>
  </conditionalFormatting>
  <conditionalFormatting sqref="B15">
    <cfRule type="cellIs" dxfId="526" priority="491" operator="lessThan">
      <formula>B14</formula>
    </cfRule>
    <cfRule type="cellIs" dxfId="525" priority="492" operator="greaterThan">
      <formula>B14</formula>
    </cfRule>
  </conditionalFormatting>
  <conditionalFormatting sqref="C15">
    <cfRule type="cellIs" dxfId="524" priority="489" operator="lessThan">
      <formula>C14</formula>
    </cfRule>
    <cfRule type="cellIs" dxfId="523" priority="490" operator="greaterThan">
      <formula>C14</formula>
    </cfRule>
  </conditionalFormatting>
  <conditionalFormatting sqref="D15">
    <cfRule type="cellIs" dxfId="522" priority="487" operator="lessThan">
      <formula>D14</formula>
    </cfRule>
    <cfRule type="cellIs" dxfId="521" priority="488" operator="greaterThan">
      <formula>D14</formula>
    </cfRule>
  </conditionalFormatting>
  <conditionalFormatting sqref="E15">
    <cfRule type="cellIs" dxfId="520" priority="485" operator="lessThan">
      <formula>E14</formula>
    </cfRule>
    <cfRule type="cellIs" dxfId="519" priority="486" operator="greaterThan">
      <formula>E14</formula>
    </cfRule>
  </conditionalFormatting>
  <conditionalFormatting sqref="F15">
    <cfRule type="cellIs" dxfId="518" priority="483" operator="lessThan">
      <formula>F14</formula>
    </cfRule>
    <cfRule type="cellIs" dxfId="517" priority="484" operator="greaterThan">
      <formula>F14</formula>
    </cfRule>
  </conditionalFormatting>
  <conditionalFormatting sqref="G15">
    <cfRule type="cellIs" dxfId="516" priority="481" operator="lessThan">
      <formula>G14</formula>
    </cfRule>
    <cfRule type="cellIs" dxfId="515" priority="482" operator="greaterThan">
      <formula>G14</formula>
    </cfRule>
  </conditionalFormatting>
  <conditionalFormatting sqref="K15">
    <cfRule type="cellIs" dxfId="514" priority="479" operator="lessThan">
      <formula>K14</formula>
    </cfRule>
    <cfRule type="cellIs" dxfId="513" priority="480" operator="greaterThan">
      <formula>K14</formula>
    </cfRule>
  </conditionalFormatting>
  <conditionalFormatting sqref="L15">
    <cfRule type="cellIs" dxfId="512" priority="477" operator="lessThan">
      <formula>L14</formula>
    </cfRule>
    <cfRule type="cellIs" dxfId="511" priority="478" operator="greaterThan">
      <formula>L14</formula>
    </cfRule>
  </conditionalFormatting>
  <conditionalFormatting sqref="M15">
    <cfRule type="cellIs" dxfId="510" priority="475" operator="lessThan">
      <formula>M14</formula>
    </cfRule>
    <cfRule type="cellIs" dxfId="509" priority="476" operator="greaterThan">
      <formula>M14</formula>
    </cfRule>
  </conditionalFormatting>
  <conditionalFormatting sqref="N15">
    <cfRule type="cellIs" dxfId="508" priority="473" operator="lessThan">
      <formula>N14</formula>
    </cfRule>
    <cfRule type="cellIs" dxfId="507" priority="474" operator="greaterThan">
      <formula>N14</formula>
    </cfRule>
  </conditionalFormatting>
  <conditionalFormatting sqref="O15">
    <cfRule type="cellIs" dxfId="506" priority="471" operator="lessThan">
      <formula>O14</formula>
    </cfRule>
    <cfRule type="cellIs" dxfId="505" priority="472" operator="greaterThan">
      <formula>O14</formula>
    </cfRule>
  </conditionalFormatting>
  <conditionalFormatting sqref="P15">
    <cfRule type="cellIs" dxfId="504" priority="469" operator="lessThan">
      <formula>P14</formula>
    </cfRule>
    <cfRule type="cellIs" dxfId="503" priority="470" operator="greaterThan">
      <formula>P14</formula>
    </cfRule>
  </conditionalFormatting>
  <conditionalFormatting sqref="Q15">
    <cfRule type="cellIs" dxfId="502" priority="467" operator="lessThan">
      <formula>Q14</formula>
    </cfRule>
    <cfRule type="cellIs" dxfId="501" priority="468" operator="greaterThan">
      <formula>Q14</formula>
    </cfRule>
  </conditionalFormatting>
  <conditionalFormatting sqref="R15">
    <cfRule type="cellIs" dxfId="500" priority="465" operator="lessThan">
      <formula>R14</formula>
    </cfRule>
    <cfRule type="cellIs" dxfId="499" priority="466" operator="greaterThan">
      <formula>R14</formula>
    </cfRule>
  </conditionalFormatting>
  <conditionalFormatting sqref="S15">
    <cfRule type="cellIs" dxfId="498" priority="463" operator="lessThan">
      <formula>S14</formula>
    </cfRule>
    <cfRule type="cellIs" dxfId="497" priority="464" operator="greaterThan">
      <formula>S14</formula>
    </cfRule>
  </conditionalFormatting>
  <conditionalFormatting sqref="B16">
    <cfRule type="cellIs" dxfId="496" priority="461" operator="lessThan">
      <formula>B15</formula>
    </cfRule>
    <cfRule type="cellIs" dxfId="495" priority="462" operator="greaterThan">
      <formula>B15</formula>
    </cfRule>
  </conditionalFormatting>
  <conditionalFormatting sqref="C16">
    <cfRule type="cellIs" dxfId="494" priority="459" operator="lessThan">
      <formula>C15</formula>
    </cfRule>
    <cfRule type="cellIs" dxfId="493" priority="460" operator="greaterThan">
      <formula>C15</formula>
    </cfRule>
  </conditionalFormatting>
  <conditionalFormatting sqref="D16">
    <cfRule type="cellIs" dxfId="492" priority="457" operator="lessThan">
      <formula>D15</formula>
    </cfRule>
    <cfRule type="cellIs" dxfId="491" priority="458" operator="greaterThan">
      <formula>D15</formula>
    </cfRule>
  </conditionalFormatting>
  <conditionalFormatting sqref="E16">
    <cfRule type="cellIs" dxfId="490" priority="455" operator="lessThan">
      <formula>E15</formula>
    </cfRule>
    <cfRule type="cellIs" dxfId="489" priority="456" operator="greaterThan">
      <formula>E15</formula>
    </cfRule>
  </conditionalFormatting>
  <conditionalFormatting sqref="F16">
    <cfRule type="cellIs" dxfId="488" priority="453" operator="lessThan">
      <formula>F15</formula>
    </cfRule>
    <cfRule type="cellIs" dxfId="487" priority="454" operator="greaterThan">
      <formula>F15</formula>
    </cfRule>
  </conditionalFormatting>
  <conditionalFormatting sqref="G16">
    <cfRule type="cellIs" dxfId="486" priority="451" operator="lessThan">
      <formula>G15</formula>
    </cfRule>
    <cfRule type="cellIs" dxfId="485" priority="452" operator="greaterThan">
      <formula>G15</formula>
    </cfRule>
  </conditionalFormatting>
  <conditionalFormatting sqref="K16">
    <cfRule type="cellIs" dxfId="484" priority="449" operator="lessThan">
      <formula>K15</formula>
    </cfRule>
    <cfRule type="cellIs" dxfId="483" priority="450" operator="greaterThan">
      <formula>K15</formula>
    </cfRule>
  </conditionalFormatting>
  <conditionalFormatting sqref="L16">
    <cfRule type="cellIs" dxfId="482" priority="447" operator="lessThan">
      <formula>L15</formula>
    </cfRule>
    <cfRule type="cellIs" dxfId="481" priority="448" operator="greaterThan">
      <formula>L15</formula>
    </cfRule>
  </conditionalFormatting>
  <conditionalFormatting sqref="M16">
    <cfRule type="cellIs" dxfId="480" priority="445" operator="lessThan">
      <formula>M15</formula>
    </cfRule>
    <cfRule type="cellIs" dxfId="479" priority="446" operator="greaterThan">
      <formula>M15</formula>
    </cfRule>
  </conditionalFormatting>
  <conditionalFormatting sqref="N16">
    <cfRule type="cellIs" dxfId="478" priority="443" operator="lessThan">
      <formula>N15</formula>
    </cfRule>
    <cfRule type="cellIs" dxfId="477" priority="444" operator="greaterThan">
      <formula>N15</formula>
    </cfRule>
  </conditionalFormatting>
  <conditionalFormatting sqref="O16">
    <cfRule type="cellIs" dxfId="476" priority="441" operator="lessThan">
      <formula>O15</formula>
    </cfRule>
    <cfRule type="cellIs" dxfId="475" priority="442" operator="greaterThan">
      <formula>O15</formula>
    </cfRule>
  </conditionalFormatting>
  <conditionalFormatting sqref="P16">
    <cfRule type="cellIs" dxfId="474" priority="439" operator="lessThan">
      <formula>P15</formula>
    </cfRule>
    <cfRule type="cellIs" dxfId="473" priority="440" operator="greaterThan">
      <formula>P15</formula>
    </cfRule>
  </conditionalFormatting>
  <conditionalFormatting sqref="Q16">
    <cfRule type="cellIs" dxfId="472" priority="437" operator="lessThan">
      <formula>Q15</formula>
    </cfRule>
    <cfRule type="cellIs" dxfId="471" priority="438" operator="greaterThan">
      <formula>Q15</formula>
    </cfRule>
  </conditionalFormatting>
  <conditionalFormatting sqref="R16">
    <cfRule type="cellIs" dxfId="470" priority="435" operator="lessThan">
      <formula>R15</formula>
    </cfRule>
    <cfRule type="cellIs" dxfId="469" priority="436" operator="greaterThan">
      <formula>R15</formula>
    </cfRule>
  </conditionalFormatting>
  <conditionalFormatting sqref="S16">
    <cfRule type="cellIs" dxfId="468" priority="433" operator="lessThan">
      <formula>S15</formula>
    </cfRule>
    <cfRule type="cellIs" dxfId="467" priority="434" operator="greaterThan">
      <formula>S15</formula>
    </cfRule>
  </conditionalFormatting>
  <conditionalFormatting sqref="B17">
    <cfRule type="cellIs" dxfId="466" priority="431" operator="lessThan">
      <formula>B16</formula>
    </cfRule>
    <cfRule type="cellIs" dxfId="465" priority="432" operator="greaterThan">
      <formula>B16</formula>
    </cfRule>
  </conditionalFormatting>
  <conditionalFormatting sqref="C17">
    <cfRule type="cellIs" dxfId="464" priority="429" operator="lessThan">
      <formula>C16</formula>
    </cfRule>
    <cfRule type="cellIs" dxfId="463" priority="430" operator="greaterThan">
      <formula>C16</formula>
    </cfRule>
  </conditionalFormatting>
  <conditionalFormatting sqref="D17">
    <cfRule type="cellIs" dxfId="462" priority="427" operator="lessThan">
      <formula>D16</formula>
    </cfRule>
    <cfRule type="cellIs" dxfId="461" priority="428" operator="greaterThan">
      <formula>D16</formula>
    </cfRule>
  </conditionalFormatting>
  <conditionalFormatting sqref="E17">
    <cfRule type="cellIs" dxfId="460" priority="425" operator="lessThan">
      <formula>E16</formula>
    </cfRule>
    <cfRule type="cellIs" dxfId="459" priority="426" operator="greaterThan">
      <formula>E16</formula>
    </cfRule>
  </conditionalFormatting>
  <conditionalFormatting sqref="F17">
    <cfRule type="cellIs" dxfId="458" priority="423" operator="lessThan">
      <formula>F16</formula>
    </cfRule>
    <cfRule type="cellIs" dxfId="457" priority="424" operator="greaterThan">
      <formula>F16</formula>
    </cfRule>
  </conditionalFormatting>
  <conditionalFormatting sqref="G17">
    <cfRule type="cellIs" dxfId="456" priority="421" operator="lessThan">
      <formula>G16</formula>
    </cfRule>
    <cfRule type="cellIs" dxfId="455" priority="422" operator="greaterThan">
      <formula>G16</formula>
    </cfRule>
  </conditionalFormatting>
  <conditionalFormatting sqref="K17">
    <cfRule type="cellIs" dxfId="454" priority="419" operator="lessThan">
      <formula>K16</formula>
    </cfRule>
    <cfRule type="cellIs" dxfId="453" priority="420" operator="greaterThan">
      <formula>K16</formula>
    </cfRule>
  </conditionalFormatting>
  <conditionalFormatting sqref="L17">
    <cfRule type="cellIs" dxfId="452" priority="417" operator="lessThan">
      <formula>L16</formula>
    </cfRule>
    <cfRule type="cellIs" dxfId="451" priority="418" operator="greaterThan">
      <formula>L16</formula>
    </cfRule>
  </conditionalFormatting>
  <conditionalFormatting sqref="M17">
    <cfRule type="cellIs" dxfId="450" priority="415" operator="lessThan">
      <formula>M16</formula>
    </cfRule>
    <cfRule type="cellIs" dxfId="449" priority="416" operator="greaterThan">
      <formula>M16</formula>
    </cfRule>
  </conditionalFormatting>
  <conditionalFormatting sqref="N17">
    <cfRule type="cellIs" dxfId="448" priority="413" operator="lessThan">
      <formula>N16</formula>
    </cfRule>
    <cfRule type="cellIs" dxfId="447" priority="414" operator="greaterThan">
      <formula>N16</formula>
    </cfRule>
  </conditionalFormatting>
  <conditionalFormatting sqref="O17">
    <cfRule type="cellIs" dxfId="446" priority="411" operator="lessThan">
      <formula>O16</formula>
    </cfRule>
    <cfRule type="cellIs" dxfId="445" priority="412" operator="greaterThan">
      <formula>O16</formula>
    </cfRule>
  </conditionalFormatting>
  <conditionalFormatting sqref="P17">
    <cfRule type="cellIs" dxfId="444" priority="409" operator="lessThan">
      <formula>P16</formula>
    </cfRule>
    <cfRule type="cellIs" dxfId="443" priority="410" operator="greaterThan">
      <formula>P16</formula>
    </cfRule>
  </conditionalFormatting>
  <conditionalFormatting sqref="Q17">
    <cfRule type="cellIs" dxfId="442" priority="407" operator="lessThan">
      <formula>Q16</formula>
    </cfRule>
    <cfRule type="cellIs" dxfId="441" priority="408" operator="greaterThan">
      <formula>Q16</formula>
    </cfRule>
  </conditionalFormatting>
  <conditionalFormatting sqref="R17">
    <cfRule type="cellIs" dxfId="440" priority="405" operator="lessThan">
      <formula>R16</formula>
    </cfRule>
    <cfRule type="cellIs" dxfId="439" priority="406" operator="greaterThan">
      <formula>R16</formula>
    </cfRule>
  </conditionalFormatting>
  <conditionalFormatting sqref="S17">
    <cfRule type="cellIs" dxfId="438" priority="403" operator="lessThan">
      <formula>S16</formula>
    </cfRule>
    <cfRule type="cellIs" dxfId="437" priority="404" operator="greaterThan">
      <formula>S16</formula>
    </cfRule>
  </conditionalFormatting>
  <conditionalFormatting sqref="B18">
    <cfRule type="cellIs" dxfId="436" priority="401" operator="lessThan">
      <formula>B17</formula>
    </cfRule>
    <cfRule type="cellIs" dxfId="435" priority="402" operator="greaterThan">
      <formula>B17</formula>
    </cfRule>
  </conditionalFormatting>
  <conditionalFormatting sqref="C18">
    <cfRule type="cellIs" dxfId="434" priority="399" operator="lessThan">
      <formula>C17</formula>
    </cfRule>
    <cfRule type="cellIs" dxfId="433" priority="400" operator="greaterThan">
      <formula>C17</formula>
    </cfRule>
  </conditionalFormatting>
  <conditionalFormatting sqref="D18">
    <cfRule type="cellIs" dxfId="432" priority="397" operator="lessThan">
      <formula>D17</formula>
    </cfRule>
    <cfRule type="cellIs" dxfId="431" priority="398" operator="greaterThan">
      <formula>D17</formula>
    </cfRule>
  </conditionalFormatting>
  <conditionalFormatting sqref="E18">
    <cfRule type="cellIs" dxfId="430" priority="395" operator="lessThan">
      <formula>E17</formula>
    </cfRule>
    <cfRule type="cellIs" dxfId="429" priority="396" operator="greaterThan">
      <formula>E17</formula>
    </cfRule>
  </conditionalFormatting>
  <conditionalFormatting sqref="F18">
    <cfRule type="cellIs" dxfId="428" priority="393" operator="lessThan">
      <formula>F17</formula>
    </cfRule>
    <cfRule type="cellIs" dxfId="427" priority="394" operator="greaterThan">
      <formula>F17</formula>
    </cfRule>
  </conditionalFormatting>
  <conditionalFormatting sqref="G18">
    <cfRule type="cellIs" dxfId="426" priority="391" operator="lessThan">
      <formula>G17</formula>
    </cfRule>
    <cfRule type="cellIs" dxfId="425" priority="392" operator="greaterThan">
      <formula>G17</formula>
    </cfRule>
  </conditionalFormatting>
  <conditionalFormatting sqref="K18">
    <cfRule type="cellIs" dxfId="424" priority="389" operator="lessThan">
      <formula>K17</formula>
    </cfRule>
    <cfRule type="cellIs" dxfId="423" priority="390" operator="greaterThan">
      <formula>K17</formula>
    </cfRule>
  </conditionalFormatting>
  <conditionalFormatting sqref="L18">
    <cfRule type="cellIs" dxfId="422" priority="387" operator="lessThan">
      <formula>L17</formula>
    </cfRule>
    <cfRule type="cellIs" dxfId="421" priority="388" operator="greaterThan">
      <formula>L17</formula>
    </cfRule>
  </conditionalFormatting>
  <conditionalFormatting sqref="M18">
    <cfRule type="cellIs" dxfId="420" priority="385" operator="lessThan">
      <formula>M17</formula>
    </cfRule>
    <cfRule type="cellIs" dxfId="419" priority="386" operator="greaterThan">
      <formula>M17</formula>
    </cfRule>
  </conditionalFormatting>
  <conditionalFormatting sqref="N18">
    <cfRule type="cellIs" dxfId="418" priority="383" operator="lessThan">
      <formula>N17</formula>
    </cfRule>
    <cfRule type="cellIs" dxfId="417" priority="384" operator="greaterThan">
      <formula>N17</formula>
    </cfRule>
  </conditionalFormatting>
  <conditionalFormatting sqref="O18">
    <cfRule type="cellIs" dxfId="416" priority="381" operator="lessThan">
      <formula>O17</formula>
    </cfRule>
    <cfRule type="cellIs" dxfId="415" priority="382" operator="greaterThan">
      <formula>O17</formula>
    </cfRule>
  </conditionalFormatting>
  <conditionalFormatting sqref="P18">
    <cfRule type="cellIs" dxfId="414" priority="379" operator="lessThan">
      <formula>P17</formula>
    </cfRule>
    <cfRule type="cellIs" dxfId="413" priority="380" operator="greaterThan">
      <formula>P17</formula>
    </cfRule>
  </conditionalFormatting>
  <conditionalFormatting sqref="Q18">
    <cfRule type="cellIs" dxfId="412" priority="377" operator="lessThan">
      <formula>Q17</formula>
    </cfRule>
    <cfRule type="cellIs" dxfId="411" priority="378" operator="greaterThan">
      <formula>Q17</formula>
    </cfRule>
  </conditionalFormatting>
  <conditionalFormatting sqref="R18">
    <cfRule type="cellIs" dxfId="410" priority="375" operator="lessThan">
      <formula>R17</formula>
    </cfRule>
    <cfRule type="cellIs" dxfId="409" priority="376" operator="greaterThan">
      <formula>R17</formula>
    </cfRule>
  </conditionalFormatting>
  <conditionalFormatting sqref="S18">
    <cfRule type="cellIs" dxfId="408" priority="373" operator="lessThan">
      <formula>S17</formula>
    </cfRule>
    <cfRule type="cellIs" dxfId="407" priority="374" operator="greaterThan">
      <formula>S17</formula>
    </cfRule>
  </conditionalFormatting>
  <conditionalFormatting sqref="B19">
    <cfRule type="cellIs" dxfId="406" priority="371" operator="lessThan">
      <formula>B18</formula>
    </cfRule>
    <cfRule type="cellIs" dxfId="405" priority="372" operator="greaterThan">
      <formula>B18</formula>
    </cfRule>
  </conditionalFormatting>
  <conditionalFormatting sqref="C19">
    <cfRule type="cellIs" dxfId="404" priority="369" operator="lessThan">
      <formula>C18</formula>
    </cfRule>
    <cfRule type="cellIs" dxfId="403" priority="370" operator="greaterThan">
      <formula>C18</formula>
    </cfRule>
  </conditionalFormatting>
  <conditionalFormatting sqref="D19">
    <cfRule type="cellIs" dxfId="402" priority="367" operator="lessThan">
      <formula>D18</formula>
    </cfRule>
    <cfRule type="cellIs" dxfId="401" priority="368" operator="greaterThan">
      <formula>D18</formula>
    </cfRule>
  </conditionalFormatting>
  <conditionalFormatting sqref="E19">
    <cfRule type="cellIs" dxfId="400" priority="365" operator="lessThan">
      <formula>E18</formula>
    </cfRule>
    <cfRule type="cellIs" dxfId="399" priority="366" operator="greaterThan">
      <formula>E18</formula>
    </cfRule>
  </conditionalFormatting>
  <conditionalFormatting sqref="F19">
    <cfRule type="cellIs" dxfId="398" priority="363" operator="lessThan">
      <formula>F18</formula>
    </cfRule>
    <cfRule type="cellIs" dxfId="397" priority="364" operator="greaterThan">
      <formula>F18</formula>
    </cfRule>
  </conditionalFormatting>
  <conditionalFormatting sqref="G19">
    <cfRule type="cellIs" dxfId="396" priority="361" operator="lessThan">
      <formula>G18</formula>
    </cfRule>
    <cfRule type="cellIs" dxfId="395" priority="362" operator="greaterThan">
      <formula>G18</formula>
    </cfRule>
  </conditionalFormatting>
  <conditionalFormatting sqref="K19">
    <cfRule type="cellIs" dxfId="394" priority="359" operator="lessThan">
      <formula>K18</formula>
    </cfRule>
    <cfRule type="cellIs" dxfId="393" priority="360" operator="greaterThan">
      <formula>K18</formula>
    </cfRule>
  </conditionalFormatting>
  <conditionalFormatting sqref="L19">
    <cfRule type="cellIs" dxfId="392" priority="357" operator="lessThan">
      <formula>L18</formula>
    </cfRule>
    <cfRule type="cellIs" dxfId="391" priority="358" operator="greaterThan">
      <formula>L18</formula>
    </cfRule>
  </conditionalFormatting>
  <conditionalFormatting sqref="M19">
    <cfRule type="cellIs" dxfId="390" priority="355" operator="lessThan">
      <formula>M18</formula>
    </cfRule>
    <cfRule type="cellIs" dxfId="389" priority="356" operator="greaterThan">
      <formula>M18</formula>
    </cfRule>
  </conditionalFormatting>
  <conditionalFormatting sqref="N19">
    <cfRule type="cellIs" dxfId="388" priority="353" operator="lessThan">
      <formula>N18</formula>
    </cfRule>
    <cfRule type="cellIs" dxfId="387" priority="354" operator="greaterThan">
      <formula>N18</formula>
    </cfRule>
  </conditionalFormatting>
  <conditionalFormatting sqref="O19">
    <cfRule type="cellIs" dxfId="386" priority="351" operator="lessThan">
      <formula>O18</formula>
    </cfRule>
    <cfRule type="cellIs" dxfId="385" priority="352" operator="greaterThan">
      <formula>O18</formula>
    </cfRule>
  </conditionalFormatting>
  <conditionalFormatting sqref="P19">
    <cfRule type="cellIs" dxfId="384" priority="349" operator="lessThan">
      <formula>P18</formula>
    </cfRule>
    <cfRule type="cellIs" dxfId="383" priority="350" operator="greaterThan">
      <formula>P18</formula>
    </cfRule>
  </conditionalFormatting>
  <conditionalFormatting sqref="Q19">
    <cfRule type="cellIs" dxfId="382" priority="347" operator="lessThan">
      <formula>Q18</formula>
    </cfRule>
    <cfRule type="cellIs" dxfId="381" priority="348" operator="greaterThan">
      <formula>Q18</formula>
    </cfRule>
  </conditionalFormatting>
  <conditionalFormatting sqref="R19">
    <cfRule type="cellIs" dxfId="380" priority="345" operator="lessThan">
      <formula>R18</formula>
    </cfRule>
    <cfRule type="cellIs" dxfId="379" priority="346" operator="greaterThan">
      <formula>R18</formula>
    </cfRule>
  </conditionalFormatting>
  <conditionalFormatting sqref="S19">
    <cfRule type="cellIs" dxfId="378" priority="343" operator="lessThan">
      <formula>S18</formula>
    </cfRule>
    <cfRule type="cellIs" dxfId="377" priority="344" operator="greaterThan">
      <formula>S18</formula>
    </cfRule>
  </conditionalFormatting>
  <conditionalFormatting sqref="B20">
    <cfRule type="cellIs" dxfId="376" priority="341" operator="lessThan">
      <formula>B19</formula>
    </cfRule>
    <cfRule type="cellIs" dxfId="375" priority="342" operator="greaterThan">
      <formula>B19</formula>
    </cfRule>
  </conditionalFormatting>
  <conditionalFormatting sqref="C20">
    <cfRule type="cellIs" dxfId="374" priority="339" operator="lessThan">
      <formula>C19</formula>
    </cfRule>
    <cfRule type="cellIs" dxfId="373" priority="340" operator="greaterThan">
      <formula>C19</formula>
    </cfRule>
  </conditionalFormatting>
  <conditionalFormatting sqref="D20">
    <cfRule type="cellIs" dxfId="372" priority="337" operator="lessThan">
      <formula>D19</formula>
    </cfRule>
    <cfRule type="cellIs" dxfId="371" priority="338" operator="greaterThan">
      <formula>D19</formula>
    </cfRule>
  </conditionalFormatting>
  <conditionalFormatting sqref="E20">
    <cfRule type="cellIs" dxfId="370" priority="335" operator="lessThan">
      <formula>E19</formula>
    </cfRule>
    <cfRule type="cellIs" dxfId="369" priority="336" operator="greaterThan">
      <formula>E19</formula>
    </cfRule>
  </conditionalFormatting>
  <conditionalFormatting sqref="F20">
    <cfRule type="cellIs" dxfId="368" priority="333" operator="lessThan">
      <formula>F19</formula>
    </cfRule>
    <cfRule type="cellIs" dxfId="367" priority="334" operator="greaterThan">
      <formula>F19</formula>
    </cfRule>
  </conditionalFormatting>
  <conditionalFormatting sqref="G20">
    <cfRule type="cellIs" dxfId="366" priority="331" operator="lessThan">
      <formula>G19</formula>
    </cfRule>
    <cfRule type="cellIs" dxfId="365" priority="332" operator="greaterThan">
      <formula>G19</formula>
    </cfRule>
  </conditionalFormatting>
  <conditionalFormatting sqref="K20">
    <cfRule type="cellIs" dxfId="364" priority="329" operator="lessThan">
      <formula>K19</formula>
    </cfRule>
    <cfRule type="cellIs" dxfId="363" priority="330" operator="greaterThan">
      <formula>K19</formula>
    </cfRule>
  </conditionalFormatting>
  <conditionalFormatting sqref="L20">
    <cfRule type="cellIs" dxfId="362" priority="327" operator="lessThan">
      <formula>L19</formula>
    </cfRule>
    <cfRule type="cellIs" dxfId="361" priority="328" operator="greaterThan">
      <formula>L19</formula>
    </cfRule>
  </conditionalFormatting>
  <conditionalFormatting sqref="M20">
    <cfRule type="cellIs" dxfId="360" priority="325" operator="lessThan">
      <formula>M19</formula>
    </cfRule>
    <cfRule type="cellIs" dxfId="359" priority="326" operator="greaterThan">
      <formula>M19</formula>
    </cfRule>
  </conditionalFormatting>
  <conditionalFormatting sqref="N20">
    <cfRule type="cellIs" dxfId="358" priority="323" operator="lessThan">
      <formula>N19</formula>
    </cfRule>
    <cfRule type="cellIs" dxfId="357" priority="324" operator="greaterThan">
      <formula>N19</formula>
    </cfRule>
  </conditionalFormatting>
  <conditionalFormatting sqref="O20">
    <cfRule type="cellIs" dxfId="356" priority="321" operator="lessThan">
      <formula>O19</formula>
    </cfRule>
    <cfRule type="cellIs" dxfId="355" priority="322" operator="greaterThan">
      <formula>O19</formula>
    </cfRule>
  </conditionalFormatting>
  <conditionalFormatting sqref="P20">
    <cfRule type="cellIs" dxfId="354" priority="319" operator="lessThan">
      <formula>P19</formula>
    </cfRule>
    <cfRule type="cellIs" dxfId="353" priority="320" operator="greaterThan">
      <formula>P19</formula>
    </cfRule>
  </conditionalFormatting>
  <conditionalFormatting sqref="Q20">
    <cfRule type="cellIs" dxfId="352" priority="317" operator="lessThan">
      <formula>Q19</formula>
    </cfRule>
    <cfRule type="cellIs" dxfId="351" priority="318" operator="greaterThan">
      <formula>Q19</formula>
    </cfRule>
  </conditionalFormatting>
  <conditionalFormatting sqref="R20">
    <cfRule type="cellIs" dxfId="350" priority="315" operator="lessThan">
      <formula>R19</formula>
    </cfRule>
    <cfRule type="cellIs" dxfId="349" priority="316" operator="greaterThan">
      <formula>R19</formula>
    </cfRule>
  </conditionalFormatting>
  <conditionalFormatting sqref="S20">
    <cfRule type="cellIs" dxfId="348" priority="313" operator="lessThan">
      <formula>S19</formula>
    </cfRule>
    <cfRule type="cellIs" dxfId="347" priority="314" operator="greaterThan">
      <formula>S19</formula>
    </cfRule>
  </conditionalFormatting>
  <conditionalFormatting sqref="H5">
    <cfRule type="cellIs" dxfId="346" priority="311" operator="lessThan">
      <formula>H4</formula>
    </cfRule>
    <cfRule type="cellIs" dxfId="345" priority="312" operator="greaterThan">
      <formula>H4</formula>
    </cfRule>
  </conditionalFormatting>
  <conditionalFormatting sqref="H6:H13">
    <cfRule type="cellIs" dxfId="344" priority="309" operator="lessThan">
      <formula>H5</formula>
    </cfRule>
    <cfRule type="cellIs" dxfId="343" priority="310" operator="greaterThan">
      <formula>H5</formula>
    </cfRule>
  </conditionalFormatting>
  <conditionalFormatting sqref="I5">
    <cfRule type="cellIs" dxfId="342" priority="307" operator="lessThan">
      <formula>I4</formula>
    </cfRule>
    <cfRule type="cellIs" dxfId="341" priority="308" operator="greaterThan">
      <formula>I4</formula>
    </cfRule>
  </conditionalFormatting>
  <conditionalFormatting sqref="I6:I13">
    <cfRule type="cellIs" dxfId="340" priority="305" operator="lessThan">
      <formula>I5</formula>
    </cfRule>
    <cfRule type="cellIs" dxfId="339" priority="306" operator="greaterThan">
      <formula>I5</formula>
    </cfRule>
  </conditionalFormatting>
  <conditionalFormatting sqref="J5">
    <cfRule type="cellIs" dxfId="338" priority="303" operator="lessThan">
      <formula>J4</formula>
    </cfRule>
    <cfRule type="cellIs" dxfId="337" priority="304" operator="greaterThan">
      <formula>J4</formula>
    </cfRule>
  </conditionalFormatting>
  <conditionalFormatting sqref="J6:J13">
    <cfRule type="cellIs" dxfId="336" priority="301" operator="lessThan">
      <formula>J5</formula>
    </cfRule>
    <cfRule type="cellIs" dxfId="335" priority="302" operator="greaterThan">
      <formula>J5</formula>
    </cfRule>
  </conditionalFormatting>
  <conditionalFormatting sqref="H14">
    <cfRule type="cellIs" dxfId="334" priority="299" operator="lessThan">
      <formula>H13</formula>
    </cfRule>
    <cfRule type="cellIs" dxfId="333" priority="300" operator="greaterThan">
      <formula>H13</formula>
    </cfRule>
  </conditionalFormatting>
  <conditionalFormatting sqref="I14">
    <cfRule type="cellIs" dxfId="332" priority="297" operator="lessThan">
      <formula>I13</formula>
    </cfRule>
    <cfRule type="cellIs" dxfId="331" priority="298" operator="greaterThan">
      <formula>I13</formula>
    </cfRule>
  </conditionalFormatting>
  <conditionalFormatting sqref="J14">
    <cfRule type="cellIs" dxfId="330" priority="295" operator="lessThan">
      <formula>J13</formula>
    </cfRule>
    <cfRule type="cellIs" dxfId="329" priority="296" operator="greaterThan">
      <formula>J13</formula>
    </cfRule>
  </conditionalFormatting>
  <conditionalFormatting sqref="H15">
    <cfRule type="cellIs" dxfId="328" priority="293" operator="lessThan">
      <formula>H14</formula>
    </cfRule>
    <cfRule type="cellIs" dxfId="327" priority="294" operator="greaterThan">
      <formula>H14</formula>
    </cfRule>
  </conditionalFormatting>
  <conditionalFormatting sqref="I15">
    <cfRule type="cellIs" dxfId="326" priority="291" operator="lessThan">
      <formula>I14</formula>
    </cfRule>
    <cfRule type="cellIs" dxfId="325" priority="292" operator="greaterThan">
      <formula>I14</formula>
    </cfRule>
  </conditionalFormatting>
  <conditionalFormatting sqref="J15">
    <cfRule type="cellIs" dxfId="324" priority="289" operator="lessThan">
      <formula>J14</formula>
    </cfRule>
    <cfRule type="cellIs" dxfId="323" priority="290" operator="greaterThan">
      <formula>J14</formula>
    </cfRule>
  </conditionalFormatting>
  <conditionalFormatting sqref="H16">
    <cfRule type="cellIs" dxfId="322" priority="287" operator="lessThan">
      <formula>H15</formula>
    </cfRule>
    <cfRule type="cellIs" dxfId="321" priority="288" operator="greaterThan">
      <formula>H15</formula>
    </cfRule>
  </conditionalFormatting>
  <conditionalFormatting sqref="I16">
    <cfRule type="cellIs" dxfId="320" priority="285" operator="lessThan">
      <formula>I15</formula>
    </cfRule>
    <cfRule type="cellIs" dxfId="319" priority="286" operator="greaterThan">
      <formula>I15</formula>
    </cfRule>
  </conditionalFormatting>
  <conditionalFormatting sqref="J16">
    <cfRule type="cellIs" dxfId="318" priority="283" operator="lessThan">
      <formula>J15</formula>
    </cfRule>
    <cfRule type="cellIs" dxfId="317" priority="284" operator="greaterThan">
      <formula>J15</formula>
    </cfRule>
  </conditionalFormatting>
  <conditionalFormatting sqref="H17">
    <cfRule type="cellIs" dxfId="316" priority="281" operator="lessThan">
      <formula>H16</formula>
    </cfRule>
    <cfRule type="cellIs" dxfId="315" priority="282" operator="greaterThan">
      <formula>H16</formula>
    </cfRule>
  </conditionalFormatting>
  <conditionalFormatting sqref="I17">
    <cfRule type="cellIs" dxfId="314" priority="279" operator="lessThan">
      <formula>I16</formula>
    </cfRule>
    <cfRule type="cellIs" dxfId="313" priority="280" operator="greaterThan">
      <formula>I16</formula>
    </cfRule>
  </conditionalFormatting>
  <conditionalFormatting sqref="J17">
    <cfRule type="cellIs" dxfId="312" priority="277" operator="lessThan">
      <formula>J16</formula>
    </cfRule>
    <cfRule type="cellIs" dxfId="311" priority="278" operator="greaterThan">
      <formula>J16</formula>
    </cfRule>
  </conditionalFormatting>
  <conditionalFormatting sqref="H18">
    <cfRule type="cellIs" dxfId="310" priority="275" operator="lessThan">
      <formula>H17</formula>
    </cfRule>
    <cfRule type="cellIs" dxfId="309" priority="276" operator="greaterThan">
      <formula>H17</formula>
    </cfRule>
  </conditionalFormatting>
  <conditionalFormatting sqref="I18">
    <cfRule type="cellIs" dxfId="308" priority="273" operator="lessThan">
      <formula>I17</formula>
    </cfRule>
    <cfRule type="cellIs" dxfId="307" priority="274" operator="greaterThan">
      <formula>I17</formula>
    </cfRule>
  </conditionalFormatting>
  <conditionalFormatting sqref="J18">
    <cfRule type="cellIs" dxfId="306" priority="271" operator="lessThan">
      <formula>J17</formula>
    </cfRule>
    <cfRule type="cellIs" dxfId="305" priority="272" operator="greaterThan">
      <formula>J17</formula>
    </cfRule>
  </conditionalFormatting>
  <conditionalFormatting sqref="H19">
    <cfRule type="cellIs" dxfId="304" priority="269" operator="lessThan">
      <formula>H18</formula>
    </cfRule>
    <cfRule type="cellIs" dxfId="303" priority="270" operator="greaterThan">
      <formula>H18</formula>
    </cfRule>
  </conditionalFormatting>
  <conditionalFormatting sqref="I19">
    <cfRule type="cellIs" dxfId="302" priority="267" operator="lessThan">
      <formula>I18</formula>
    </cfRule>
    <cfRule type="cellIs" dxfId="301" priority="268" operator="greaterThan">
      <formula>I18</formula>
    </cfRule>
  </conditionalFormatting>
  <conditionalFormatting sqref="J19">
    <cfRule type="cellIs" dxfId="300" priority="265" operator="lessThan">
      <formula>J18</formula>
    </cfRule>
    <cfRule type="cellIs" dxfId="299" priority="266" operator="greaterThan">
      <formula>J18</formula>
    </cfRule>
  </conditionalFormatting>
  <conditionalFormatting sqref="H20">
    <cfRule type="cellIs" dxfId="298" priority="263" operator="lessThan">
      <formula>H19</formula>
    </cfRule>
    <cfRule type="cellIs" dxfId="297" priority="264" operator="greaterThan">
      <formula>H19</formula>
    </cfRule>
  </conditionalFormatting>
  <conditionalFormatting sqref="I20">
    <cfRule type="cellIs" dxfId="296" priority="261" operator="lessThan">
      <formula>I19</formula>
    </cfRule>
    <cfRule type="cellIs" dxfId="295" priority="262" operator="greaterThan">
      <formula>I19</formula>
    </cfRule>
  </conditionalFormatting>
  <conditionalFormatting sqref="J20">
    <cfRule type="cellIs" dxfId="294" priority="259" operator="lessThan">
      <formula>J19</formula>
    </cfRule>
    <cfRule type="cellIs" dxfId="293" priority="260" operator="greaterThan">
      <formula>J19</formula>
    </cfRule>
  </conditionalFormatting>
  <conditionalFormatting sqref="B21">
    <cfRule type="cellIs" dxfId="292" priority="257" operator="lessThan">
      <formula>B20</formula>
    </cfRule>
    <cfRule type="cellIs" dxfId="291" priority="258" operator="greaterThan">
      <formula>B20</formula>
    </cfRule>
  </conditionalFormatting>
  <conditionalFormatting sqref="C21">
    <cfRule type="cellIs" dxfId="290" priority="255" operator="lessThan">
      <formula>C20</formula>
    </cfRule>
    <cfRule type="cellIs" dxfId="289" priority="256" operator="greaterThan">
      <formula>C20</formula>
    </cfRule>
  </conditionalFormatting>
  <conditionalFormatting sqref="D21">
    <cfRule type="cellIs" dxfId="288" priority="253" operator="lessThan">
      <formula>D20</formula>
    </cfRule>
    <cfRule type="cellIs" dxfId="287" priority="254" operator="greaterThan">
      <formula>D20</formula>
    </cfRule>
  </conditionalFormatting>
  <conditionalFormatting sqref="E21">
    <cfRule type="cellIs" dxfId="286" priority="251" operator="lessThan">
      <formula>E20</formula>
    </cfRule>
    <cfRule type="cellIs" dxfId="285" priority="252" operator="greaterThan">
      <formula>E20</formula>
    </cfRule>
  </conditionalFormatting>
  <conditionalFormatting sqref="F21">
    <cfRule type="cellIs" dxfId="284" priority="249" operator="lessThan">
      <formula>F20</formula>
    </cfRule>
    <cfRule type="cellIs" dxfId="283" priority="250" operator="greaterThan">
      <formula>F20</formula>
    </cfRule>
  </conditionalFormatting>
  <conditionalFormatting sqref="G21">
    <cfRule type="cellIs" dxfId="282" priority="247" operator="lessThan">
      <formula>G20</formula>
    </cfRule>
    <cfRule type="cellIs" dxfId="281" priority="248" operator="greaterThan">
      <formula>G20</formula>
    </cfRule>
  </conditionalFormatting>
  <conditionalFormatting sqref="K21">
    <cfRule type="cellIs" dxfId="280" priority="245" operator="lessThan">
      <formula>K20</formula>
    </cfRule>
    <cfRule type="cellIs" dxfId="279" priority="246" operator="greaterThan">
      <formula>K20</formula>
    </cfRule>
  </conditionalFormatting>
  <conditionalFormatting sqref="L21">
    <cfRule type="cellIs" dxfId="278" priority="243" operator="lessThan">
      <formula>L20</formula>
    </cfRule>
    <cfRule type="cellIs" dxfId="277" priority="244" operator="greaterThan">
      <formula>L20</formula>
    </cfRule>
  </conditionalFormatting>
  <conditionalFormatting sqref="M21">
    <cfRule type="cellIs" dxfId="276" priority="241" operator="lessThan">
      <formula>M20</formula>
    </cfRule>
    <cfRule type="cellIs" dxfId="275" priority="242" operator="greaterThan">
      <formula>M20</formula>
    </cfRule>
  </conditionalFormatting>
  <conditionalFormatting sqref="N21">
    <cfRule type="cellIs" dxfId="274" priority="239" operator="lessThan">
      <formula>N20</formula>
    </cfRule>
    <cfRule type="cellIs" dxfId="273" priority="240" operator="greaterThan">
      <formula>N20</formula>
    </cfRule>
  </conditionalFormatting>
  <conditionalFormatting sqref="O21">
    <cfRule type="cellIs" dxfId="272" priority="237" operator="lessThan">
      <formula>O20</formula>
    </cfRule>
    <cfRule type="cellIs" dxfId="271" priority="238" operator="greaterThan">
      <formula>O20</formula>
    </cfRule>
  </conditionalFormatting>
  <conditionalFormatting sqref="P21">
    <cfRule type="cellIs" dxfId="270" priority="235" operator="lessThan">
      <formula>P20</formula>
    </cfRule>
    <cfRule type="cellIs" dxfId="269" priority="236" operator="greaterThan">
      <formula>P20</formula>
    </cfRule>
  </conditionalFormatting>
  <conditionalFormatting sqref="Q21">
    <cfRule type="cellIs" dxfId="268" priority="233" operator="lessThan">
      <formula>Q20</formula>
    </cfRule>
    <cfRule type="cellIs" dxfId="267" priority="234" operator="greaterThan">
      <formula>Q20</formula>
    </cfRule>
  </conditionalFormatting>
  <conditionalFormatting sqref="R21">
    <cfRule type="cellIs" dxfId="266" priority="231" operator="lessThan">
      <formula>R20</formula>
    </cfRule>
    <cfRule type="cellIs" dxfId="265" priority="232" operator="greaterThan">
      <formula>R20</formula>
    </cfRule>
  </conditionalFormatting>
  <conditionalFormatting sqref="S21">
    <cfRule type="cellIs" dxfId="264" priority="229" operator="lessThan">
      <formula>S20</formula>
    </cfRule>
    <cfRule type="cellIs" dxfId="263" priority="230" operator="greaterThan">
      <formula>S20</formula>
    </cfRule>
  </conditionalFormatting>
  <conditionalFormatting sqref="H21">
    <cfRule type="cellIs" dxfId="262" priority="227" operator="lessThan">
      <formula>H20</formula>
    </cfRule>
    <cfRule type="cellIs" dxfId="261" priority="228" operator="greaterThan">
      <formula>H20</formula>
    </cfRule>
  </conditionalFormatting>
  <conditionalFormatting sqref="I21">
    <cfRule type="cellIs" dxfId="260" priority="225" operator="lessThan">
      <formula>I20</formula>
    </cfRule>
    <cfRule type="cellIs" dxfId="259" priority="226" operator="greaterThan">
      <formula>I20</formula>
    </cfRule>
  </conditionalFormatting>
  <conditionalFormatting sqref="J21">
    <cfRule type="cellIs" dxfId="258" priority="223" operator="lessThan">
      <formula>J20</formula>
    </cfRule>
    <cfRule type="cellIs" dxfId="257" priority="224" operator="greaterThan">
      <formula>J20</formula>
    </cfRule>
  </conditionalFormatting>
  <conditionalFormatting sqref="B22">
    <cfRule type="cellIs" dxfId="256" priority="221" operator="lessThan">
      <formula>B21</formula>
    </cfRule>
    <cfRule type="cellIs" dxfId="255" priority="222" operator="greaterThan">
      <formula>B21</formula>
    </cfRule>
  </conditionalFormatting>
  <conditionalFormatting sqref="C22">
    <cfRule type="cellIs" dxfId="254" priority="219" operator="lessThan">
      <formula>C21</formula>
    </cfRule>
    <cfRule type="cellIs" dxfId="253" priority="220" operator="greaterThan">
      <formula>C21</formula>
    </cfRule>
  </conditionalFormatting>
  <conditionalFormatting sqref="D22">
    <cfRule type="cellIs" dxfId="252" priority="217" operator="lessThan">
      <formula>D21</formula>
    </cfRule>
    <cfRule type="cellIs" dxfId="251" priority="218" operator="greaterThan">
      <formula>D21</formula>
    </cfRule>
  </conditionalFormatting>
  <conditionalFormatting sqref="E22">
    <cfRule type="cellIs" dxfId="250" priority="215" operator="lessThan">
      <formula>E21</formula>
    </cfRule>
    <cfRule type="cellIs" dxfId="249" priority="216" operator="greaterThan">
      <formula>E21</formula>
    </cfRule>
  </conditionalFormatting>
  <conditionalFormatting sqref="F22">
    <cfRule type="cellIs" dxfId="248" priority="213" operator="lessThan">
      <formula>F21</formula>
    </cfRule>
    <cfRule type="cellIs" dxfId="247" priority="214" operator="greaterThan">
      <formula>F21</formula>
    </cfRule>
  </conditionalFormatting>
  <conditionalFormatting sqref="G22">
    <cfRule type="cellIs" dxfId="246" priority="211" operator="lessThan">
      <formula>G21</formula>
    </cfRule>
    <cfRule type="cellIs" dxfId="245" priority="212" operator="greaterThan">
      <formula>G21</formula>
    </cfRule>
  </conditionalFormatting>
  <conditionalFormatting sqref="K22">
    <cfRule type="cellIs" dxfId="244" priority="209" operator="lessThan">
      <formula>K21</formula>
    </cfRule>
    <cfRule type="cellIs" dxfId="243" priority="210" operator="greaterThan">
      <formula>K21</formula>
    </cfRule>
  </conditionalFormatting>
  <conditionalFormatting sqref="L22">
    <cfRule type="cellIs" dxfId="242" priority="207" operator="lessThan">
      <formula>L21</formula>
    </cfRule>
    <cfRule type="cellIs" dxfId="241" priority="208" operator="greaterThan">
      <formula>L21</formula>
    </cfRule>
  </conditionalFormatting>
  <conditionalFormatting sqref="M22">
    <cfRule type="cellIs" dxfId="240" priority="205" operator="lessThan">
      <formula>M21</formula>
    </cfRule>
    <cfRule type="cellIs" dxfId="239" priority="206" operator="greaterThan">
      <formula>M21</formula>
    </cfRule>
  </conditionalFormatting>
  <conditionalFormatting sqref="N22">
    <cfRule type="cellIs" dxfId="238" priority="203" operator="lessThan">
      <formula>N21</formula>
    </cfRule>
    <cfRule type="cellIs" dxfId="237" priority="204" operator="greaterThan">
      <formula>N21</formula>
    </cfRule>
  </conditionalFormatting>
  <conditionalFormatting sqref="O22">
    <cfRule type="cellIs" dxfId="236" priority="201" operator="lessThan">
      <formula>O21</formula>
    </cfRule>
    <cfRule type="cellIs" dxfId="235" priority="202" operator="greaterThan">
      <formula>O21</formula>
    </cfRule>
  </conditionalFormatting>
  <conditionalFormatting sqref="P22">
    <cfRule type="cellIs" dxfId="234" priority="199" operator="lessThan">
      <formula>P21</formula>
    </cfRule>
    <cfRule type="cellIs" dxfId="233" priority="200" operator="greaterThan">
      <formula>P21</formula>
    </cfRule>
  </conditionalFormatting>
  <conditionalFormatting sqref="Q22">
    <cfRule type="cellIs" dxfId="232" priority="197" operator="lessThan">
      <formula>Q21</formula>
    </cfRule>
    <cfRule type="cellIs" dxfId="231" priority="198" operator="greaterThan">
      <formula>Q21</formula>
    </cfRule>
  </conditionalFormatting>
  <conditionalFormatting sqref="R22">
    <cfRule type="cellIs" dxfId="230" priority="195" operator="lessThan">
      <formula>R21</formula>
    </cfRule>
    <cfRule type="cellIs" dxfId="229" priority="196" operator="greaterThan">
      <formula>R21</formula>
    </cfRule>
  </conditionalFormatting>
  <conditionalFormatting sqref="S22">
    <cfRule type="cellIs" dxfId="228" priority="193" operator="lessThan">
      <formula>S21</formula>
    </cfRule>
    <cfRule type="cellIs" dxfId="227" priority="194" operator="greaterThan">
      <formula>S21</formula>
    </cfRule>
  </conditionalFormatting>
  <conditionalFormatting sqref="H22">
    <cfRule type="cellIs" dxfId="226" priority="191" operator="lessThan">
      <formula>H21</formula>
    </cfRule>
    <cfRule type="cellIs" dxfId="225" priority="192" operator="greaterThan">
      <formula>H21</formula>
    </cfRule>
  </conditionalFormatting>
  <conditionalFormatting sqref="I22">
    <cfRule type="cellIs" dxfId="224" priority="189" operator="lessThan">
      <formula>I21</formula>
    </cfRule>
    <cfRule type="cellIs" dxfId="223" priority="190" operator="greaterThan">
      <formula>I21</formula>
    </cfRule>
  </conditionalFormatting>
  <conditionalFormatting sqref="J22">
    <cfRule type="cellIs" dxfId="222" priority="187" operator="lessThan">
      <formula>J21</formula>
    </cfRule>
    <cfRule type="cellIs" dxfId="221" priority="188" operator="greaterThan">
      <formula>J21</formula>
    </cfRule>
  </conditionalFormatting>
  <conditionalFormatting sqref="B23">
    <cfRule type="cellIs" dxfId="220" priority="185" operator="lessThan">
      <formula>B22</formula>
    </cfRule>
    <cfRule type="cellIs" dxfId="219" priority="186" operator="greaterThan">
      <formula>B22</formula>
    </cfRule>
  </conditionalFormatting>
  <conditionalFormatting sqref="C23">
    <cfRule type="cellIs" dxfId="218" priority="183" operator="lessThan">
      <formula>C22</formula>
    </cfRule>
    <cfRule type="cellIs" dxfId="217" priority="184" operator="greaterThan">
      <formula>C22</formula>
    </cfRule>
  </conditionalFormatting>
  <conditionalFormatting sqref="D23">
    <cfRule type="cellIs" dxfId="216" priority="181" operator="lessThan">
      <formula>D22</formula>
    </cfRule>
    <cfRule type="cellIs" dxfId="215" priority="182" operator="greaterThan">
      <formula>D22</formula>
    </cfRule>
  </conditionalFormatting>
  <conditionalFormatting sqref="E23">
    <cfRule type="cellIs" dxfId="214" priority="179" operator="lessThan">
      <formula>E22</formula>
    </cfRule>
    <cfRule type="cellIs" dxfId="213" priority="180" operator="greaterThan">
      <formula>E22</formula>
    </cfRule>
  </conditionalFormatting>
  <conditionalFormatting sqref="F23">
    <cfRule type="cellIs" dxfId="212" priority="177" operator="lessThan">
      <formula>F22</formula>
    </cfRule>
    <cfRule type="cellIs" dxfId="211" priority="178" operator="greaterThan">
      <formula>F22</formula>
    </cfRule>
  </conditionalFormatting>
  <conditionalFormatting sqref="G23">
    <cfRule type="cellIs" dxfId="210" priority="175" operator="lessThan">
      <formula>G22</formula>
    </cfRule>
    <cfRule type="cellIs" dxfId="209" priority="176" operator="greaterThan">
      <formula>G22</formula>
    </cfRule>
  </conditionalFormatting>
  <conditionalFormatting sqref="K23">
    <cfRule type="cellIs" dxfId="208" priority="173" operator="lessThan">
      <formula>K22</formula>
    </cfRule>
    <cfRule type="cellIs" dxfId="207" priority="174" operator="greaterThan">
      <formula>K22</formula>
    </cfRule>
  </conditionalFormatting>
  <conditionalFormatting sqref="L23">
    <cfRule type="cellIs" dxfId="206" priority="171" operator="lessThan">
      <formula>L22</formula>
    </cfRule>
    <cfRule type="cellIs" dxfId="205" priority="172" operator="greaterThan">
      <formula>L22</formula>
    </cfRule>
  </conditionalFormatting>
  <conditionalFormatting sqref="M23">
    <cfRule type="cellIs" dxfId="204" priority="169" operator="lessThan">
      <formula>M22</formula>
    </cfRule>
    <cfRule type="cellIs" dxfId="203" priority="170" operator="greaterThan">
      <formula>M22</formula>
    </cfRule>
  </conditionalFormatting>
  <conditionalFormatting sqref="N23">
    <cfRule type="cellIs" dxfId="202" priority="167" operator="lessThan">
      <formula>N22</formula>
    </cfRule>
    <cfRule type="cellIs" dxfId="201" priority="168" operator="greaterThan">
      <formula>N22</formula>
    </cfRule>
  </conditionalFormatting>
  <conditionalFormatting sqref="O23">
    <cfRule type="cellIs" dxfId="200" priority="165" operator="lessThan">
      <formula>O22</formula>
    </cfRule>
    <cfRule type="cellIs" dxfId="199" priority="166" operator="greaterThan">
      <formula>O22</formula>
    </cfRule>
  </conditionalFormatting>
  <conditionalFormatting sqref="P23">
    <cfRule type="cellIs" dxfId="198" priority="163" operator="lessThan">
      <formula>P22</formula>
    </cfRule>
    <cfRule type="cellIs" dxfId="197" priority="164" operator="greaterThan">
      <formula>P22</formula>
    </cfRule>
  </conditionalFormatting>
  <conditionalFormatting sqref="Q23">
    <cfRule type="cellIs" dxfId="196" priority="161" operator="lessThan">
      <formula>Q22</formula>
    </cfRule>
    <cfRule type="cellIs" dxfId="195" priority="162" operator="greaterThan">
      <formula>Q22</formula>
    </cfRule>
  </conditionalFormatting>
  <conditionalFormatting sqref="R23">
    <cfRule type="cellIs" dxfId="194" priority="159" operator="lessThan">
      <formula>R22</formula>
    </cfRule>
    <cfRule type="cellIs" dxfId="193" priority="160" operator="greaterThan">
      <formula>R22</formula>
    </cfRule>
  </conditionalFormatting>
  <conditionalFormatting sqref="S23">
    <cfRule type="cellIs" dxfId="192" priority="157" operator="lessThan">
      <formula>S22</formula>
    </cfRule>
    <cfRule type="cellIs" dxfId="191" priority="158" operator="greaterThan">
      <formula>S22</formula>
    </cfRule>
  </conditionalFormatting>
  <conditionalFormatting sqref="H23">
    <cfRule type="cellIs" dxfId="190" priority="155" operator="lessThan">
      <formula>H22</formula>
    </cfRule>
    <cfRule type="cellIs" dxfId="189" priority="156" operator="greaterThan">
      <formula>H22</formula>
    </cfRule>
  </conditionalFormatting>
  <conditionalFormatting sqref="I23">
    <cfRule type="cellIs" dxfId="188" priority="153" operator="lessThan">
      <formula>I22</formula>
    </cfRule>
    <cfRule type="cellIs" dxfId="187" priority="154" operator="greaterThan">
      <formula>I22</formula>
    </cfRule>
  </conditionalFormatting>
  <conditionalFormatting sqref="J23">
    <cfRule type="cellIs" dxfId="186" priority="151" operator="lessThan">
      <formula>J22</formula>
    </cfRule>
    <cfRule type="cellIs" dxfId="185" priority="152" operator="greaterThan">
      <formula>J22</formula>
    </cfRule>
  </conditionalFormatting>
  <conditionalFormatting sqref="B24:B25">
    <cfRule type="cellIs" dxfId="184" priority="149" operator="lessThan">
      <formula>B23</formula>
    </cfRule>
    <cfRule type="cellIs" dxfId="183" priority="150" operator="greaterThan">
      <formula>B23</formula>
    </cfRule>
  </conditionalFormatting>
  <conditionalFormatting sqref="C24:C25">
    <cfRule type="cellIs" dxfId="182" priority="147" operator="lessThan">
      <formula>C23</formula>
    </cfRule>
    <cfRule type="cellIs" dxfId="181" priority="148" operator="greaterThan">
      <formula>C23</formula>
    </cfRule>
  </conditionalFormatting>
  <conditionalFormatting sqref="D24:D25">
    <cfRule type="cellIs" dxfId="180" priority="145" operator="lessThan">
      <formula>D23</formula>
    </cfRule>
    <cfRule type="cellIs" dxfId="179" priority="146" operator="greaterThan">
      <formula>D23</formula>
    </cfRule>
  </conditionalFormatting>
  <conditionalFormatting sqref="E24:E25">
    <cfRule type="cellIs" dxfId="178" priority="143" operator="lessThan">
      <formula>E23</formula>
    </cfRule>
    <cfRule type="cellIs" dxfId="177" priority="144" operator="greaterThan">
      <formula>E23</formula>
    </cfRule>
  </conditionalFormatting>
  <conditionalFormatting sqref="F24:F25">
    <cfRule type="cellIs" dxfId="176" priority="141" operator="lessThan">
      <formula>F23</formula>
    </cfRule>
    <cfRule type="cellIs" dxfId="175" priority="142" operator="greaterThan">
      <formula>F23</formula>
    </cfRule>
  </conditionalFormatting>
  <conditionalFormatting sqref="G24:G25">
    <cfRule type="cellIs" dxfId="174" priority="139" operator="lessThan">
      <formula>G23</formula>
    </cfRule>
    <cfRule type="cellIs" dxfId="173" priority="140" operator="greaterThan">
      <formula>G23</formula>
    </cfRule>
  </conditionalFormatting>
  <conditionalFormatting sqref="K24:K25">
    <cfRule type="cellIs" dxfId="172" priority="137" operator="lessThan">
      <formula>K23</formula>
    </cfRule>
    <cfRule type="cellIs" dxfId="171" priority="138" operator="greaterThan">
      <formula>K23</formula>
    </cfRule>
  </conditionalFormatting>
  <conditionalFormatting sqref="L24:L25">
    <cfRule type="cellIs" dxfId="170" priority="135" operator="lessThan">
      <formula>L23</formula>
    </cfRule>
    <cfRule type="cellIs" dxfId="169" priority="136" operator="greaterThan">
      <formula>L23</formula>
    </cfRule>
  </conditionalFormatting>
  <conditionalFormatting sqref="M24:M25">
    <cfRule type="cellIs" dxfId="168" priority="133" operator="lessThan">
      <formula>M23</formula>
    </cfRule>
    <cfRule type="cellIs" dxfId="167" priority="134" operator="greaterThan">
      <formula>M23</formula>
    </cfRule>
  </conditionalFormatting>
  <conditionalFormatting sqref="N24:N25">
    <cfRule type="cellIs" dxfId="166" priority="131" operator="lessThan">
      <formula>N23</formula>
    </cfRule>
    <cfRule type="cellIs" dxfId="165" priority="132" operator="greaterThan">
      <formula>N23</formula>
    </cfRule>
  </conditionalFormatting>
  <conditionalFormatting sqref="O24:O25">
    <cfRule type="cellIs" dxfId="164" priority="129" operator="lessThan">
      <formula>O23</formula>
    </cfRule>
    <cfRule type="cellIs" dxfId="163" priority="130" operator="greaterThan">
      <formula>O23</formula>
    </cfRule>
  </conditionalFormatting>
  <conditionalFormatting sqref="P24:P25">
    <cfRule type="cellIs" dxfId="162" priority="127" operator="lessThan">
      <formula>P23</formula>
    </cfRule>
    <cfRule type="cellIs" dxfId="161" priority="128" operator="greaterThan">
      <formula>P23</formula>
    </cfRule>
  </conditionalFormatting>
  <conditionalFormatting sqref="Q24">
    <cfRule type="cellIs" dxfId="160" priority="125" operator="lessThan">
      <formula>Q23</formula>
    </cfRule>
    <cfRule type="cellIs" dxfId="159" priority="126" operator="greaterThan">
      <formula>Q23</formula>
    </cfRule>
  </conditionalFormatting>
  <conditionalFormatting sqref="R24">
    <cfRule type="cellIs" dxfId="158" priority="123" operator="lessThan">
      <formula>R23</formula>
    </cfRule>
    <cfRule type="cellIs" dxfId="157" priority="124" operator="greaterThan">
      <formula>R23</formula>
    </cfRule>
  </conditionalFormatting>
  <conditionalFormatting sqref="S24">
    <cfRule type="cellIs" dxfId="156" priority="121" operator="lessThan">
      <formula>S23</formula>
    </cfRule>
    <cfRule type="cellIs" dxfId="155" priority="122" operator="greaterThan">
      <formula>S23</formula>
    </cfRule>
  </conditionalFormatting>
  <conditionalFormatting sqref="H24:H25">
    <cfRule type="cellIs" dxfId="154" priority="119" operator="lessThan">
      <formula>H23</formula>
    </cfRule>
    <cfRule type="cellIs" dxfId="153" priority="120" operator="greaterThan">
      <formula>H23</formula>
    </cfRule>
  </conditionalFormatting>
  <conditionalFormatting sqref="I24:I25">
    <cfRule type="cellIs" dxfId="152" priority="117" operator="lessThan">
      <formula>I23</formula>
    </cfRule>
    <cfRule type="cellIs" dxfId="151" priority="118" operator="greaterThan">
      <formula>I23</formula>
    </cfRule>
  </conditionalFormatting>
  <conditionalFormatting sqref="J24:J25">
    <cfRule type="cellIs" dxfId="150" priority="115" operator="lessThan">
      <formula>J23</formula>
    </cfRule>
    <cfRule type="cellIs" dxfId="149" priority="116" operator="greaterThan">
      <formula>J23</formula>
    </cfRule>
  </conditionalFormatting>
  <conditionalFormatting sqref="Q25">
    <cfRule type="cellIs" dxfId="148" priority="113" operator="lessThan">
      <formula>Q24</formula>
    </cfRule>
    <cfRule type="cellIs" dxfId="147" priority="114" operator="greaterThan">
      <formula>Q24</formula>
    </cfRule>
  </conditionalFormatting>
  <conditionalFormatting sqref="R25">
    <cfRule type="cellIs" dxfId="146" priority="111" operator="lessThan">
      <formula>R24</formula>
    </cfRule>
    <cfRule type="cellIs" dxfId="145" priority="112" operator="greaterThan">
      <formula>R24</formula>
    </cfRule>
  </conditionalFormatting>
  <conditionalFormatting sqref="S25">
    <cfRule type="cellIs" dxfId="144" priority="109" operator="lessThan">
      <formula>S24</formula>
    </cfRule>
    <cfRule type="cellIs" dxfId="143" priority="110" operator="greaterThan">
      <formula>S24</formula>
    </cfRule>
  </conditionalFormatting>
  <conditionalFormatting sqref="B26">
    <cfRule type="cellIs" dxfId="142" priority="107" operator="lessThan">
      <formula>B25</formula>
    </cfRule>
    <cfRule type="cellIs" dxfId="141" priority="108" operator="greaterThan">
      <formula>B25</formula>
    </cfRule>
  </conditionalFormatting>
  <conditionalFormatting sqref="C26">
    <cfRule type="cellIs" dxfId="140" priority="105" operator="lessThan">
      <formula>C25</formula>
    </cfRule>
    <cfRule type="cellIs" dxfId="139" priority="106" operator="greaterThan">
      <formula>C25</formula>
    </cfRule>
  </conditionalFormatting>
  <conditionalFormatting sqref="D26">
    <cfRule type="cellIs" dxfId="138" priority="103" operator="lessThan">
      <formula>D25</formula>
    </cfRule>
    <cfRule type="cellIs" dxfId="137" priority="104" operator="greaterThan">
      <formula>D25</formula>
    </cfRule>
  </conditionalFormatting>
  <conditionalFormatting sqref="E26">
    <cfRule type="cellIs" dxfId="136" priority="101" operator="lessThan">
      <formula>E25</formula>
    </cfRule>
    <cfRule type="cellIs" dxfId="135" priority="102" operator="greaterThan">
      <formula>E25</formula>
    </cfRule>
  </conditionalFormatting>
  <conditionalFormatting sqref="F26">
    <cfRule type="cellIs" dxfId="134" priority="99" operator="lessThan">
      <formula>F25</formula>
    </cfRule>
    <cfRule type="cellIs" dxfId="133" priority="100" operator="greaterThan">
      <formula>F25</formula>
    </cfRule>
  </conditionalFormatting>
  <conditionalFormatting sqref="G26">
    <cfRule type="cellIs" dxfId="132" priority="97" operator="lessThan">
      <formula>G25</formula>
    </cfRule>
    <cfRule type="cellIs" dxfId="131" priority="98" operator="greaterThan">
      <formula>G25</formula>
    </cfRule>
  </conditionalFormatting>
  <conditionalFormatting sqref="K26">
    <cfRule type="cellIs" dxfId="130" priority="95" operator="lessThan">
      <formula>K25</formula>
    </cfRule>
    <cfRule type="cellIs" dxfId="129" priority="96" operator="greaterThan">
      <formula>K25</formula>
    </cfRule>
  </conditionalFormatting>
  <conditionalFormatting sqref="L26">
    <cfRule type="cellIs" dxfId="128" priority="93" operator="lessThan">
      <formula>L25</formula>
    </cfRule>
    <cfRule type="cellIs" dxfId="127" priority="94" operator="greaterThan">
      <formula>L25</formula>
    </cfRule>
  </conditionalFormatting>
  <conditionalFormatting sqref="M26">
    <cfRule type="cellIs" dxfId="126" priority="91" operator="lessThan">
      <formula>M25</formula>
    </cfRule>
    <cfRule type="cellIs" dxfId="125" priority="92" operator="greaterThan">
      <formula>M25</formula>
    </cfRule>
  </conditionalFormatting>
  <conditionalFormatting sqref="N26">
    <cfRule type="cellIs" dxfId="124" priority="89" operator="lessThan">
      <formula>N25</formula>
    </cfRule>
    <cfRule type="cellIs" dxfId="123" priority="90" operator="greaterThan">
      <formula>N25</formula>
    </cfRule>
  </conditionalFormatting>
  <conditionalFormatting sqref="O26">
    <cfRule type="cellIs" dxfId="122" priority="87" operator="lessThan">
      <formula>O25</formula>
    </cfRule>
    <cfRule type="cellIs" dxfId="121" priority="88" operator="greaterThan">
      <formula>O25</formula>
    </cfRule>
  </conditionalFormatting>
  <conditionalFormatting sqref="P26">
    <cfRule type="cellIs" dxfId="120" priority="85" operator="lessThan">
      <formula>P25</formula>
    </cfRule>
    <cfRule type="cellIs" dxfId="119" priority="86" operator="greaterThan">
      <formula>P25</formula>
    </cfRule>
  </conditionalFormatting>
  <conditionalFormatting sqref="H26">
    <cfRule type="cellIs" dxfId="118" priority="83" operator="lessThan">
      <formula>H25</formula>
    </cfRule>
    <cfRule type="cellIs" dxfId="117" priority="84" operator="greaterThan">
      <formula>H25</formula>
    </cfRule>
  </conditionalFormatting>
  <conditionalFormatting sqref="I26">
    <cfRule type="cellIs" dxfId="116" priority="81" operator="lessThan">
      <formula>I25</formula>
    </cfRule>
    <cfRule type="cellIs" dxfId="115" priority="82" operator="greaterThan">
      <formula>I25</formula>
    </cfRule>
  </conditionalFormatting>
  <conditionalFormatting sqref="J26">
    <cfRule type="cellIs" dxfId="114" priority="79" operator="lessThan">
      <formula>J25</formula>
    </cfRule>
    <cfRule type="cellIs" dxfId="113" priority="80" operator="greaterThan">
      <formula>J25</formula>
    </cfRule>
  </conditionalFormatting>
  <conditionalFormatting sqref="Q26">
    <cfRule type="cellIs" dxfId="112" priority="77" operator="lessThan">
      <formula>Q25</formula>
    </cfRule>
    <cfRule type="cellIs" dxfId="111" priority="78" operator="greaterThan">
      <formula>Q25</formula>
    </cfRule>
  </conditionalFormatting>
  <conditionalFormatting sqref="R26">
    <cfRule type="cellIs" dxfId="110" priority="75" operator="lessThan">
      <formula>R25</formula>
    </cfRule>
    <cfRule type="cellIs" dxfId="109" priority="76" operator="greaterThan">
      <formula>R25</formula>
    </cfRule>
  </conditionalFormatting>
  <conditionalFormatting sqref="S26">
    <cfRule type="cellIs" dxfId="108" priority="73" operator="lessThan">
      <formula>S25</formula>
    </cfRule>
    <cfRule type="cellIs" dxfId="107" priority="74" operator="greaterThan">
      <formula>S25</formula>
    </cfRule>
  </conditionalFormatting>
  <conditionalFormatting sqref="B27">
    <cfRule type="cellIs" dxfId="106" priority="71" operator="lessThan">
      <formula>B26</formula>
    </cfRule>
    <cfRule type="cellIs" dxfId="105" priority="72" operator="greaterThan">
      <formula>B26</formula>
    </cfRule>
  </conditionalFormatting>
  <conditionalFormatting sqref="C27">
    <cfRule type="cellIs" dxfId="104" priority="69" operator="lessThan">
      <formula>C26</formula>
    </cfRule>
    <cfRule type="cellIs" dxfId="103" priority="70" operator="greaterThan">
      <formula>C26</formula>
    </cfRule>
  </conditionalFormatting>
  <conditionalFormatting sqref="D27">
    <cfRule type="cellIs" dxfId="102" priority="67" operator="lessThan">
      <formula>D26</formula>
    </cfRule>
    <cfRule type="cellIs" dxfId="101" priority="68" operator="greaterThan">
      <formula>D26</formula>
    </cfRule>
  </conditionalFormatting>
  <conditionalFormatting sqref="E27">
    <cfRule type="cellIs" dxfId="100" priority="65" operator="lessThan">
      <formula>E26</formula>
    </cfRule>
    <cfRule type="cellIs" dxfId="99" priority="66" operator="greaterThan">
      <formula>E26</formula>
    </cfRule>
  </conditionalFormatting>
  <conditionalFormatting sqref="F27">
    <cfRule type="cellIs" dxfId="98" priority="63" operator="lessThan">
      <formula>F26</formula>
    </cfRule>
    <cfRule type="cellIs" dxfId="97" priority="64" operator="greaterThan">
      <formula>F26</formula>
    </cfRule>
  </conditionalFormatting>
  <conditionalFormatting sqref="G27">
    <cfRule type="cellIs" dxfId="96" priority="61" operator="lessThan">
      <formula>G26</formula>
    </cfRule>
    <cfRule type="cellIs" dxfId="95" priority="62" operator="greaterThan">
      <formula>G26</formula>
    </cfRule>
  </conditionalFormatting>
  <conditionalFormatting sqref="K27">
    <cfRule type="cellIs" dxfId="94" priority="59" operator="lessThan">
      <formula>K26</formula>
    </cfRule>
    <cfRule type="cellIs" dxfId="93" priority="60" operator="greaterThan">
      <formula>K26</formula>
    </cfRule>
  </conditionalFormatting>
  <conditionalFormatting sqref="L27">
    <cfRule type="cellIs" dxfId="92" priority="57" operator="lessThan">
      <formula>L26</formula>
    </cfRule>
    <cfRule type="cellIs" dxfId="91" priority="58" operator="greaterThan">
      <formula>L26</formula>
    </cfRule>
  </conditionalFormatting>
  <conditionalFormatting sqref="M27">
    <cfRule type="cellIs" dxfId="90" priority="55" operator="lessThan">
      <formula>M26</formula>
    </cfRule>
    <cfRule type="cellIs" dxfId="89" priority="56" operator="greaterThan">
      <formula>M26</formula>
    </cfRule>
  </conditionalFormatting>
  <conditionalFormatting sqref="N27">
    <cfRule type="cellIs" dxfId="88" priority="53" operator="lessThan">
      <formula>N26</formula>
    </cfRule>
    <cfRule type="cellIs" dxfId="87" priority="54" operator="greaterThan">
      <formula>N26</formula>
    </cfRule>
  </conditionalFormatting>
  <conditionalFormatting sqref="O27">
    <cfRule type="cellIs" dxfId="86" priority="51" operator="lessThan">
      <formula>O26</formula>
    </cfRule>
    <cfRule type="cellIs" dxfId="85" priority="52" operator="greaterThan">
      <formula>O26</formula>
    </cfRule>
  </conditionalFormatting>
  <conditionalFormatting sqref="P27">
    <cfRule type="cellIs" dxfId="84" priority="49" operator="lessThan">
      <formula>P26</formula>
    </cfRule>
    <cfRule type="cellIs" dxfId="83" priority="50" operator="greaterThan">
      <formula>P26</formula>
    </cfRule>
  </conditionalFormatting>
  <conditionalFormatting sqref="H27">
    <cfRule type="cellIs" dxfId="82" priority="47" operator="lessThan">
      <formula>H26</formula>
    </cfRule>
    <cfRule type="cellIs" dxfId="81" priority="48" operator="greaterThan">
      <formula>H26</formula>
    </cfRule>
  </conditionalFormatting>
  <conditionalFormatting sqref="I27">
    <cfRule type="cellIs" dxfId="80" priority="45" operator="lessThan">
      <formula>I26</formula>
    </cfRule>
    <cfRule type="cellIs" dxfId="79" priority="46" operator="greaterThan">
      <formula>I26</formula>
    </cfRule>
  </conditionalFormatting>
  <conditionalFormatting sqref="J27">
    <cfRule type="cellIs" dxfId="78" priority="43" operator="lessThan">
      <formula>J26</formula>
    </cfRule>
    <cfRule type="cellIs" dxfId="77" priority="44" operator="greaterThan">
      <formula>J26</formula>
    </cfRule>
  </conditionalFormatting>
  <conditionalFormatting sqref="Q27">
    <cfRule type="cellIs" dxfId="76" priority="41" operator="lessThan">
      <formula>Q26</formula>
    </cfRule>
    <cfRule type="cellIs" dxfId="75" priority="42" operator="greaterThan">
      <formula>Q26</formula>
    </cfRule>
  </conditionalFormatting>
  <conditionalFormatting sqref="R27">
    <cfRule type="cellIs" dxfId="74" priority="39" operator="lessThan">
      <formula>R26</formula>
    </cfRule>
    <cfRule type="cellIs" dxfId="73" priority="40" operator="greaterThan">
      <formula>R26</formula>
    </cfRule>
  </conditionalFormatting>
  <conditionalFormatting sqref="S27">
    <cfRule type="cellIs" dxfId="72" priority="37" operator="lessThan">
      <formula>S26</formula>
    </cfRule>
    <cfRule type="cellIs" dxfId="71" priority="38" operator="greaterThan">
      <formula>S26</formula>
    </cfRule>
  </conditionalFormatting>
  <conditionalFormatting sqref="B28">
    <cfRule type="cellIs" dxfId="70" priority="35" operator="lessThan">
      <formula>B27</formula>
    </cfRule>
    <cfRule type="cellIs" dxfId="69" priority="36" operator="greaterThan">
      <formula>B27</formula>
    </cfRule>
  </conditionalFormatting>
  <conditionalFormatting sqref="C28">
    <cfRule type="cellIs" dxfId="68" priority="33" operator="lessThan">
      <formula>C27</formula>
    </cfRule>
    <cfRule type="cellIs" dxfId="67" priority="34" operator="greaterThan">
      <formula>C27</formula>
    </cfRule>
  </conditionalFormatting>
  <conditionalFormatting sqref="D28">
    <cfRule type="cellIs" dxfId="66" priority="31" operator="lessThan">
      <formula>D27</formula>
    </cfRule>
    <cfRule type="cellIs" dxfId="65" priority="32" operator="greaterThan">
      <formula>D27</formula>
    </cfRule>
  </conditionalFormatting>
  <conditionalFormatting sqref="E28">
    <cfRule type="cellIs" dxfId="64" priority="29" operator="lessThan">
      <formula>E27</formula>
    </cfRule>
    <cfRule type="cellIs" dxfId="63" priority="30" operator="greaterThan">
      <formula>E27</formula>
    </cfRule>
  </conditionalFormatting>
  <conditionalFormatting sqref="F28">
    <cfRule type="cellIs" dxfId="62" priority="27" operator="lessThan">
      <formula>F27</formula>
    </cfRule>
    <cfRule type="cellIs" dxfId="61" priority="28" operator="greaterThan">
      <formula>F27</formula>
    </cfRule>
  </conditionalFormatting>
  <conditionalFormatting sqref="G28">
    <cfRule type="cellIs" dxfId="60" priority="25" operator="lessThan">
      <formula>G27</formula>
    </cfRule>
    <cfRule type="cellIs" dxfId="59" priority="26" operator="greaterThan">
      <formula>G27</formula>
    </cfRule>
  </conditionalFormatting>
  <conditionalFormatting sqref="K28">
    <cfRule type="cellIs" dxfId="58" priority="23" operator="lessThan">
      <formula>K27</formula>
    </cfRule>
    <cfRule type="cellIs" dxfId="57" priority="24" operator="greaterThan">
      <formula>K27</formula>
    </cfRule>
  </conditionalFormatting>
  <conditionalFormatting sqref="L28">
    <cfRule type="cellIs" dxfId="56" priority="21" operator="lessThan">
      <formula>L27</formula>
    </cfRule>
    <cfRule type="cellIs" dxfId="55" priority="22" operator="greaterThan">
      <formula>L27</formula>
    </cfRule>
  </conditionalFormatting>
  <conditionalFormatting sqref="M28">
    <cfRule type="cellIs" dxfId="54" priority="19" operator="lessThan">
      <formula>M27</formula>
    </cfRule>
    <cfRule type="cellIs" dxfId="53" priority="20" operator="greaterThan">
      <formula>M27</formula>
    </cfRule>
  </conditionalFormatting>
  <conditionalFormatting sqref="N28">
    <cfRule type="cellIs" dxfId="52" priority="17" operator="lessThan">
      <formula>N27</formula>
    </cfRule>
    <cfRule type="cellIs" dxfId="51" priority="18" operator="greaterThan">
      <formula>N27</formula>
    </cfRule>
  </conditionalFormatting>
  <conditionalFormatting sqref="O28">
    <cfRule type="cellIs" dxfId="50" priority="15" operator="lessThan">
      <formula>O27</formula>
    </cfRule>
    <cfRule type="cellIs" dxfId="49" priority="16" operator="greaterThan">
      <formula>O27</formula>
    </cfRule>
  </conditionalFormatting>
  <conditionalFormatting sqref="P28">
    <cfRule type="cellIs" dxfId="48" priority="13" operator="lessThan">
      <formula>P27</formula>
    </cfRule>
    <cfRule type="cellIs" dxfId="47" priority="14" operator="greaterThan">
      <formula>P27</formula>
    </cfRule>
  </conditionalFormatting>
  <conditionalFormatting sqref="H28">
    <cfRule type="cellIs" dxfId="46" priority="11" operator="lessThan">
      <formula>H27</formula>
    </cfRule>
    <cfRule type="cellIs" dxfId="45" priority="12" operator="greaterThan">
      <formula>H27</formula>
    </cfRule>
  </conditionalFormatting>
  <conditionalFormatting sqref="I28">
    <cfRule type="cellIs" dxfId="44" priority="9" operator="lessThan">
      <formula>I27</formula>
    </cfRule>
    <cfRule type="cellIs" dxfId="43" priority="10" operator="greaterThan">
      <formula>I27</formula>
    </cfRule>
  </conditionalFormatting>
  <conditionalFormatting sqref="J28">
    <cfRule type="cellIs" dxfId="42" priority="7" operator="lessThan">
      <formula>J27</formula>
    </cfRule>
    <cfRule type="cellIs" dxfId="41" priority="8" operator="greaterThan">
      <formula>J27</formula>
    </cfRule>
  </conditionalFormatting>
  <conditionalFormatting sqref="Q28">
    <cfRule type="cellIs" dxfId="40" priority="5" operator="lessThan">
      <formula>Q27</formula>
    </cfRule>
    <cfRule type="cellIs" dxfId="39" priority="6" operator="greaterThan">
      <formula>Q27</formula>
    </cfRule>
  </conditionalFormatting>
  <conditionalFormatting sqref="R28">
    <cfRule type="cellIs" dxfId="38" priority="3" operator="lessThan">
      <formula>R27</formula>
    </cfRule>
    <cfRule type="cellIs" dxfId="37" priority="4" operator="greaterThan">
      <formula>R27</formula>
    </cfRule>
  </conditionalFormatting>
  <conditionalFormatting sqref="S28">
    <cfRule type="cellIs" dxfId="36" priority="1" operator="lessThan">
      <formula>S27</formula>
    </cfRule>
    <cfRule type="cellIs" dxfId="35" priority="2" operator="greaterThan">
      <formula>S27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H31"/>
    </sheetView>
  </sheetViews>
  <sheetFormatPr defaultRowHeight="21" x14ac:dyDescent="0.35"/>
  <cols>
    <col min="1" max="1" width="16.7109375" style="32" customWidth="1"/>
    <col min="2" max="2" width="13.5703125" style="32" customWidth="1"/>
    <col min="3" max="7" width="11.7109375" style="33" customWidth="1"/>
    <col min="8" max="8" width="13.7109375" style="33" customWidth="1"/>
    <col min="9" max="16384" width="9.140625" style="33"/>
  </cols>
  <sheetData>
    <row r="1" spans="1:21" x14ac:dyDescent="0.35">
      <c r="A1" s="46" t="s">
        <v>46</v>
      </c>
      <c r="C1" s="48"/>
      <c r="D1" s="48"/>
    </row>
    <row r="2" spans="1:21" s="35" customFormat="1" ht="42" x14ac:dyDescent="0.2">
      <c r="A2" s="34" t="s">
        <v>25</v>
      </c>
      <c r="B2" s="34" t="s">
        <v>26</v>
      </c>
      <c r="C2" s="34" t="s">
        <v>27</v>
      </c>
      <c r="D2" s="34" t="s">
        <v>30</v>
      </c>
      <c r="E2" s="34" t="s">
        <v>35</v>
      </c>
      <c r="F2" s="51" t="s">
        <v>28</v>
      </c>
      <c r="G2" s="34" t="s">
        <v>29</v>
      </c>
      <c r="H2" s="34" t="s">
        <v>31</v>
      </c>
      <c r="L2" s="35" t="s">
        <v>25</v>
      </c>
      <c r="M2" s="35" t="s">
        <v>27</v>
      </c>
      <c r="N2" s="35" t="s">
        <v>25</v>
      </c>
      <c r="O2" s="35" t="s">
        <v>30</v>
      </c>
      <c r="P2" s="35" t="s">
        <v>25</v>
      </c>
      <c r="Q2" s="35" t="s">
        <v>35</v>
      </c>
      <c r="R2" s="35" t="s">
        <v>25</v>
      </c>
      <c r="S2" s="35" t="s">
        <v>546</v>
      </c>
      <c r="T2" s="35" t="s">
        <v>25</v>
      </c>
      <c r="U2" s="35" t="s">
        <v>41</v>
      </c>
    </row>
    <row r="3" spans="1:21" ht="36" hidden="1" customHeight="1" x14ac:dyDescent="0.35">
      <c r="A3" s="37" t="s">
        <v>34</v>
      </c>
      <c r="B3" s="38"/>
      <c r="C3" s="39">
        <v>207.25436119999998</v>
      </c>
      <c r="D3" s="39">
        <v>104.05036820000001</v>
      </c>
      <c r="E3" s="39">
        <v>142.07128180000001</v>
      </c>
      <c r="F3" s="39">
        <v>16.377600100000002</v>
      </c>
      <c r="G3" s="39">
        <v>8.7014671999999997</v>
      </c>
      <c r="H3" s="39">
        <f t="shared" ref="H3:H24" si="0">SUM(C3:G3)</f>
        <v>478.45507850000001</v>
      </c>
      <c r="L3" s="33" t="str">
        <f>A3</f>
        <v>Mar' 15</v>
      </c>
      <c r="M3" s="40">
        <f>C3</f>
        <v>207.25436119999998</v>
      </c>
      <c r="N3" s="33" t="str">
        <f>A3</f>
        <v>Mar' 15</v>
      </c>
      <c r="O3" s="40">
        <f>D3</f>
        <v>104.05036820000001</v>
      </c>
      <c r="P3" s="33" t="str">
        <f>A3</f>
        <v>Mar' 15</v>
      </c>
      <c r="Q3" s="40">
        <f>E3</f>
        <v>142.07128180000001</v>
      </c>
      <c r="R3" s="33" t="str">
        <f>A3</f>
        <v>Mar' 15</v>
      </c>
      <c r="S3" s="40">
        <f>F3+G3</f>
        <v>25.079067300000002</v>
      </c>
      <c r="T3" s="33" t="str">
        <f>A3</f>
        <v>Mar' 15</v>
      </c>
      <c r="U3" s="40">
        <f>H3</f>
        <v>478.45507850000001</v>
      </c>
    </row>
    <row r="4" spans="1:21" ht="36" hidden="1" customHeight="1" x14ac:dyDescent="0.35">
      <c r="A4" s="37" t="s">
        <v>9</v>
      </c>
      <c r="B4" s="38"/>
      <c r="C4" s="39"/>
      <c r="D4" s="39"/>
      <c r="E4" s="39"/>
      <c r="F4" s="39"/>
      <c r="G4" s="39"/>
      <c r="H4" s="39">
        <f t="shared" si="0"/>
        <v>0</v>
      </c>
    </row>
    <row r="5" spans="1:21" ht="36" hidden="1" customHeight="1" x14ac:dyDescent="0.35">
      <c r="A5" s="37" t="s">
        <v>10</v>
      </c>
      <c r="B5" s="38"/>
      <c r="C5" s="39"/>
      <c r="D5" s="39"/>
      <c r="E5" s="39"/>
      <c r="F5" s="39"/>
      <c r="G5" s="39"/>
      <c r="H5" s="39">
        <f t="shared" si="0"/>
        <v>0</v>
      </c>
    </row>
    <row r="6" spans="1:21" ht="36" hidden="1" customHeight="1" x14ac:dyDescent="0.35">
      <c r="A6" s="37" t="s">
        <v>37</v>
      </c>
      <c r="B6" s="38"/>
      <c r="C6" s="39"/>
      <c r="D6" s="39"/>
      <c r="E6" s="39"/>
      <c r="F6" s="39"/>
      <c r="G6" s="39"/>
      <c r="H6" s="39">
        <f t="shared" si="0"/>
        <v>0</v>
      </c>
    </row>
    <row r="7" spans="1:21" ht="36" hidden="1" customHeight="1" x14ac:dyDescent="0.35">
      <c r="A7" s="37" t="s">
        <v>12</v>
      </c>
      <c r="B7" s="38"/>
      <c r="C7" s="39"/>
      <c r="D7" s="39"/>
      <c r="E7" s="39"/>
      <c r="F7" s="39"/>
      <c r="G7" s="39"/>
      <c r="H7" s="39">
        <f t="shared" si="0"/>
        <v>0</v>
      </c>
    </row>
    <row r="8" spans="1:21" ht="36" hidden="1" customHeight="1" x14ac:dyDescent="0.35">
      <c r="A8" s="37" t="s">
        <v>13</v>
      </c>
      <c r="B8" s="38"/>
      <c r="C8" s="39"/>
      <c r="D8" s="39"/>
      <c r="E8" s="39"/>
      <c r="F8" s="39"/>
      <c r="G8" s="39"/>
      <c r="H8" s="39">
        <f t="shared" si="0"/>
        <v>0</v>
      </c>
    </row>
    <row r="9" spans="1:21" ht="36" hidden="1" customHeight="1" x14ac:dyDescent="0.35">
      <c r="A9" s="37" t="s">
        <v>38</v>
      </c>
      <c r="B9" s="38"/>
      <c r="C9" s="39"/>
      <c r="D9" s="39"/>
      <c r="E9" s="39"/>
      <c r="F9" s="39"/>
      <c r="G9" s="39"/>
      <c r="H9" s="39">
        <f t="shared" si="0"/>
        <v>0</v>
      </c>
    </row>
    <row r="10" spans="1:21" ht="36" hidden="1" customHeight="1" x14ac:dyDescent="0.35">
      <c r="A10" s="37" t="s">
        <v>15</v>
      </c>
      <c r="B10" s="38"/>
      <c r="C10" s="39"/>
      <c r="D10" s="39"/>
      <c r="E10" s="39"/>
      <c r="F10" s="39"/>
      <c r="G10" s="39"/>
      <c r="H10" s="39">
        <f t="shared" si="0"/>
        <v>0</v>
      </c>
    </row>
    <row r="11" spans="1:21" ht="36" hidden="1" customHeight="1" x14ac:dyDescent="0.35">
      <c r="A11" s="37" t="s">
        <v>16</v>
      </c>
      <c r="B11" s="38"/>
      <c r="C11" s="39"/>
      <c r="D11" s="39"/>
      <c r="E11" s="39"/>
      <c r="F11" s="39"/>
      <c r="G11" s="39"/>
      <c r="H11" s="39">
        <f t="shared" si="0"/>
        <v>0</v>
      </c>
    </row>
    <row r="12" spans="1:21" ht="36" hidden="1" customHeight="1" x14ac:dyDescent="0.35">
      <c r="A12" s="37" t="s">
        <v>17</v>
      </c>
      <c r="B12" s="38"/>
      <c r="C12" s="39"/>
      <c r="D12" s="39"/>
      <c r="E12" s="39"/>
      <c r="F12" s="39"/>
      <c r="G12" s="39"/>
      <c r="H12" s="39">
        <f t="shared" si="0"/>
        <v>0</v>
      </c>
    </row>
    <row r="13" spans="1:21" ht="36" hidden="1" customHeight="1" x14ac:dyDescent="0.35">
      <c r="A13" s="37" t="s">
        <v>49</v>
      </c>
      <c r="B13" s="38"/>
      <c r="C13" s="39"/>
      <c r="D13" s="39"/>
      <c r="E13" s="39"/>
      <c r="F13" s="39"/>
      <c r="G13" s="39"/>
      <c r="H13" s="39">
        <f t="shared" si="0"/>
        <v>0</v>
      </c>
    </row>
    <row r="14" spans="1:21" ht="36" hidden="1" customHeight="1" x14ac:dyDescent="0.35">
      <c r="A14" s="37" t="s">
        <v>50</v>
      </c>
      <c r="B14" s="38"/>
      <c r="C14" s="39"/>
      <c r="D14" s="39"/>
      <c r="E14" s="39"/>
      <c r="F14" s="39"/>
      <c r="G14" s="39"/>
      <c r="H14" s="39">
        <f t="shared" si="0"/>
        <v>0</v>
      </c>
      <c r="M14" s="33">
        <f>H14*30%</f>
        <v>0</v>
      </c>
      <c r="N14" s="40">
        <f>H14-M14</f>
        <v>0</v>
      </c>
    </row>
    <row r="15" spans="1:21" ht="36" customHeight="1" x14ac:dyDescent="0.35">
      <c r="A15" s="37" t="s">
        <v>20</v>
      </c>
      <c r="B15" s="38"/>
      <c r="C15" s="39">
        <v>124.88821220000008</v>
      </c>
      <c r="D15" s="39">
        <v>97.078985499999973</v>
      </c>
      <c r="E15" s="39">
        <v>21.434136399999996</v>
      </c>
      <c r="F15" s="39">
        <v>86.326997999999975</v>
      </c>
      <c r="G15" s="39">
        <v>25.873128999999935</v>
      </c>
      <c r="H15" s="39">
        <f t="shared" si="0"/>
        <v>355.60146109999994</v>
      </c>
      <c r="J15" s="33">
        <f>H15*30%</f>
        <v>106.68043832999997</v>
      </c>
      <c r="K15" s="103">
        <f>H15-J15</f>
        <v>248.92102276999998</v>
      </c>
      <c r="L15" s="33" t="str">
        <f t="shared" ref="L15:L24" si="1">A15</f>
        <v>Mar' 16</v>
      </c>
      <c r="M15" s="40">
        <f t="shared" ref="M15:M24" si="2">C15</f>
        <v>124.88821220000008</v>
      </c>
      <c r="N15" s="33" t="str">
        <f t="shared" ref="N15:N24" si="3">A15</f>
        <v>Mar' 16</v>
      </c>
      <c r="O15" s="40">
        <f t="shared" ref="O15:O24" si="4">D15</f>
        <v>97.078985499999973</v>
      </c>
      <c r="P15" s="33" t="str">
        <f t="shared" ref="P15:P24" si="5">A15</f>
        <v>Mar' 16</v>
      </c>
      <c r="Q15" s="40">
        <f t="shared" ref="Q15:Q24" si="6">E15</f>
        <v>21.434136399999996</v>
      </c>
      <c r="R15" s="33" t="str">
        <f t="shared" ref="R15:R24" si="7">A15</f>
        <v>Mar' 16</v>
      </c>
      <c r="S15" s="40">
        <f t="shared" ref="S15:S24" si="8">F15+G15</f>
        <v>112.20012699999991</v>
      </c>
      <c r="T15" s="33" t="str">
        <f t="shared" ref="T15:T24" si="9">A15</f>
        <v>Mar' 16</v>
      </c>
      <c r="U15" s="40">
        <f t="shared" ref="U15:U24" si="10">H15</f>
        <v>355.60146109999994</v>
      </c>
    </row>
    <row r="16" spans="1:21" ht="36" hidden="1" customHeight="1" x14ac:dyDescent="0.35">
      <c r="A16" s="37" t="s">
        <v>336</v>
      </c>
      <c r="B16" s="38"/>
      <c r="C16" s="39"/>
      <c r="D16" s="39"/>
      <c r="E16" s="39"/>
      <c r="F16" s="39"/>
      <c r="G16" s="39"/>
      <c r="H16" s="39">
        <f t="shared" si="0"/>
        <v>0</v>
      </c>
      <c r="L16" s="33" t="str">
        <f t="shared" si="1"/>
        <v>Apr' 16</v>
      </c>
      <c r="M16" s="40">
        <f t="shared" si="2"/>
        <v>0</v>
      </c>
      <c r="N16" s="33" t="str">
        <f t="shared" si="3"/>
        <v>Apr' 16</v>
      </c>
      <c r="O16" s="40">
        <f t="shared" si="4"/>
        <v>0</v>
      </c>
      <c r="P16" s="33" t="str">
        <f t="shared" si="5"/>
        <v>Apr' 16</v>
      </c>
      <c r="Q16" s="40">
        <f t="shared" si="6"/>
        <v>0</v>
      </c>
      <c r="R16" s="33" t="str">
        <f t="shared" si="7"/>
        <v>Apr' 16</v>
      </c>
      <c r="S16" s="40">
        <f t="shared" si="8"/>
        <v>0</v>
      </c>
      <c r="T16" s="33" t="str">
        <f t="shared" si="9"/>
        <v>Apr' 16</v>
      </c>
      <c r="U16" s="40">
        <f t="shared" si="10"/>
        <v>0</v>
      </c>
    </row>
    <row r="17" spans="1:21" ht="36" hidden="1" customHeight="1" x14ac:dyDescent="0.35">
      <c r="A17" s="37" t="s">
        <v>337</v>
      </c>
      <c r="B17" s="38"/>
      <c r="C17" s="39"/>
      <c r="D17" s="39"/>
      <c r="E17" s="39"/>
      <c r="F17" s="39"/>
      <c r="G17" s="39"/>
      <c r="H17" s="39">
        <f t="shared" si="0"/>
        <v>0</v>
      </c>
      <c r="L17" s="33" t="str">
        <f t="shared" si="1"/>
        <v>May' 16</v>
      </c>
      <c r="M17" s="40">
        <f t="shared" si="2"/>
        <v>0</v>
      </c>
      <c r="N17" s="33" t="str">
        <f t="shared" si="3"/>
        <v>May' 16</v>
      </c>
      <c r="O17" s="40">
        <f t="shared" si="4"/>
        <v>0</v>
      </c>
      <c r="P17" s="33" t="str">
        <f t="shared" si="5"/>
        <v>May' 16</v>
      </c>
      <c r="Q17" s="40">
        <f t="shared" si="6"/>
        <v>0</v>
      </c>
      <c r="R17" s="33" t="str">
        <f t="shared" si="7"/>
        <v>May' 16</v>
      </c>
      <c r="S17" s="40">
        <f t="shared" si="8"/>
        <v>0</v>
      </c>
      <c r="T17" s="33" t="str">
        <f t="shared" si="9"/>
        <v>May' 16</v>
      </c>
      <c r="U17" s="40">
        <f t="shared" si="10"/>
        <v>0</v>
      </c>
    </row>
    <row r="18" spans="1:21" ht="36" customHeight="1" x14ac:dyDescent="0.35">
      <c r="A18" s="37" t="s">
        <v>338</v>
      </c>
      <c r="B18" s="39">
        <v>248.92102276999998</v>
      </c>
      <c r="C18" s="39">
        <v>127.80310829999998</v>
      </c>
      <c r="D18" s="39">
        <v>103.45631020000003</v>
      </c>
      <c r="E18" s="39">
        <v>25.3216921</v>
      </c>
      <c r="F18" s="39">
        <v>88.637824199999983</v>
      </c>
      <c r="G18" s="39">
        <v>34.967269399999914</v>
      </c>
      <c r="H18" s="39">
        <f t="shared" si="0"/>
        <v>380.18620419999985</v>
      </c>
      <c r="J18" s="108">
        <v>0.2</v>
      </c>
      <c r="K18" s="33">
        <f>$K$15+($K$15*J18)</f>
        <v>298.70522732399996</v>
      </c>
      <c r="L18" s="33" t="str">
        <f t="shared" si="1"/>
        <v>Jun' 16</v>
      </c>
      <c r="M18" s="40">
        <f t="shared" si="2"/>
        <v>127.80310829999998</v>
      </c>
      <c r="N18" s="33" t="str">
        <f t="shared" si="3"/>
        <v>Jun' 16</v>
      </c>
      <c r="O18" s="40">
        <f t="shared" si="4"/>
        <v>103.45631020000003</v>
      </c>
      <c r="P18" s="33" t="str">
        <f t="shared" si="5"/>
        <v>Jun' 16</v>
      </c>
      <c r="Q18" s="40">
        <f t="shared" si="6"/>
        <v>25.3216921</v>
      </c>
      <c r="R18" s="33" t="str">
        <f t="shared" si="7"/>
        <v>Jun' 16</v>
      </c>
      <c r="S18" s="40">
        <f t="shared" si="8"/>
        <v>123.60509359999989</v>
      </c>
      <c r="T18" s="33" t="str">
        <f t="shared" si="9"/>
        <v>Jun' 16</v>
      </c>
      <c r="U18" s="40">
        <f t="shared" si="10"/>
        <v>380.18620419999985</v>
      </c>
    </row>
    <row r="19" spans="1:21" ht="36" hidden="1" customHeight="1" x14ac:dyDescent="0.35">
      <c r="A19" s="37" t="s">
        <v>339</v>
      </c>
      <c r="B19" s="39">
        <v>248.92102276999998</v>
      </c>
      <c r="C19" s="39">
        <v>102.40971990000003</v>
      </c>
      <c r="D19" s="39">
        <v>107.34414510000002</v>
      </c>
      <c r="E19" s="39">
        <v>11.688955100000003</v>
      </c>
      <c r="F19" s="39">
        <v>91.801051899999976</v>
      </c>
      <c r="G19" s="39">
        <v>34.723286600000108</v>
      </c>
      <c r="H19" s="39">
        <f t="shared" si="0"/>
        <v>347.96715860000012</v>
      </c>
      <c r="L19" s="33" t="str">
        <f t="shared" si="1"/>
        <v>July' 16</v>
      </c>
      <c r="M19" s="40">
        <f t="shared" si="2"/>
        <v>102.40971990000003</v>
      </c>
      <c r="N19" s="33" t="str">
        <f t="shared" si="3"/>
        <v>July' 16</v>
      </c>
      <c r="O19" s="40">
        <f t="shared" si="4"/>
        <v>107.34414510000002</v>
      </c>
      <c r="P19" s="33" t="str">
        <f t="shared" si="5"/>
        <v>July' 16</v>
      </c>
      <c r="Q19" s="40">
        <f t="shared" si="6"/>
        <v>11.688955100000003</v>
      </c>
      <c r="R19" s="33" t="str">
        <f t="shared" si="7"/>
        <v>July' 16</v>
      </c>
      <c r="S19" s="40">
        <f t="shared" si="8"/>
        <v>126.52433850000008</v>
      </c>
      <c r="T19" s="33" t="str">
        <f t="shared" si="9"/>
        <v>July' 16</v>
      </c>
      <c r="U19" s="40">
        <f t="shared" si="10"/>
        <v>347.96715860000012</v>
      </c>
    </row>
    <row r="20" spans="1:21" ht="36" hidden="1" customHeight="1" x14ac:dyDescent="0.35">
      <c r="A20" s="37" t="s">
        <v>379</v>
      </c>
      <c r="B20" s="39">
        <v>248.92102276999998</v>
      </c>
      <c r="C20" s="39">
        <v>93.442633800000095</v>
      </c>
      <c r="D20" s="39">
        <v>123.7342676</v>
      </c>
      <c r="E20" s="39">
        <v>10.6077841</v>
      </c>
      <c r="F20" s="39">
        <v>90.049395800000013</v>
      </c>
      <c r="G20" s="39">
        <v>39.884564200000128</v>
      </c>
      <c r="H20" s="39">
        <f t="shared" si="0"/>
        <v>357.71864550000021</v>
      </c>
      <c r="L20" s="33" t="str">
        <f t="shared" si="1"/>
        <v>Aug' 16</v>
      </c>
      <c r="M20" s="40">
        <f t="shared" si="2"/>
        <v>93.442633800000095</v>
      </c>
      <c r="N20" s="33" t="str">
        <f t="shared" si="3"/>
        <v>Aug' 16</v>
      </c>
      <c r="O20" s="40">
        <f t="shared" si="4"/>
        <v>123.7342676</v>
      </c>
      <c r="P20" s="33" t="str">
        <f t="shared" si="5"/>
        <v>Aug' 16</v>
      </c>
      <c r="Q20" s="40">
        <f t="shared" si="6"/>
        <v>10.6077841</v>
      </c>
      <c r="R20" s="33" t="str">
        <f t="shared" si="7"/>
        <v>Aug' 16</v>
      </c>
      <c r="S20" s="40">
        <f t="shared" si="8"/>
        <v>129.93396000000013</v>
      </c>
      <c r="T20" s="33" t="str">
        <f t="shared" si="9"/>
        <v>Aug' 16</v>
      </c>
      <c r="U20" s="40">
        <f t="shared" si="10"/>
        <v>357.71864550000021</v>
      </c>
    </row>
    <row r="21" spans="1:21" ht="36" customHeight="1" x14ac:dyDescent="0.35">
      <c r="A21" s="37" t="s">
        <v>380</v>
      </c>
      <c r="B21" s="39">
        <v>248.92102276999998</v>
      </c>
      <c r="C21" s="39">
        <v>95.704213900000028</v>
      </c>
      <c r="D21" s="39">
        <v>121.77566079999993</v>
      </c>
      <c r="E21" s="39">
        <v>13.9643145</v>
      </c>
      <c r="F21" s="39">
        <v>85.092749999999981</v>
      </c>
      <c r="G21" s="39">
        <v>33.86585809999989</v>
      </c>
      <c r="H21" s="39">
        <f t="shared" si="0"/>
        <v>350.40279729999986</v>
      </c>
      <c r="J21" s="105">
        <v>0.1</v>
      </c>
      <c r="K21" s="33">
        <f>$K$15+($K$15*J21)</f>
        <v>273.81312504699997</v>
      </c>
      <c r="L21" s="33" t="str">
        <f t="shared" si="1"/>
        <v>Sept' 16</v>
      </c>
      <c r="M21" s="40">
        <f t="shared" si="2"/>
        <v>95.704213900000028</v>
      </c>
      <c r="N21" s="33" t="str">
        <f t="shared" si="3"/>
        <v>Sept' 16</v>
      </c>
      <c r="O21" s="40">
        <f t="shared" si="4"/>
        <v>121.77566079999993</v>
      </c>
      <c r="P21" s="33" t="str">
        <f t="shared" si="5"/>
        <v>Sept' 16</v>
      </c>
      <c r="Q21" s="40">
        <f t="shared" si="6"/>
        <v>13.9643145</v>
      </c>
      <c r="R21" s="33" t="str">
        <f t="shared" si="7"/>
        <v>Sept' 16</v>
      </c>
      <c r="S21" s="40">
        <f t="shared" si="8"/>
        <v>118.95860809999988</v>
      </c>
      <c r="T21" s="33" t="str">
        <f t="shared" si="9"/>
        <v>Sept' 16</v>
      </c>
      <c r="U21" s="40">
        <f t="shared" si="10"/>
        <v>350.40279729999986</v>
      </c>
    </row>
    <row r="22" spans="1:21" ht="36" hidden="1" customHeight="1" x14ac:dyDescent="0.35">
      <c r="A22" s="37" t="s">
        <v>381</v>
      </c>
      <c r="B22" s="39">
        <v>248.92102276999998</v>
      </c>
      <c r="C22" s="39">
        <v>90.138423199999963</v>
      </c>
      <c r="D22" s="39">
        <v>128.78211820000001</v>
      </c>
      <c r="E22" s="39">
        <v>13.9833981</v>
      </c>
      <c r="F22" s="39">
        <v>79.293993899999975</v>
      </c>
      <c r="G22" s="39">
        <v>32.571345099999881</v>
      </c>
      <c r="H22" s="39">
        <f t="shared" si="0"/>
        <v>344.76927849999981</v>
      </c>
      <c r="L22" s="33" t="str">
        <f t="shared" si="1"/>
        <v>Oct' 16</v>
      </c>
      <c r="M22" s="40">
        <f t="shared" si="2"/>
        <v>90.138423199999963</v>
      </c>
      <c r="N22" s="33" t="str">
        <f t="shared" si="3"/>
        <v>Oct' 16</v>
      </c>
      <c r="O22" s="40">
        <f t="shared" si="4"/>
        <v>128.78211820000001</v>
      </c>
      <c r="P22" s="33" t="str">
        <f t="shared" si="5"/>
        <v>Oct' 16</v>
      </c>
      <c r="Q22" s="40">
        <f t="shared" si="6"/>
        <v>13.9833981</v>
      </c>
      <c r="R22" s="33" t="str">
        <f t="shared" si="7"/>
        <v>Oct' 16</v>
      </c>
      <c r="S22" s="40">
        <f t="shared" si="8"/>
        <v>111.86533899999986</v>
      </c>
      <c r="T22" s="33" t="str">
        <f t="shared" si="9"/>
        <v>Oct' 16</v>
      </c>
      <c r="U22" s="40">
        <f t="shared" si="10"/>
        <v>344.76927849999981</v>
      </c>
    </row>
    <row r="23" spans="1:21" ht="36" hidden="1" customHeight="1" x14ac:dyDescent="0.35">
      <c r="A23" s="37" t="s">
        <v>382</v>
      </c>
      <c r="B23" s="39">
        <v>248.92102276999998</v>
      </c>
      <c r="C23" s="39">
        <v>94.584605199999899</v>
      </c>
      <c r="D23" s="39">
        <v>120.44149359999996</v>
      </c>
      <c r="E23" s="39">
        <v>14.089151899999999</v>
      </c>
      <c r="F23" s="39">
        <v>70.123866700000022</v>
      </c>
      <c r="G23" s="39">
        <v>33.738742300000212</v>
      </c>
      <c r="H23" s="39">
        <f t="shared" si="0"/>
        <v>332.97785970000007</v>
      </c>
      <c r="L23" s="33" t="str">
        <f t="shared" si="1"/>
        <v>Nov' 16</v>
      </c>
      <c r="M23" s="40">
        <f t="shared" si="2"/>
        <v>94.584605199999899</v>
      </c>
      <c r="N23" s="33" t="str">
        <f t="shared" si="3"/>
        <v>Nov' 16</v>
      </c>
      <c r="O23" s="40">
        <f t="shared" si="4"/>
        <v>120.44149359999996</v>
      </c>
      <c r="P23" s="33" t="str">
        <f t="shared" si="5"/>
        <v>Nov' 16</v>
      </c>
      <c r="Q23" s="40">
        <f t="shared" si="6"/>
        <v>14.089151899999999</v>
      </c>
      <c r="R23" s="33" t="str">
        <f t="shared" si="7"/>
        <v>Nov' 16</v>
      </c>
      <c r="S23" s="40">
        <f t="shared" si="8"/>
        <v>103.86260900000023</v>
      </c>
      <c r="T23" s="33" t="str">
        <f t="shared" si="9"/>
        <v>Nov' 16</v>
      </c>
      <c r="U23" s="40">
        <f t="shared" si="10"/>
        <v>332.97785970000007</v>
      </c>
    </row>
    <row r="24" spans="1:21" ht="36" customHeight="1" x14ac:dyDescent="0.35">
      <c r="A24" s="37" t="s">
        <v>383</v>
      </c>
      <c r="B24" s="39">
        <v>248.92102276999998</v>
      </c>
      <c r="C24" s="39">
        <v>120.30769289999999</v>
      </c>
      <c r="D24" s="39">
        <v>94.279320999999939</v>
      </c>
      <c r="E24" s="39">
        <v>7.5874717999999994</v>
      </c>
      <c r="F24" s="39">
        <v>23.207398900000001</v>
      </c>
      <c r="G24" s="39">
        <v>22.909522099999908</v>
      </c>
      <c r="H24" s="39">
        <f t="shared" si="0"/>
        <v>268.29140669999981</v>
      </c>
      <c r="L24" s="33" t="str">
        <f t="shared" si="1"/>
        <v>Dec' 16</v>
      </c>
      <c r="M24" s="40">
        <f t="shared" si="2"/>
        <v>120.30769289999999</v>
      </c>
      <c r="N24" s="33" t="str">
        <f t="shared" si="3"/>
        <v>Dec' 16</v>
      </c>
      <c r="O24" s="40">
        <f t="shared" si="4"/>
        <v>94.279320999999939</v>
      </c>
      <c r="P24" s="33" t="str">
        <f t="shared" si="5"/>
        <v>Dec' 16</v>
      </c>
      <c r="Q24" s="40">
        <f t="shared" si="6"/>
        <v>7.5874717999999994</v>
      </c>
      <c r="R24" s="33" t="str">
        <f t="shared" si="7"/>
        <v>Dec' 16</v>
      </c>
      <c r="S24" s="40">
        <f t="shared" si="8"/>
        <v>46.116920999999905</v>
      </c>
      <c r="T24" s="33" t="str">
        <f t="shared" si="9"/>
        <v>Dec' 16</v>
      </c>
      <c r="U24" s="40">
        <f t="shared" si="10"/>
        <v>268.29140669999981</v>
      </c>
    </row>
    <row r="25" spans="1:21" ht="36" customHeight="1" x14ac:dyDescent="0.35">
      <c r="A25" s="37" t="s">
        <v>384</v>
      </c>
      <c r="B25" s="39">
        <v>248.92102276999998</v>
      </c>
      <c r="C25" s="39">
        <v>131.81572469999992</v>
      </c>
      <c r="D25" s="39">
        <v>96.350667699999946</v>
      </c>
      <c r="E25" s="39">
        <v>11.4217282</v>
      </c>
      <c r="F25" s="39">
        <v>19.207149099999999</v>
      </c>
      <c r="G25" s="39">
        <v>22.7007583</v>
      </c>
      <c r="H25" s="39">
        <f>SUM(C25:G25)</f>
        <v>281.49602799999985</v>
      </c>
      <c r="L25" s="33" t="str">
        <f>A25</f>
        <v>Jan' 17</v>
      </c>
      <c r="M25" s="40">
        <f>C25</f>
        <v>131.81572469999992</v>
      </c>
      <c r="N25" s="33" t="str">
        <f>A25</f>
        <v>Jan' 17</v>
      </c>
      <c r="O25" s="40">
        <f>D25</f>
        <v>96.350667699999946</v>
      </c>
      <c r="P25" s="33" t="str">
        <f>A25</f>
        <v>Jan' 17</v>
      </c>
      <c r="Q25" s="40">
        <f>E25</f>
        <v>11.4217282</v>
      </c>
      <c r="R25" s="33" t="str">
        <f>A25</f>
        <v>Jan' 17</v>
      </c>
      <c r="S25" s="40">
        <f>F25+G25</f>
        <v>41.907907399999999</v>
      </c>
      <c r="T25" s="33" t="str">
        <f>A25</f>
        <v>Jan' 17</v>
      </c>
      <c r="U25" s="40">
        <f>H25</f>
        <v>281.49602799999985</v>
      </c>
    </row>
    <row r="26" spans="1:21" ht="36" customHeight="1" x14ac:dyDescent="0.35">
      <c r="A26" s="37" t="s">
        <v>385</v>
      </c>
      <c r="B26" s="39">
        <v>248.92102276999998</v>
      </c>
      <c r="C26" s="39">
        <v>119.70642519999993</v>
      </c>
      <c r="D26" s="39">
        <v>97.847888199999943</v>
      </c>
      <c r="E26" s="39">
        <v>11.777263</v>
      </c>
      <c r="F26" s="39">
        <v>19.434750600000005</v>
      </c>
      <c r="G26" s="39">
        <v>13.666474099999942</v>
      </c>
      <c r="H26" s="39">
        <f>SUM(C26:G26)</f>
        <v>262.43280109999984</v>
      </c>
      <c r="L26" s="33" t="str">
        <f>A26</f>
        <v>Feb' 17</v>
      </c>
      <c r="M26" s="40">
        <f>C26</f>
        <v>119.70642519999993</v>
      </c>
      <c r="N26" s="33" t="str">
        <f>A26</f>
        <v>Feb' 17</v>
      </c>
      <c r="O26" s="40">
        <f>D26</f>
        <v>97.847888199999943</v>
      </c>
      <c r="P26" s="33" t="str">
        <f>A26</f>
        <v>Feb' 17</v>
      </c>
      <c r="Q26" s="40">
        <f>E26</f>
        <v>11.777263</v>
      </c>
      <c r="R26" s="33" t="str">
        <f>A26</f>
        <v>Feb' 17</v>
      </c>
      <c r="S26" s="40">
        <f>F26+G26</f>
        <v>33.101224699999946</v>
      </c>
      <c r="T26" s="33" t="str">
        <f>A26</f>
        <v>Feb' 17</v>
      </c>
      <c r="U26" s="40">
        <f>H26</f>
        <v>262.43280109999984</v>
      </c>
    </row>
    <row r="27" spans="1:21" ht="36" customHeight="1" x14ac:dyDescent="0.35">
      <c r="A27" s="37" t="s">
        <v>386</v>
      </c>
      <c r="B27" s="39">
        <v>248.92102276999998</v>
      </c>
      <c r="C27" s="39">
        <v>121.2898424</v>
      </c>
      <c r="D27" s="39">
        <v>104.04654479999994</v>
      </c>
      <c r="E27" s="39">
        <v>11.8350928</v>
      </c>
      <c r="F27" s="39">
        <v>17.295432699999999</v>
      </c>
      <c r="G27" s="39">
        <v>9.5556276000000846</v>
      </c>
      <c r="H27" s="39">
        <f>SUM(C27:G27)</f>
        <v>264.0225403</v>
      </c>
      <c r="L27" s="33" t="str">
        <f>A27</f>
        <v>Mar' 17</v>
      </c>
      <c r="M27" s="40">
        <f>C27</f>
        <v>121.2898424</v>
      </c>
      <c r="N27" s="33" t="str">
        <f>A27</f>
        <v>Mar' 17</v>
      </c>
      <c r="O27" s="40">
        <f>D27</f>
        <v>104.04654479999994</v>
      </c>
      <c r="P27" s="33" t="str">
        <f>A27</f>
        <v>Mar' 17</v>
      </c>
      <c r="Q27" s="40">
        <f>E27</f>
        <v>11.8350928</v>
      </c>
      <c r="R27" s="33" t="str">
        <f>A27</f>
        <v>Mar' 17</v>
      </c>
      <c r="S27" s="40">
        <f>F27+G27</f>
        <v>26.851060300000086</v>
      </c>
      <c r="T27" s="33" t="str">
        <f>A27</f>
        <v>Mar' 17</v>
      </c>
      <c r="U27" s="40">
        <f>H27</f>
        <v>264.0225403</v>
      </c>
    </row>
    <row r="28" spans="1:21" x14ac:dyDescent="0.35">
      <c r="A28" s="41" t="s">
        <v>48</v>
      </c>
      <c r="B28" s="42"/>
    </row>
    <row r="29" spans="1:21" x14ac:dyDescent="0.35">
      <c r="A29" s="41" t="s">
        <v>47</v>
      </c>
      <c r="C29" s="40"/>
      <c r="D29" s="40"/>
      <c r="E29" s="40"/>
      <c r="F29" s="40"/>
      <c r="G29" s="40"/>
      <c r="H29" s="40"/>
    </row>
    <row r="30" spans="1:21" x14ac:dyDescent="0.35">
      <c r="A30" s="41" t="s">
        <v>547</v>
      </c>
      <c r="B30" s="46"/>
    </row>
    <row r="31" spans="1:21" x14ac:dyDescent="0.35">
      <c r="A31" s="220" t="s">
        <v>568</v>
      </c>
      <c r="B31" s="220"/>
      <c r="C31" s="220"/>
      <c r="D31" s="220"/>
      <c r="E31" s="220"/>
      <c r="F31" s="220"/>
      <c r="G31" s="220"/>
      <c r="H31" s="220"/>
    </row>
    <row r="32" spans="1:21" x14ac:dyDescent="0.35">
      <c r="A32" s="41"/>
    </row>
  </sheetData>
  <mergeCells count="1">
    <mergeCell ref="A31:H31"/>
  </mergeCells>
  <conditionalFormatting sqref="H18">
    <cfRule type="iconSet" priority="8">
      <iconSet reverse="1">
        <cfvo type="percent" val="0"/>
        <cfvo type="num" val="248.9"/>
        <cfvo type="num" val="273.8"/>
      </iconSet>
    </cfRule>
  </conditionalFormatting>
  <conditionalFormatting sqref="H21:H26">
    <cfRule type="iconSet" priority="2">
      <iconSet reverse="1">
        <cfvo type="percent" val="0"/>
        <cfvo type="num" val="248.9"/>
        <cfvo type="num" val="273.8"/>
      </iconSet>
    </cfRule>
  </conditionalFormatting>
  <conditionalFormatting sqref="H27">
    <cfRule type="iconSet" priority="1">
      <iconSet reverse="1">
        <cfvo type="percent" val="0"/>
        <cfvo type="num" val="248.9"/>
        <cfvo type="num" val="273.8"/>
      </iconSet>
    </cfRule>
  </conditionalFormatting>
  <pageMargins left="0.7" right="0.7" top="0.75" bottom="0.75" header="0.3" footer="0.3"/>
  <ignoredErrors>
    <ignoredError sqref="H3:H17 H26 H18:H22 H23:H25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7" id="{B5BD3E28-C6B9-43FC-8CD4-3F593DDFDC0B}">
            <x14:iconSet iconSet="3Triangles" reverse="1">
              <x14:cfvo type="percent">
                <xm:f>0</xm:f>
              </x14:cfvo>
              <x14:cfvo type="formula">
                <xm:f>$C$3</xm:f>
              </x14:cfvo>
              <x14:cfvo type="num">
                <xm:f>$C$3</xm:f>
              </x14:cfvo>
            </x14:iconSet>
          </x14:cfRule>
          <xm:sqref>C4</xm:sqref>
        </x14:conditionalFormatting>
        <x14:conditionalFormatting xmlns:xm="http://schemas.microsoft.com/office/excel/2006/main">
          <x14:cfRule type="iconSet" priority="106" id="{4FCEF132-4244-4FF9-A1AD-F5C892A188AC}">
            <x14:iconSet iconSet="3Triangles" reverse="1">
              <x14:cfvo type="percent">
                <xm:f>0</xm:f>
              </x14:cfvo>
              <x14:cfvo type="formula">
                <xm:f>$D$3</xm:f>
              </x14:cfvo>
              <x14:cfvo type="formula">
                <xm:f>$D$3</xm:f>
              </x14:cfvo>
            </x14:iconSet>
          </x14:cfRule>
          <xm:sqref>D4</xm:sqref>
        </x14:conditionalFormatting>
        <x14:conditionalFormatting xmlns:xm="http://schemas.microsoft.com/office/excel/2006/main">
          <x14:cfRule type="iconSet" priority="105" id="{C67A06C4-6287-447B-BE55-D2A3DFB3771D}">
            <x14:iconSet iconSet="3Triangles" reverse="1">
              <x14:cfvo type="percent">
                <xm:f>0</xm:f>
              </x14:cfvo>
              <x14:cfvo type="formula">
                <xm:f>$E$3</xm:f>
              </x14:cfvo>
              <x14:cfvo type="formula">
                <xm:f>$E$3</xm:f>
              </x14:cfvo>
            </x14:iconSet>
          </x14:cfRule>
          <xm:sqref>E4:F4</xm:sqref>
        </x14:conditionalFormatting>
        <x14:conditionalFormatting xmlns:xm="http://schemas.microsoft.com/office/excel/2006/main">
          <x14:cfRule type="iconSet" priority="104" id="{25085109-318B-45B0-951D-D9C975C90719}">
            <x14:iconSet iconSet="3Triangles" reverse="1">
              <x14:cfvo type="percent">
                <xm:f>0</xm:f>
              </x14:cfvo>
              <x14:cfvo type="formula">
                <xm:f>$G$3</xm:f>
              </x14:cfvo>
              <x14:cfvo type="formula">
                <xm:f>$G$3</xm:f>
              </x14:cfvo>
            </x14:iconSet>
          </x14:cfRule>
          <xm:sqref>G4</xm:sqref>
        </x14:conditionalFormatting>
        <x14:conditionalFormatting xmlns:xm="http://schemas.microsoft.com/office/excel/2006/main">
          <x14:cfRule type="iconSet" priority="103" id="{8F9AE7D8-2ED0-4B67-AE7F-7B0D97C86A31}">
            <x14:iconSet iconSet="3Triangles" reverse="1">
              <x14:cfvo type="percent">
                <xm:f>0</xm:f>
              </x14:cfvo>
              <x14:cfvo type="formula">
                <xm:f>$H$3</xm:f>
              </x14:cfvo>
              <x14:cfvo type="formula">
                <xm:f>$H$3</xm:f>
              </x14:cfvo>
            </x14:iconSet>
          </x14:cfRule>
          <xm:sqref>H4</xm:sqref>
        </x14:conditionalFormatting>
        <x14:conditionalFormatting xmlns:xm="http://schemas.microsoft.com/office/excel/2006/main">
          <x14:cfRule type="iconSet" priority="102" id="{04CD9DCF-7863-4C06-81F4-358A2CACE119}">
            <x14:iconSet iconSet="3Triangles" reverse="1">
              <x14:cfvo type="percent">
                <xm:f>0</xm:f>
              </x14:cfvo>
              <x14:cfvo type="formula">
                <xm:f>$C$3</xm:f>
              </x14:cfvo>
              <x14:cfvo type="num">
                <xm:f>$C$3</xm:f>
              </x14:cfvo>
            </x14:iconSet>
          </x14:cfRule>
          <xm:sqref>C5</xm:sqref>
        </x14:conditionalFormatting>
        <x14:conditionalFormatting xmlns:xm="http://schemas.microsoft.com/office/excel/2006/main">
          <x14:cfRule type="iconSet" priority="101" id="{D5D18EA4-DA57-4DC2-8B31-C00B8451B90C}">
            <x14:iconSet iconSet="3Triangles" reverse="1">
              <x14:cfvo type="percent">
                <xm:f>0</xm:f>
              </x14:cfvo>
              <x14:cfvo type="formula">
                <xm:f>$C$5</xm:f>
              </x14:cfvo>
              <x14:cfvo type="num">
                <xm:f>$C$5</xm:f>
              </x14:cfvo>
            </x14:iconSet>
          </x14:cfRule>
          <xm:sqref>C6</xm:sqref>
        </x14:conditionalFormatting>
        <x14:conditionalFormatting xmlns:xm="http://schemas.microsoft.com/office/excel/2006/main">
          <x14:cfRule type="iconSet" priority="100" id="{FF0F195C-12DB-4350-9D22-8DC033AD490A}">
            <x14:iconSet iconSet="3Triangles" reverse="1">
              <x14:cfvo type="percent">
                <xm:f>0</xm:f>
              </x14:cfvo>
              <x14:cfvo type="formula">
                <xm:f>$C$6</xm:f>
              </x14:cfvo>
              <x14:cfvo type="num">
                <xm:f>$C$6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9" id="{8FC3BE3B-0EF1-4FB0-9E50-C5B6AF93E84F}">
            <x14:iconSet iconSet="3Triangles" reverse="1">
              <x14:cfvo type="percent">
                <xm:f>0</xm:f>
              </x14:cfvo>
              <x14:cfvo type="formula">
                <xm:f>$C$7</xm:f>
              </x14:cfvo>
              <x14:cfvo type="num">
                <xm:f>$C$7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98" id="{62B8E558-7EBC-4EE1-B005-3BFF9690F83C}">
            <x14:iconSet iconSet="3Triangles" reverse="1">
              <x14:cfvo type="percent">
                <xm:f>0</xm:f>
              </x14:cfvo>
              <x14:cfvo type="formula">
                <xm:f>$C$8</xm:f>
              </x14:cfvo>
              <x14:cfvo type="num">
                <xm:f>$C$8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97" id="{968055E2-3F53-4D4D-AC8E-60AE2C2F34FD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96" id="{319CAB4F-5028-4962-8823-3AECF1DAD887}">
            <x14:iconSet iconSet="3Triangles" reverse="1">
              <x14:cfvo type="percent">
                <xm:f>0</xm:f>
              </x14:cfvo>
              <x14:cfvo type="formula">
                <xm:f>$D$4</xm:f>
              </x14:cfvo>
              <x14:cfvo type="formula">
                <xm:f>$D$4</xm:f>
              </x14:cfvo>
            </x14:iconSet>
          </x14:cfRule>
          <xm:sqref>D5</xm:sqref>
        </x14:conditionalFormatting>
        <x14:conditionalFormatting xmlns:xm="http://schemas.microsoft.com/office/excel/2006/main">
          <x14:cfRule type="iconSet" priority="95" id="{0CF75C9C-E532-4604-B29B-BEF9A9E97D23}">
            <x14:iconSet iconSet="3Triangles" reverse="1">
              <x14:cfvo type="percent">
                <xm:f>0</xm:f>
              </x14:cfvo>
              <x14:cfvo type="formula">
                <xm:f>$D$5</xm:f>
              </x14:cfvo>
              <x14:cfvo type="formula">
                <xm:f>$D$5</xm:f>
              </x14:cfvo>
            </x14:iconSet>
          </x14:cfRule>
          <xm:sqref>D6</xm:sqref>
        </x14:conditionalFormatting>
        <x14:conditionalFormatting xmlns:xm="http://schemas.microsoft.com/office/excel/2006/main">
          <x14:cfRule type="iconSet" priority="94" id="{0C63DF35-7D87-4CDF-A409-B7A497266548}">
            <x14:iconSet iconSet="3Triangles" reverse="1">
              <x14:cfvo type="percent">
                <xm:f>0</xm:f>
              </x14:cfvo>
              <x14:cfvo type="formula">
                <xm:f>$D$6</xm:f>
              </x14:cfvo>
              <x14:cfvo type="formula">
                <xm:f>$D$6</xm:f>
              </x14:cfvo>
            </x14:iconSet>
          </x14:cfRule>
          <xm:sqref>D7</xm:sqref>
        </x14:conditionalFormatting>
        <x14:conditionalFormatting xmlns:xm="http://schemas.microsoft.com/office/excel/2006/main">
          <x14:cfRule type="iconSet" priority="93" id="{9C375B33-0AD9-4AF3-9FCD-4EA70A92F12A}">
            <x14:iconSet iconSet="3Triangles" reverse="1">
              <x14:cfvo type="percent">
                <xm:f>0</xm:f>
              </x14:cfvo>
              <x14:cfvo type="formula">
                <xm:f>$D$7</xm:f>
              </x14:cfvo>
              <x14:cfvo type="formula">
                <xm:f>$D$7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iconSet" priority="92" id="{9FB6CCE9-E42A-445F-8278-1C0D4D905FA2}">
            <x14:iconSet iconSet="3Triangles" reverse="1">
              <x14:cfvo type="percent">
                <xm:f>0</xm:f>
              </x14:cfvo>
              <x14:cfvo type="formula">
                <xm:f>$D$8</xm:f>
              </x14:cfvo>
              <x14:cfvo type="formula">
                <xm:f>$D$8</xm:f>
              </x14:cfvo>
            </x14:iconSet>
          </x14:cfRule>
          <xm:sqref>D9</xm:sqref>
        </x14:conditionalFormatting>
        <x14:conditionalFormatting xmlns:xm="http://schemas.microsoft.com/office/excel/2006/main">
          <x14:cfRule type="iconSet" priority="91" id="{5188B4DB-4153-4980-B423-316F113916E7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90" id="{5B530739-7CA0-4315-9B93-DFEFB83E0B66}">
            <x14:iconSet iconSet="3Triangles" reverse="1">
              <x14:cfvo type="percent">
                <xm:f>0</xm:f>
              </x14:cfvo>
              <x14:cfvo type="formula">
                <xm:f>$E$4</xm:f>
              </x14:cfvo>
              <x14:cfvo type="formula">
                <xm:f>$E$4</xm:f>
              </x14:cfvo>
            </x14:iconSet>
          </x14:cfRule>
          <xm:sqref>E5:F5</xm:sqref>
        </x14:conditionalFormatting>
        <x14:conditionalFormatting xmlns:xm="http://schemas.microsoft.com/office/excel/2006/main">
          <x14:cfRule type="iconSet" priority="89" id="{B08037B2-7F01-49C3-B71A-BB928A9EDC4A}">
            <x14:iconSet iconSet="3Triangles" reverse="1">
              <x14:cfvo type="percent">
                <xm:f>0</xm:f>
              </x14:cfvo>
              <x14:cfvo type="formula">
                <xm:f>$E$5</xm:f>
              </x14:cfvo>
              <x14:cfvo type="formula">
                <xm:f>$E$5</xm:f>
              </x14:cfvo>
            </x14:iconSet>
          </x14:cfRule>
          <xm:sqref>E6:F6</xm:sqref>
        </x14:conditionalFormatting>
        <x14:conditionalFormatting xmlns:xm="http://schemas.microsoft.com/office/excel/2006/main">
          <x14:cfRule type="iconSet" priority="88" id="{0429535D-7EBB-40C1-ACBB-82393725877B}">
            <x14:iconSet iconSet="3Triangles" reverse="1">
              <x14:cfvo type="percent">
                <xm:f>0</xm:f>
              </x14:cfvo>
              <x14:cfvo type="formula">
                <xm:f>$E$6</xm:f>
              </x14:cfvo>
              <x14:cfvo type="formula">
                <xm:f>$E$6</xm:f>
              </x14:cfvo>
            </x14:iconSet>
          </x14:cfRule>
          <xm:sqref>E7:F7</xm:sqref>
        </x14:conditionalFormatting>
        <x14:conditionalFormatting xmlns:xm="http://schemas.microsoft.com/office/excel/2006/main">
          <x14:cfRule type="iconSet" priority="87" id="{05D82D45-ABAE-414E-BE03-4EF56EE3C4A0}">
            <x14:iconSet iconSet="3Triangles" reverse="1">
              <x14:cfvo type="percent">
                <xm:f>0</xm:f>
              </x14:cfvo>
              <x14:cfvo type="formula">
                <xm:f>$E$7</xm:f>
              </x14:cfvo>
              <x14:cfvo type="formula">
                <xm:f>$E$7</xm:f>
              </x14:cfvo>
            </x14:iconSet>
          </x14:cfRule>
          <xm:sqref>E8:F8</xm:sqref>
        </x14:conditionalFormatting>
        <x14:conditionalFormatting xmlns:xm="http://schemas.microsoft.com/office/excel/2006/main">
          <x14:cfRule type="iconSet" priority="86" id="{666E0470-CFA6-46FA-84B2-29FEFDCDA137}">
            <x14:iconSet iconSet="3Triangles" reverse="1">
              <x14:cfvo type="percent">
                <xm:f>0</xm:f>
              </x14:cfvo>
              <x14:cfvo type="formula">
                <xm:f>$E$8</xm:f>
              </x14:cfvo>
              <x14:cfvo type="formula">
                <xm:f>$E$8</xm:f>
              </x14:cfvo>
            </x14:iconSet>
          </x14:cfRule>
          <xm:sqref>E9:F9</xm:sqref>
        </x14:conditionalFormatting>
        <x14:conditionalFormatting xmlns:xm="http://schemas.microsoft.com/office/excel/2006/main">
          <x14:cfRule type="iconSet" priority="85" id="{DE313F48-9652-486C-B2AB-192ECFE8E4F7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E10:F10</xm:sqref>
        </x14:conditionalFormatting>
        <x14:conditionalFormatting xmlns:xm="http://schemas.microsoft.com/office/excel/2006/main">
          <x14:cfRule type="iconSet" priority="84" id="{F70FC911-3D89-4E37-B5B5-F4F37D0410F0}">
            <x14:iconSet iconSet="3Triangles" reverse="1">
              <x14:cfvo type="percent">
                <xm:f>0</xm:f>
              </x14:cfvo>
              <x14:cfvo type="formula">
                <xm:f>$G$4</xm:f>
              </x14:cfvo>
              <x14:cfvo type="formula">
                <xm:f>$G$4</xm:f>
              </x14:cfvo>
            </x14:iconSet>
          </x14:cfRule>
          <xm:sqref>G5</xm:sqref>
        </x14:conditionalFormatting>
        <x14:conditionalFormatting xmlns:xm="http://schemas.microsoft.com/office/excel/2006/main">
          <x14:cfRule type="iconSet" priority="83" id="{BE2F63E1-1131-4A87-BCBA-0A2DC76912DB}">
            <x14:iconSet iconSet="3Triangles" reverse="1">
              <x14:cfvo type="percent">
                <xm:f>0</xm:f>
              </x14:cfvo>
              <x14:cfvo type="formula">
                <xm:f>$G$5</xm:f>
              </x14:cfvo>
              <x14:cfvo type="formula">
                <xm:f>$G$5</xm:f>
              </x14:cfvo>
            </x14:iconSet>
          </x14:cfRule>
          <xm:sqref>G6</xm:sqref>
        </x14:conditionalFormatting>
        <x14:conditionalFormatting xmlns:xm="http://schemas.microsoft.com/office/excel/2006/main">
          <x14:cfRule type="iconSet" priority="82" id="{96F84B17-D299-45E8-B3A9-6B2D81BCE9A7}">
            <x14:iconSet iconSet="3Triangles" reverse="1">
              <x14:cfvo type="percent">
                <xm:f>0</xm:f>
              </x14:cfvo>
              <x14:cfvo type="formula">
                <xm:f>$G$6</xm:f>
              </x14:cfvo>
              <x14:cfvo type="formula">
                <xm:f>$G$6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81" id="{531EF7DE-F3B5-4229-81AE-73998720EB4E}">
            <x14:iconSet iconSet="3Triangles" reverse="1">
              <x14:cfvo type="percent">
                <xm:f>0</xm:f>
              </x14:cfvo>
              <x14:cfvo type="formula">
                <xm:f>$G$7</xm:f>
              </x14:cfvo>
              <x14:cfvo type="formula">
                <xm:f>$G$7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80" id="{7A1C5F24-D768-45B6-A8E3-18A8D5C8EDC8}">
            <x14:iconSet iconSet="3Triangles" reverse="1">
              <x14:cfvo type="percent">
                <xm:f>0</xm:f>
              </x14:cfvo>
              <x14:cfvo type="formula">
                <xm:f>$G$8</xm:f>
              </x14:cfvo>
              <x14:cfvo type="formula">
                <xm:f>$G$8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79" id="{1554FF8D-DAD3-461F-A6BE-054D03E36245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iconSet" priority="78" id="{79F9389D-BA49-43CB-9B20-B2697FBF65B8}">
            <x14:iconSet iconSet="3Triangles" reverse="1">
              <x14:cfvo type="percent">
                <xm:f>0</xm:f>
              </x14:cfvo>
              <x14:cfvo type="formula">
                <xm:f>$H$4</xm:f>
              </x14:cfvo>
              <x14:cfvo type="formula">
                <xm:f>$H$4</xm:f>
              </x14:cfvo>
            </x14:iconSet>
          </x14:cfRule>
          <xm:sqref>H5</xm:sqref>
        </x14:conditionalFormatting>
        <x14:conditionalFormatting xmlns:xm="http://schemas.microsoft.com/office/excel/2006/main">
          <x14:cfRule type="iconSet" priority="77" id="{68E9D92D-44C4-4873-A4FC-6209695882E0}">
            <x14:iconSet iconSet="3Triangles" reverse="1">
              <x14:cfvo type="percent">
                <xm:f>0</xm:f>
              </x14:cfvo>
              <x14:cfvo type="formula">
                <xm:f>$H$5</xm:f>
              </x14:cfvo>
              <x14:cfvo type="formula">
                <xm:f>$H$5</xm:f>
              </x14:cfvo>
            </x14:iconSet>
          </x14:cfRule>
          <xm:sqref>H6</xm:sqref>
        </x14:conditionalFormatting>
        <x14:conditionalFormatting xmlns:xm="http://schemas.microsoft.com/office/excel/2006/main">
          <x14:cfRule type="iconSet" priority="76" id="{F6BFA8A1-C987-4969-8720-192F91CC088A}">
            <x14:iconSet iconSet="3Triangles" reverse="1">
              <x14:cfvo type="percent">
                <xm:f>0</xm:f>
              </x14:cfvo>
              <x14:cfvo type="formula">
                <xm:f>$H$6</xm:f>
              </x14:cfvo>
              <x14:cfvo type="formula">
                <xm:f>$H$6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75" id="{85E0EDF8-8CBC-4686-85B1-F714FD98E489}">
            <x14:iconSet iconSet="3Triangles" reverse="1">
              <x14:cfvo type="percent">
                <xm:f>0</xm:f>
              </x14:cfvo>
              <x14:cfvo type="formula">
                <xm:f>$H$7</xm:f>
              </x14:cfvo>
              <x14:cfvo type="formula">
                <xm:f>$H$7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74" id="{121D3D9B-C4CA-4223-8E64-6FEFD0FD55E3}">
            <x14:iconSet iconSet="3Triangles" reverse="1">
              <x14:cfvo type="percent">
                <xm:f>0</xm:f>
              </x14:cfvo>
              <x14:cfvo type="formula">
                <xm:f>$H$8</xm:f>
              </x14:cfvo>
              <x14:cfvo type="formula">
                <xm:f>$H$8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73" id="{35531A6A-BC7E-4378-BE80-178AD3E99FBA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H10</xm:sqref>
        </x14:conditionalFormatting>
        <x14:conditionalFormatting xmlns:xm="http://schemas.microsoft.com/office/excel/2006/main">
          <x14:cfRule type="iconSet" priority="72" id="{D9B47459-19D2-44BB-9CC1-992AC411A2C2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iconSet" priority="71" id="{B20BE459-0603-4102-B09E-EEA16681F69F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iconSet" priority="70" id="{1C15F37A-C31E-48F2-AB20-520EFA4995FD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E11:F11</xm:sqref>
        </x14:conditionalFormatting>
        <x14:conditionalFormatting xmlns:xm="http://schemas.microsoft.com/office/excel/2006/main">
          <x14:cfRule type="iconSet" priority="69" id="{8E5C5051-2831-48E4-B020-E75AC4DEC182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G11</xm:sqref>
        </x14:conditionalFormatting>
        <x14:conditionalFormatting xmlns:xm="http://schemas.microsoft.com/office/excel/2006/main">
          <x14:cfRule type="iconSet" priority="68" id="{A84CA76A-3BF0-438D-9B06-70FEF83CC7C6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H11</xm:sqref>
        </x14:conditionalFormatting>
        <x14:conditionalFormatting xmlns:xm="http://schemas.microsoft.com/office/excel/2006/main">
          <x14:cfRule type="iconSet" priority="67" id="{7744636F-A6AB-49C0-9DFD-9AACC166AC86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C12</xm:sqref>
        </x14:conditionalFormatting>
        <x14:conditionalFormatting xmlns:xm="http://schemas.microsoft.com/office/excel/2006/main">
          <x14:cfRule type="iconSet" priority="66" id="{BDD3B761-A21D-406E-9B78-D0E03822674F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D12</xm:sqref>
        </x14:conditionalFormatting>
        <x14:conditionalFormatting xmlns:xm="http://schemas.microsoft.com/office/excel/2006/main">
          <x14:cfRule type="iconSet" priority="65" id="{D5BF8AFD-EE80-475E-9D16-70B23347C9D1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E12:F12</xm:sqref>
        </x14:conditionalFormatting>
        <x14:conditionalFormatting xmlns:xm="http://schemas.microsoft.com/office/excel/2006/main">
          <x14:cfRule type="iconSet" priority="64" id="{03ED4E32-0F11-46F7-9F9F-A624EFD49B37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G12</xm:sqref>
        </x14:conditionalFormatting>
        <x14:conditionalFormatting xmlns:xm="http://schemas.microsoft.com/office/excel/2006/main">
          <x14:cfRule type="iconSet" priority="63" id="{ED1DCBD1-9F28-46E0-8FA0-A4A918CA424E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H12</xm:sqref>
        </x14:conditionalFormatting>
        <x14:conditionalFormatting xmlns:xm="http://schemas.microsoft.com/office/excel/2006/main">
          <x14:cfRule type="iconSet" priority="62" id="{5D575CA2-61B1-4E61-8B67-435CD093E0F6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C13</xm:sqref>
        </x14:conditionalFormatting>
        <x14:conditionalFormatting xmlns:xm="http://schemas.microsoft.com/office/excel/2006/main">
          <x14:cfRule type="iconSet" priority="61" id="{54746798-2405-4CAC-84E3-E842E23C552A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D13</xm:sqref>
        </x14:conditionalFormatting>
        <x14:conditionalFormatting xmlns:xm="http://schemas.microsoft.com/office/excel/2006/main">
          <x14:cfRule type="iconSet" priority="60" id="{15FAD094-1B7C-41BD-960C-14AE130680E4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E13:F13</xm:sqref>
        </x14:conditionalFormatting>
        <x14:conditionalFormatting xmlns:xm="http://schemas.microsoft.com/office/excel/2006/main">
          <x14:cfRule type="iconSet" priority="59" id="{4C240371-E944-46F0-881B-B404053D8FDF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G13</xm:sqref>
        </x14:conditionalFormatting>
        <x14:conditionalFormatting xmlns:xm="http://schemas.microsoft.com/office/excel/2006/main">
          <x14:cfRule type="iconSet" priority="58" id="{F5EB1164-99EF-405B-9C69-3F99738AF1AE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H13</xm:sqref>
        </x14:conditionalFormatting>
        <x14:conditionalFormatting xmlns:xm="http://schemas.microsoft.com/office/excel/2006/main">
          <x14:cfRule type="iconSet" priority="57" id="{A2027DE8-5D41-4166-9512-7A05337CD5B5}">
            <x14:iconSet iconSet="3Triangles" reverse="1">
              <x14:cfvo type="percent">
                <xm:f>0</xm:f>
              </x14:cfvo>
              <x14:cfvo type="formula">
                <xm:f>$C$13</xm:f>
              </x14:cfvo>
              <x14:cfvo type="num">
                <xm:f>$C$13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56" id="{E8BE0EE7-FF9B-4C1D-93A4-7C93FE4A01D5}">
            <x14:iconSet iconSet="3Triangles" reverse="1">
              <x14:cfvo type="percent">
                <xm:f>0</xm:f>
              </x14:cfvo>
              <x14:cfvo type="formula">
                <xm:f>$D$14</xm:f>
              </x14:cfvo>
              <x14:cfvo type="formula">
                <xm:f>$D$14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iconSet" priority="55" id="{C3630B92-0067-478C-97D2-77826DBF5CCE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E14:F14</xm:sqref>
        </x14:conditionalFormatting>
        <x14:conditionalFormatting xmlns:xm="http://schemas.microsoft.com/office/excel/2006/main">
          <x14:cfRule type="iconSet" priority="54" id="{89E3693A-10BB-4CAA-B94A-32CF3D368A3A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G14</xm:sqref>
        </x14:conditionalFormatting>
        <x14:conditionalFormatting xmlns:xm="http://schemas.microsoft.com/office/excel/2006/main">
          <x14:cfRule type="iconSet" priority="53" id="{BB0AB5A4-37D1-4236-B2EA-8CBCE214D2C1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zoomScale="90" zoomScaleNormal="9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3" sqref="A33"/>
    </sheetView>
  </sheetViews>
  <sheetFormatPr defaultRowHeight="21" x14ac:dyDescent="0.35"/>
  <cols>
    <col min="1" max="1" width="16.7109375" style="32" customWidth="1"/>
    <col min="2" max="2" width="13.5703125" style="32" customWidth="1"/>
    <col min="3" max="7" width="11.7109375" style="33" customWidth="1"/>
    <col min="8" max="8" width="13.7109375" style="33" customWidth="1"/>
    <col min="9" max="16384" width="9.140625" style="33"/>
  </cols>
  <sheetData>
    <row r="1" spans="1:14" x14ac:dyDescent="0.35">
      <c r="A1" s="46" t="s">
        <v>545</v>
      </c>
      <c r="C1" s="48"/>
      <c r="D1" s="48"/>
    </row>
    <row r="2" spans="1:14" s="35" customFormat="1" ht="42" x14ac:dyDescent="0.2">
      <c r="A2" s="171" t="s">
        <v>25</v>
      </c>
      <c r="B2" s="171" t="s">
        <v>26</v>
      </c>
      <c r="C2" s="171" t="s">
        <v>27</v>
      </c>
      <c r="D2" s="171" t="s">
        <v>30</v>
      </c>
      <c r="E2" s="171" t="s">
        <v>35</v>
      </c>
      <c r="F2" s="171" t="s">
        <v>28</v>
      </c>
      <c r="G2" s="171" t="s">
        <v>29</v>
      </c>
      <c r="H2" s="171" t="s">
        <v>31</v>
      </c>
    </row>
    <row r="3" spans="1:14" ht="36" hidden="1" customHeight="1" x14ac:dyDescent="0.35">
      <c r="A3" s="37" t="s">
        <v>34</v>
      </c>
      <c r="B3" s="38"/>
      <c r="C3" s="39">
        <v>49.452033400000026</v>
      </c>
      <c r="D3" s="39">
        <v>61.823859699999986</v>
      </c>
      <c r="E3" s="39">
        <v>0.28043439999999997</v>
      </c>
      <c r="F3" s="39">
        <v>5.3050927000000012</v>
      </c>
      <c r="G3" s="39">
        <v>0.66956329999999986</v>
      </c>
      <c r="H3" s="39">
        <f t="shared" ref="H3:H24" si="0">SUM(C3:G3)</f>
        <v>117.53098350000002</v>
      </c>
    </row>
    <row r="4" spans="1:14" ht="36" hidden="1" customHeight="1" x14ac:dyDescent="0.35">
      <c r="A4" s="37" t="s">
        <v>9</v>
      </c>
      <c r="B4" s="38"/>
      <c r="C4" s="39"/>
      <c r="D4" s="39"/>
      <c r="E4" s="39"/>
      <c r="F4" s="39"/>
      <c r="G4" s="39"/>
      <c r="H4" s="39">
        <f t="shared" si="0"/>
        <v>0</v>
      </c>
    </row>
    <row r="5" spans="1:14" ht="36" hidden="1" customHeight="1" x14ac:dyDescent="0.35">
      <c r="A5" s="37" t="s">
        <v>10</v>
      </c>
      <c r="B5" s="38"/>
      <c r="C5" s="39"/>
      <c r="D5" s="39"/>
      <c r="E5" s="39"/>
      <c r="F5" s="39"/>
      <c r="G5" s="39"/>
      <c r="H5" s="39">
        <f t="shared" si="0"/>
        <v>0</v>
      </c>
    </row>
    <row r="6" spans="1:14" ht="36" hidden="1" customHeight="1" x14ac:dyDescent="0.35">
      <c r="A6" s="37" t="s">
        <v>37</v>
      </c>
      <c r="B6" s="38"/>
      <c r="C6" s="39"/>
      <c r="D6" s="39"/>
      <c r="E6" s="39"/>
      <c r="F6" s="39"/>
      <c r="G6" s="39"/>
      <c r="H6" s="39">
        <f t="shared" si="0"/>
        <v>0</v>
      </c>
    </row>
    <row r="7" spans="1:14" ht="36" hidden="1" customHeight="1" x14ac:dyDescent="0.35">
      <c r="A7" s="37" t="s">
        <v>12</v>
      </c>
      <c r="B7" s="38"/>
      <c r="C7" s="39"/>
      <c r="D7" s="39"/>
      <c r="E7" s="39"/>
      <c r="F7" s="39"/>
      <c r="G7" s="39"/>
      <c r="H7" s="39">
        <f t="shared" si="0"/>
        <v>0</v>
      </c>
    </row>
    <row r="8" spans="1:14" ht="36" hidden="1" customHeight="1" x14ac:dyDescent="0.35">
      <c r="A8" s="37" t="s">
        <v>13</v>
      </c>
      <c r="B8" s="38"/>
      <c r="C8" s="39"/>
      <c r="D8" s="39"/>
      <c r="E8" s="39"/>
      <c r="F8" s="39"/>
      <c r="G8" s="39"/>
      <c r="H8" s="39">
        <f t="shared" si="0"/>
        <v>0</v>
      </c>
    </row>
    <row r="9" spans="1:14" ht="36" hidden="1" customHeight="1" x14ac:dyDescent="0.35">
      <c r="A9" s="37" t="s">
        <v>38</v>
      </c>
      <c r="B9" s="38"/>
      <c r="C9" s="39"/>
      <c r="D9" s="39"/>
      <c r="E9" s="39"/>
      <c r="F9" s="39"/>
      <c r="G9" s="39"/>
      <c r="H9" s="39">
        <f t="shared" si="0"/>
        <v>0</v>
      </c>
    </row>
    <row r="10" spans="1:14" ht="36" hidden="1" customHeight="1" x14ac:dyDescent="0.35">
      <c r="A10" s="37" t="s">
        <v>15</v>
      </c>
      <c r="B10" s="38"/>
      <c r="C10" s="39"/>
      <c r="D10" s="39"/>
      <c r="E10" s="39"/>
      <c r="F10" s="39"/>
      <c r="G10" s="39"/>
      <c r="H10" s="39">
        <f t="shared" si="0"/>
        <v>0</v>
      </c>
    </row>
    <row r="11" spans="1:14" ht="36" hidden="1" customHeight="1" x14ac:dyDescent="0.35">
      <c r="A11" s="37" t="s">
        <v>16</v>
      </c>
      <c r="B11" s="38"/>
      <c r="C11" s="39"/>
      <c r="D11" s="39"/>
      <c r="E11" s="39"/>
      <c r="F11" s="39"/>
      <c r="G11" s="39"/>
      <c r="H11" s="39">
        <f t="shared" si="0"/>
        <v>0</v>
      </c>
    </row>
    <row r="12" spans="1:14" ht="36" hidden="1" customHeight="1" x14ac:dyDescent="0.35">
      <c r="A12" s="37" t="s">
        <v>17</v>
      </c>
      <c r="B12" s="38"/>
      <c r="C12" s="39"/>
      <c r="D12" s="39"/>
      <c r="E12" s="39"/>
      <c r="F12" s="39"/>
      <c r="G12" s="39"/>
      <c r="H12" s="39">
        <f t="shared" si="0"/>
        <v>0</v>
      </c>
    </row>
    <row r="13" spans="1:14" ht="36" hidden="1" customHeight="1" x14ac:dyDescent="0.35">
      <c r="A13" s="37" t="s">
        <v>49</v>
      </c>
      <c r="B13" s="38"/>
      <c r="C13" s="39"/>
      <c r="D13" s="39"/>
      <c r="E13" s="39"/>
      <c r="F13" s="39"/>
      <c r="G13" s="39"/>
      <c r="H13" s="39">
        <f t="shared" si="0"/>
        <v>0</v>
      </c>
    </row>
    <row r="14" spans="1:14" ht="36" hidden="1" customHeight="1" x14ac:dyDescent="0.35">
      <c r="A14" s="37" t="s">
        <v>50</v>
      </c>
      <c r="B14" s="38"/>
      <c r="C14" s="39"/>
      <c r="D14" s="39"/>
      <c r="E14" s="39"/>
      <c r="F14" s="39"/>
      <c r="G14" s="39"/>
      <c r="H14" s="39">
        <f t="shared" si="0"/>
        <v>0</v>
      </c>
      <c r="M14" s="33">
        <f>H14*30%</f>
        <v>0</v>
      </c>
      <c r="N14" s="40">
        <f>H14-M14</f>
        <v>0</v>
      </c>
    </row>
    <row r="15" spans="1:14" ht="36" customHeight="1" x14ac:dyDescent="0.35">
      <c r="A15" s="37" t="s">
        <v>20</v>
      </c>
      <c r="B15" s="38"/>
      <c r="C15" s="39">
        <v>79.48200140000003</v>
      </c>
      <c r="D15" s="39">
        <v>41.912043600000004</v>
      </c>
      <c r="E15" s="39">
        <v>6.6439072000000001</v>
      </c>
      <c r="F15" s="39">
        <v>78.394726699999993</v>
      </c>
      <c r="G15" s="39">
        <v>20.705201999999936</v>
      </c>
      <c r="H15" s="39">
        <f t="shared" si="0"/>
        <v>227.13788089999997</v>
      </c>
      <c r="J15" s="33">
        <f>H15*30%</f>
        <v>68.141364269999983</v>
      </c>
      <c r="K15" s="103">
        <f>H15-J15</f>
        <v>158.99651662999997</v>
      </c>
      <c r="N15" s="40"/>
    </row>
    <row r="16" spans="1:14" ht="36" hidden="1" customHeight="1" x14ac:dyDescent="0.35">
      <c r="A16" s="37" t="s">
        <v>336</v>
      </c>
      <c r="B16" s="38"/>
      <c r="C16" s="39"/>
      <c r="D16" s="39"/>
      <c r="E16" s="39"/>
      <c r="F16" s="39"/>
      <c r="G16" s="39"/>
      <c r="H16" s="39">
        <f t="shared" si="0"/>
        <v>0</v>
      </c>
      <c r="N16" s="40"/>
    </row>
    <row r="17" spans="1:14" ht="36" hidden="1" customHeight="1" x14ac:dyDescent="0.35">
      <c r="A17" s="37" t="s">
        <v>337</v>
      </c>
      <c r="B17" s="38"/>
      <c r="C17" s="39"/>
      <c r="D17" s="39"/>
      <c r="E17" s="39"/>
      <c r="F17" s="39"/>
      <c r="G17" s="39"/>
      <c r="H17" s="39">
        <f t="shared" si="0"/>
        <v>0</v>
      </c>
      <c r="N17" s="40"/>
    </row>
    <row r="18" spans="1:14" ht="36" customHeight="1" x14ac:dyDescent="0.35">
      <c r="A18" s="37" t="s">
        <v>338</v>
      </c>
      <c r="B18" s="39">
        <v>158.99651662999997</v>
      </c>
      <c r="C18" s="39">
        <v>84.084599300000036</v>
      </c>
      <c r="D18" s="39">
        <v>47.898513900000005</v>
      </c>
      <c r="E18" s="39">
        <v>4.4499199999999997</v>
      </c>
      <c r="F18" s="39">
        <v>78.68450319999998</v>
      </c>
      <c r="G18" s="39">
        <v>24.205937599999974</v>
      </c>
      <c r="H18" s="39">
        <f t="shared" si="0"/>
        <v>239.32347399999998</v>
      </c>
      <c r="J18" s="108">
        <v>0.2</v>
      </c>
      <c r="K18" s="33">
        <f>$K$15+($K$15*J18)</f>
        <v>190.79581995599997</v>
      </c>
      <c r="N18" s="40"/>
    </row>
    <row r="19" spans="1:14" ht="36" hidden="1" customHeight="1" x14ac:dyDescent="0.35">
      <c r="A19" s="37" t="s">
        <v>339</v>
      </c>
      <c r="B19" s="39">
        <v>158.99651662999997</v>
      </c>
      <c r="C19" s="39">
        <v>66.890709599999994</v>
      </c>
      <c r="D19" s="39">
        <v>56.604272600000009</v>
      </c>
      <c r="E19" s="39">
        <v>9.912101299999998</v>
      </c>
      <c r="F19" s="39">
        <v>84.505186999999978</v>
      </c>
      <c r="G19" s="39">
        <v>21.765319499999915</v>
      </c>
      <c r="H19" s="39">
        <f t="shared" si="0"/>
        <v>239.6775899999999</v>
      </c>
      <c r="N19" s="40"/>
    </row>
    <row r="20" spans="1:14" ht="36" hidden="1" customHeight="1" x14ac:dyDescent="0.35">
      <c r="A20" s="37" t="s">
        <v>379</v>
      </c>
      <c r="B20" s="39">
        <v>158.99651662999997</v>
      </c>
      <c r="C20" s="39">
        <v>55.463334600000017</v>
      </c>
      <c r="D20" s="39">
        <v>57.052552900000002</v>
      </c>
      <c r="E20" s="39">
        <v>9.7670462999999987</v>
      </c>
      <c r="F20" s="39">
        <v>83.097387999999967</v>
      </c>
      <c r="G20" s="39">
        <v>21.864362700000097</v>
      </c>
      <c r="H20" s="39">
        <f t="shared" si="0"/>
        <v>227.24468450000009</v>
      </c>
      <c r="N20" s="40"/>
    </row>
    <row r="21" spans="1:14" ht="36" customHeight="1" x14ac:dyDescent="0.35">
      <c r="A21" s="37" t="s">
        <v>380</v>
      </c>
      <c r="B21" s="39">
        <v>158.99651662999997</v>
      </c>
      <c r="C21" s="39">
        <v>57.521422899999983</v>
      </c>
      <c r="D21" s="39">
        <v>58.080183200000029</v>
      </c>
      <c r="E21" s="39">
        <v>12.044840399999998</v>
      </c>
      <c r="F21" s="39">
        <v>75.070531699999989</v>
      </c>
      <c r="G21" s="39">
        <v>20.232791299999921</v>
      </c>
      <c r="H21" s="39">
        <f t="shared" si="0"/>
        <v>222.94976949999992</v>
      </c>
      <c r="J21" s="108">
        <v>0.1</v>
      </c>
      <c r="K21" s="33">
        <f>$K$15+($K$15*J21)</f>
        <v>174.89616829299996</v>
      </c>
      <c r="N21" s="40"/>
    </row>
    <row r="22" spans="1:14" ht="36" hidden="1" customHeight="1" x14ac:dyDescent="0.35">
      <c r="A22" s="37" t="s">
        <v>381</v>
      </c>
      <c r="B22" s="39">
        <v>158.99651662999997</v>
      </c>
      <c r="C22" s="39">
        <v>47.906331800000018</v>
      </c>
      <c r="D22" s="39">
        <v>60.669827100000028</v>
      </c>
      <c r="E22" s="39">
        <v>12.063924000000002</v>
      </c>
      <c r="F22" s="39">
        <v>69.588917299999991</v>
      </c>
      <c r="G22" s="39">
        <v>19.916243500000078</v>
      </c>
      <c r="H22" s="39">
        <f t="shared" si="0"/>
        <v>210.14524370000009</v>
      </c>
      <c r="N22" s="40"/>
    </row>
    <row r="23" spans="1:14" ht="36" hidden="1" customHeight="1" x14ac:dyDescent="0.35">
      <c r="A23" s="37" t="s">
        <v>382</v>
      </c>
      <c r="B23" s="39">
        <v>158.99651662999997</v>
      </c>
      <c r="C23" s="39">
        <v>46.864701599999982</v>
      </c>
      <c r="D23" s="39">
        <v>61.554580199999997</v>
      </c>
      <c r="E23" s="39">
        <v>13.3061341</v>
      </c>
      <c r="F23" s="39">
        <v>63.078903300000007</v>
      </c>
      <c r="G23" s="39">
        <v>22.012928900000155</v>
      </c>
      <c r="H23" s="39">
        <f t="shared" si="0"/>
        <v>206.81724810000014</v>
      </c>
      <c r="N23" s="40"/>
    </row>
    <row r="24" spans="1:14" ht="36" customHeight="1" x14ac:dyDescent="0.35">
      <c r="A24" s="37" t="s">
        <v>383</v>
      </c>
      <c r="B24" s="39">
        <v>158.99651662999997</v>
      </c>
      <c r="C24" s="39">
        <v>52.8345153</v>
      </c>
      <c r="D24" s="39">
        <v>51.308802300000025</v>
      </c>
      <c r="E24" s="39">
        <v>7.5874717999999994</v>
      </c>
      <c r="F24" s="39">
        <v>21.157494500000002</v>
      </c>
      <c r="G24" s="39">
        <v>15.265681099999927</v>
      </c>
      <c r="H24" s="39">
        <f t="shared" si="0"/>
        <v>148.15396499999997</v>
      </c>
      <c r="N24" s="40"/>
    </row>
    <row r="25" spans="1:14" ht="36" customHeight="1" x14ac:dyDescent="0.35">
      <c r="A25" s="37" t="s">
        <v>384</v>
      </c>
      <c r="B25" s="39">
        <v>158.99651662999997</v>
      </c>
      <c r="C25" s="39">
        <v>58.375858899999976</v>
      </c>
      <c r="D25" s="39">
        <v>51.405608300000019</v>
      </c>
      <c r="E25" s="39">
        <v>7.6480881999999992</v>
      </c>
      <c r="F25" s="39">
        <v>14.443813699999998</v>
      </c>
      <c r="G25" s="39">
        <v>14.332978300000001</v>
      </c>
      <c r="H25" s="39">
        <f>SUM(C25:G25)</f>
        <v>146.2063474</v>
      </c>
      <c r="N25" s="40"/>
    </row>
    <row r="26" spans="1:14" ht="36" customHeight="1" x14ac:dyDescent="0.35">
      <c r="A26" s="37" t="s">
        <v>385</v>
      </c>
      <c r="B26" s="39">
        <v>158.99651662999997</v>
      </c>
      <c r="C26" s="39">
        <v>55.946198100000018</v>
      </c>
      <c r="D26" s="39">
        <v>54.866149900000011</v>
      </c>
      <c r="E26" s="39">
        <v>7.6480881999999992</v>
      </c>
      <c r="F26" s="39">
        <v>12.7579595</v>
      </c>
      <c r="G26" s="39">
        <v>9.0781636999999602</v>
      </c>
      <c r="H26" s="39">
        <f>SUM(C26:G26)</f>
        <v>140.29655939999998</v>
      </c>
      <c r="N26" s="40"/>
    </row>
    <row r="27" spans="1:14" ht="36" customHeight="1" x14ac:dyDescent="0.35">
      <c r="A27" s="37" t="s">
        <v>386</v>
      </c>
      <c r="B27" s="39">
        <v>158.99651662999997</v>
      </c>
      <c r="C27" s="39">
        <v>57.704509000000002</v>
      </c>
      <c r="D27" s="39">
        <v>52.358237200000026</v>
      </c>
      <c r="E27" s="39">
        <v>7.7146908999999999</v>
      </c>
      <c r="F27" s="39">
        <v>12.266219200000002</v>
      </c>
      <c r="G27" s="39">
        <v>7.1657470000000405</v>
      </c>
      <c r="H27" s="39">
        <f>SUM(C27:G27)</f>
        <v>137.20940330000005</v>
      </c>
      <c r="N27" s="40"/>
    </row>
    <row r="28" spans="1:14" x14ac:dyDescent="0.35">
      <c r="A28" s="41" t="s">
        <v>48</v>
      </c>
      <c r="B28" s="42"/>
    </row>
    <row r="29" spans="1:14" x14ac:dyDescent="0.35">
      <c r="A29" s="41" t="s">
        <v>47</v>
      </c>
      <c r="C29" s="40"/>
      <c r="D29" s="40"/>
      <c r="E29" s="40"/>
      <c r="F29" s="40"/>
      <c r="G29" s="40"/>
      <c r="H29" s="40"/>
    </row>
    <row r="30" spans="1:14" x14ac:dyDescent="0.35">
      <c r="A30" s="41" t="s">
        <v>547</v>
      </c>
      <c r="B30" s="46"/>
    </row>
    <row r="31" spans="1:14" x14ac:dyDescent="0.35">
      <c r="A31" s="220" t="s">
        <v>569</v>
      </c>
      <c r="B31" s="220"/>
      <c r="C31" s="220"/>
      <c r="D31" s="220"/>
      <c r="E31" s="220"/>
      <c r="F31" s="220"/>
      <c r="G31" s="220"/>
      <c r="H31" s="220"/>
    </row>
    <row r="32" spans="1:14" x14ac:dyDescent="0.35">
      <c r="A32" s="41"/>
    </row>
  </sheetData>
  <mergeCells count="1">
    <mergeCell ref="A31:H31"/>
  </mergeCells>
  <conditionalFormatting sqref="H18">
    <cfRule type="iconSet" priority="7">
      <iconSet reverse="1">
        <cfvo type="percent" val="0"/>
        <cfvo type="num" val="174.9"/>
        <cfvo type="num" val="190.9"/>
      </iconSet>
    </cfRule>
  </conditionalFormatting>
  <conditionalFormatting sqref="H21:H26">
    <cfRule type="iconSet" priority="2">
      <iconSet reverse="1">
        <cfvo type="percent" val="0"/>
        <cfvo type="num" val="174.9"/>
        <cfvo type="num" val="190.9"/>
      </iconSet>
    </cfRule>
  </conditionalFormatting>
  <conditionalFormatting sqref="H27">
    <cfRule type="iconSet" priority="1">
      <iconSet reverse="1">
        <cfvo type="percent" val="0"/>
        <cfvo type="num" val="174.9"/>
        <cfvo type="num" val="190.9"/>
      </iconSet>
    </cfRule>
  </conditionalFormatting>
  <pageMargins left="0.7" right="0.7" top="0.75" bottom="0.75" header="0.3" footer="0.3"/>
  <ignoredErrors>
    <ignoredError sqref="H3:H2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5AABE481-1D1E-4FA3-9664-DE411F1A53CC}">
            <x14:iconSet iconSet="3Triangles" reverse="1">
              <x14:cfvo type="percent">
                <xm:f>0</xm:f>
              </x14:cfvo>
              <x14:cfvo type="formula">
                <xm:f>$C$3</xm:f>
              </x14:cfvo>
              <x14:cfvo type="num">
                <xm:f>$C$3</xm:f>
              </x14:cfvo>
            </x14:iconSet>
          </x14:cfRule>
          <xm:sqref>C4</xm:sqref>
        </x14:conditionalFormatting>
        <x14:conditionalFormatting xmlns:xm="http://schemas.microsoft.com/office/excel/2006/main">
          <x14:cfRule type="iconSet" priority="90" id="{201A035C-C3A5-43CC-BE99-CB3239ECBCDD}">
            <x14:iconSet iconSet="3Triangles" reverse="1">
              <x14:cfvo type="percent">
                <xm:f>0</xm:f>
              </x14:cfvo>
              <x14:cfvo type="formula">
                <xm:f>$D$3</xm:f>
              </x14:cfvo>
              <x14:cfvo type="formula">
                <xm:f>$D$3</xm:f>
              </x14:cfvo>
            </x14:iconSet>
          </x14:cfRule>
          <xm:sqref>D4</xm:sqref>
        </x14:conditionalFormatting>
        <x14:conditionalFormatting xmlns:xm="http://schemas.microsoft.com/office/excel/2006/main">
          <x14:cfRule type="iconSet" priority="89" id="{F5C791DF-DD13-4A38-A33B-DB4A5DC20413}">
            <x14:iconSet iconSet="3Triangles" reverse="1">
              <x14:cfvo type="percent">
                <xm:f>0</xm:f>
              </x14:cfvo>
              <x14:cfvo type="formula">
                <xm:f>$E$3</xm:f>
              </x14:cfvo>
              <x14:cfvo type="formula">
                <xm:f>$E$3</xm:f>
              </x14:cfvo>
            </x14:iconSet>
          </x14:cfRule>
          <xm:sqref>E4:F4</xm:sqref>
        </x14:conditionalFormatting>
        <x14:conditionalFormatting xmlns:xm="http://schemas.microsoft.com/office/excel/2006/main">
          <x14:cfRule type="iconSet" priority="88" id="{EE30351A-0B25-4A79-922E-E4BFBDE3C1E2}">
            <x14:iconSet iconSet="3Triangles" reverse="1">
              <x14:cfvo type="percent">
                <xm:f>0</xm:f>
              </x14:cfvo>
              <x14:cfvo type="formula">
                <xm:f>$G$3</xm:f>
              </x14:cfvo>
              <x14:cfvo type="formula">
                <xm:f>$G$3</xm:f>
              </x14:cfvo>
            </x14:iconSet>
          </x14:cfRule>
          <xm:sqref>G4</xm:sqref>
        </x14:conditionalFormatting>
        <x14:conditionalFormatting xmlns:xm="http://schemas.microsoft.com/office/excel/2006/main">
          <x14:cfRule type="iconSet" priority="87" id="{3A109078-2E05-42A1-B8E8-F19A66CA961B}">
            <x14:iconSet iconSet="3Triangles" reverse="1">
              <x14:cfvo type="percent">
                <xm:f>0</xm:f>
              </x14:cfvo>
              <x14:cfvo type="formula">
                <xm:f>$H$3</xm:f>
              </x14:cfvo>
              <x14:cfvo type="formula">
                <xm:f>$H$3</xm:f>
              </x14:cfvo>
            </x14:iconSet>
          </x14:cfRule>
          <xm:sqref>H4</xm:sqref>
        </x14:conditionalFormatting>
        <x14:conditionalFormatting xmlns:xm="http://schemas.microsoft.com/office/excel/2006/main">
          <x14:cfRule type="iconSet" priority="86" id="{3916A503-CF60-4DFF-8806-F5FD93170733}">
            <x14:iconSet iconSet="3Triangles" reverse="1">
              <x14:cfvo type="percent">
                <xm:f>0</xm:f>
              </x14:cfvo>
              <x14:cfvo type="formula">
                <xm:f>$C$3</xm:f>
              </x14:cfvo>
              <x14:cfvo type="num">
                <xm:f>$C$3</xm:f>
              </x14:cfvo>
            </x14:iconSet>
          </x14:cfRule>
          <xm:sqref>C5</xm:sqref>
        </x14:conditionalFormatting>
        <x14:conditionalFormatting xmlns:xm="http://schemas.microsoft.com/office/excel/2006/main">
          <x14:cfRule type="iconSet" priority="85" id="{15B5CBDF-AFFA-4606-8C33-45EC09368BC5}">
            <x14:iconSet iconSet="3Triangles" reverse="1">
              <x14:cfvo type="percent">
                <xm:f>0</xm:f>
              </x14:cfvo>
              <x14:cfvo type="formula">
                <xm:f>$C$5</xm:f>
              </x14:cfvo>
              <x14:cfvo type="num">
                <xm:f>$C$5</xm:f>
              </x14:cfvo>
            </x14:iconSet>
          </x14:cfRule>
          <xm:sqref>C6</xm:sqref>
        </x14:conditionalFormatting>
        <x14:conditionalFormatting xmlns:xm="http://schemas.microsoft.com/office/excel/2006/main">
          <x14:cfRule type="iconSet" priority="84" id="{A7761087-5AE5-4DE3-9D63-9B2CF7C9C924}">
            <x14:iconSet iconSet="3Triangles" reverse="1">
              <x14:cfvo type="percent">
                <xm:f>0</xm:f>
              </x14:cfvo>
              <x14:cfvo type="formula">
                <xm:f>$C$6</xm:f>
              </x14:cfvo>
              <x14:cfvo type="num">
                <xm:f>$C$6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83" id="{8BE5BB4D-2B3E-4A4C-93C8-60BA0370FBD2}">
            <x14:iconSet iconSet="3Triangles" reverse="1">
              <x14:cfvo type="percent">
                <xm:f>0</xm:f>
              </x14:cfvo>
              <x14:cfvo type="formula">
                <xm:f>$C$7</xm:f>
              </x14:cfvo>
              <x14:cfvo type="num">
                <xm:f>$C$7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82" id="{35EA813D-2FF2-48A3-BFD1-4CFAB4B3A2D3}">
            <x14:iconSet iconSet="3Triangles" reverse="1">
              <x14:cfvo type="percent">
                <xm:f>0</xm:f>
              </x14:cfvo>
              <x14:cfvo type="formula">
                <xm:f>$C$8</xm:f>
              </x14:cfvo>
              <x14:cfvo type="num">
                <xm:f>$C$8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81" id="{9A5F417A-F423-4761-8D1B-73EA97FDEABF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80" id="{3CE2EAB6-4C79-4EC0-BBFD-3C0C4C7E4F20}">
            <x14:iconSet iconSet="3Triangles" reverse="1">
              <x14:cfvo type="percent">
                <xm:f>0</xm:f>
              </x14:cfvo>
              <x14:cfvo type="formula">
                <xm:f>$D$4</xm:f>
              </x14:cfvo>
              <x14:cfvo type="formula">
                <xm:f>$D$4</xm:f>
              </x14:cfvo>
            </x14:iconSet>
          </x14:cfRule>
          <xm:sqref>D5</xm:sqref>
        </x14:conditionalFormatting>
        <x14:conditionalFormatting xmlns:xm="http://schemas.microsoft.com/office/excel/2006/main">
          <x14:cfRule type="iconSet" priority="79" id="{CAE530EB-0F6E-4994-A6E8-EF1290FE4308}">
            <x14:iconSet iconSet="3Triangles" reverse="1">
              <x14:cfvo type="percent">
                <xm:f>0</xm:f>
              </x14:cfvo>
              <x14:cfvo type="formula">
                <xm:f>$D$5</xm:f>
              </x14:cfvo>
              <x14:cfvo type="formula">
                <xm:f>$D$5</xm:f>
              </x14:cfvo>
            </x14:iconSet>
          </x14:cfRule>
          <xm:sqref>D6</xm:sqref>
        </x14:conditionalFormatting>
        <x14:conditionalFormatting xmlns:xm="http://schemas.microsoft.com/office/excel/2006/main">
          <x14:cfRule type="iconSet" priority="78" id="{197B1E4F-09E4-40F7-8C2C-0DB7A9A57A29}">
            <x14:iconSet iconSet="3Triangles" reverse="1">
              <x14:cfvo type="percent">
                <xm:f>0</xm:f>
              </x14:cfvo>
              <x14:cfvo type="formula">
                <xm:f>$D$6</xm:f>
              </x14:cfvo>
              <x14:cfvo type="formula">
                <xm:f>$D$6</xm:f>
              </x14:cfvo>
            </x14:iconSet>
          </x14:cfRule>
          <xm:sqref>D7</xm:sqref>
        </x14:conditionalFormatting>
        <x14:conditionalFormatting xmlns:xm="http://schemas.microsoft.com/office/excel/2006/main">
          <x14:cfRule type="iconSet" priority="77" id="{EEBB2635-C6BD-4BF2-B920-0D7B4830CCD9}">
            <x14:iconSet iconSet="3Triangles" reverse="1">
              <x14:cfvo type="percent">
                <xm:f>0</xm:f>
              </x14:cfvo>
              <x14:cfvo type="formula">
                <xm:f>$D$7</xm:f>
              </x14:cfvo>
              <x14:cfvo type="formula">
                <xm:f>$D$7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iconSet" priority="76" id="{944D6050-9F1C-4D91-86C6-1EC224299B4B}">
            <x14:iconSet iconSet="3Triangles" reverse="1">
              <x14:cfvo type="percent">
                <xm:f>0</xm:f>
              </x14:cfvo>
              <x14:cfvo type="formula">
                <xm:f>$D$8</xm:f>
              </x14:cfvo>
              <x14:cfvo type="formula">
                <xm:f>$D$8</xm:f>
              </x14:cfvo>
            </x14:iconSet>
          </x14:cfRule>
          <xm:sqref>D9</xm:sqref>
        </x14:conditionalFormatting>
        <x14:conditionalFormatting xmlns:xm="http://schemas.microsoft.com/office/excel/2006/main">
          <x14:cfRule type="iconSet" priority="75" id="{EB8E47E8-711B-4C8B-A9FF-2797395B637C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74" id="{09BFAB5A-CFED-41BA-B083-4A68AFB9F658}">
            <x14:iconSet iconSet="3Triangles" reverse="1">
              <x14:cfvo type="percent">
                <xm:f>0</xm:f>
              </x14:cfvo>
              <x14:cfvo type="formula">
                <xm:f>$E$4</xm:f>
              </x14:cfvo>
              <x14:cfvo type="formula">
                <xm:f>$E$4</xm:f>
              </x14:cfvo>
            </x14:iconSet>
          </x14:cfRule>
          <xm:sqref>E5:F5</xm:sqref>
        </x14:conditionalFormatting>
        <x14:conditionalFormatting xmlns:xm="http://schemas.microsoft.com/office/excel/2006/main">
          <x14:cfRule type="iconSet" priority="73" id="{7C44EF66-465D-4226-8FF3-8B49F3224576}">
            <x14:iconSet iconSet="3Triangles" reverse="1">
              <x14:cfvo type="percent">
                <xm:f>0</xm:f>
              </x14:cfvo>
              <x14:cfvo type="formula">
                <xm:f>$E$5</xm:f>
              </x14:cfvo>
              <x14:cfvo type="formula">
                <xm:f>$E$5</xm:f>
              </x14:cfvo>
            </x14:iconSet>
          </x14:cfRule>
          <xm:sqref>E6:F6</xm:sqref>
        </x14:conditionalFormatting>
        <x14:conditionalFormatting xmlns:xm="http://schemas.microsoft.com/office/excel/2006/main">
          <x14:cfRule type="iconSet" priority="72" id="{353A58F2-7FAD-4998-9EFE-49635582F648}">
            <x14:iconSet iconSet="3Triangles" reverse="1">
              <x14:cfvo type="percent">
                <xm:f>0</xm:f>
              </x14:cfvo>
              <x14:cfvo type="formula">
                <xm:f>$E$6</xm:f>
              </x14:cfvo>
              <x14:cfvo type="formula">
                <xm:f>$E$6</xm:f>
              </x14:cfvo>
            </x14:iconSet>
          </x14:cfRule>
          <xm:sqref>E7:F7</xm:sqref>
        </x14:conditionalFormatting>
        <x14:conditionalFormatting xmlns:xm="http://schemas.microsoft.com/office/excel/2006/main">
          <x14:cfRule type="iconSet" priority="71" id="{02762E18-B8D2-446A-BAB2-2CDA870B3998}">
            <x14:iconSet iconSet="3Triangles" reverse="1">
              <x14:cfvo type="percent">
                <xm:f>0</xm:f>
              </x14:cfvo>
              <x14:cfvo type="formula">
                <xm:f>$E$7</xm:f>
              </x14:cfvo>
              <x14:cfvo type="formula">
                <xm:f>$E$7</xm:f>
              </x14:cfvo>
            </x14:iconSet>
          </x14:cfRule>
          <xm:sqref>E8:F8</xm:sqref>
        </x14:conditionalFormatting>
        <x14:conditionalFormatting xmlns:xm="http://schemas.microsoft.com/office/excel/2006/main">
          <x14:cfRule type="iconSet" priority="70" id="{9213D7A1-855D-44E6-8738-C7C2214F2318}">
            <x14:iconSet iconSet="3Triangles" reverse="1">
              <x14:cfvo type="percent">
                <xm:f>0</xm:f>
              </x14:cfvo>
              <x14:cfvo type="formula">
                <xm:f>$E$8</xm:f>
              </x14:cfvo>
              <x14:cfvo type="formula">
                <xm:f>$E$8</xm:f>
              </x14:cfvo>
            </x14:iconSet>
          </x14:cfRule>
          <xm:sqref>E9:F9</xm:sqref>
        </x14:conditionalFormatting>
        <x14:conditionalFormatting xmlns:xm="http://schemas.microsoft.com/office/excel/2006/main">
          <x14:cfRule type="iconSet" priority="69" id="{0EF8CCC4-C0D9-4CFC-9D31-B56064143012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E10:F10</xm:sqref>
        </x14:conditionalFormatting>
        <x14:conditionalFormatting xmlns:xm="http://schemas.microsoft.com/office/excel/2006/main">
          <x14:cfRule type="iconSet" priority="68" id="{413A3DA5-2394-4870-AB5B-C8DB01A138BA}">
            <x14:iconSet iconSet="3Triangles" reverse="1">
              <x14:cfvo type="percent">
                <xm:f>0</xm:f>
              </x14:cfvo>
              <x14:cfvo type="formula">
                <xm:f>$G$4</xm:f>
              </x14:cfvo>
              <x14:cfvo type="formula">
                <xm:f>$G$4</xm:f>
              </x14:cfvo>
            </x14:iconSet>
          </x14:cfRule>
          <xm:sqref>G5</xm:sqref>
        </x14:conditionalFormatting>
        <x14:conditionalFormatting xmlns:xm="http://schemas.microsoft.com/office/excel/2006/main">
          <x14:cfRule type="iconSet" priority="67" id="{5487CF72-DACC-4BAF-AED5-FD50ACDCC0FF}">
            <x14:iconSet iconSet="3Triangles" reverse="1">
              <x14:cfvo type="percent">
                <xm:f>0</xm:f>
              </x14:cfvo>
              <x14:cfvo type="formula">
                <xm:f>$G$5</xm:f>
              </x14:cfvo>
              <x14:cfvo type="formula">
                <xm:f>$G$5</xm:f>
              </x14:cfvo>
            </x14:iconSet>
          </x14:cfRule>
          <xm:sqref>G6</xm:sqref>
        </x14:conditionalFormatting>
        <x14:conditionalFormatting xmlns:xm="http://schemas.microsoft.com/office/excel/2006/main">
          <x14:cfRule type="iconSet" priority="66" id="{4541DF9E-226B-4DBC-B55A-B6408ED01C95}">
            <x14:iconSet iconSet="3Triangles" reverse="1">
              <x14:cfvo type="percent">
                <xm:f>0</xm:f>
              </x14:cfvo>
              <x14:cfvo type="formula">
                <xm:f>$G$6</xm:f>
              </x14:cfvo>
              <x14:cfvo type="formula">
                <xm:f>$G$6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65" id="{D11F5C3D-CD8A-475A-81CF-1F22EBF7998A}">
            <x14:iconSet iconSet="3Triangles" reverse="1">
              <x14:cfvo type="percent">
                <xm:f>0</xm:f>
              </x14:cfvo>
              <x14:cfvo type="formula">
                <xm:f>$G$7</xm:f>
              </x14:cfvo>
              <x14:cfvo type="formula">
                <xm:f>$G$7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64" id="{04B5D152-DF7E-4695-95AF-BB940CF3F3CC}">
            <x14:iconSet iconSet="3Triangles" reverse="1">
              <x14:cfvo type="percent">
                <xm:f>0</xm:f>
              </x14:cfvo>
              <x14:cfvo type="formula">
                <xm:f>$G$8</xm:f>
              </x14:cfvo>
              <x14:cfvo type="formula">
                <xm:f>$G$8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63" id="{95941317-3A45-4E79-BB6E-BB4EDF5FAE77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iconSet" priority="62" id="{D45473D0-7B41-422E-AEE2-281A4FEFD08B}">
            <x14:iconSet iconSet="3Triangles" reverse="1">
              <x14:cfvo type="percent">
                <xm:f>0</xm:f>
              </x14:cfvo>
              <x14:cfvo type="formula">
                <xm:f>$H$4</xm:f>
              </x14:cfvo>
              <x14:cfvo type="formula">
                <xm:f>$H$4</xm:f>
              </x14:cfvo>
            </x14:iconSet>
          </x14:cfRule>
          <xm:sqref>H5</xm:sqref>
        </x14:conditionalFormatting>
        <x14:conditionalFormatting xmlns:xm="http://schemas.microsoft.com/office/excel/2006/main">
          <x14:cfRule type="iconSet" priority="61" id="{96FB8FB1-6C16-44DA-9045-2D3EEBF56636}">
            <x14:iconSet iconSet="3Triangles" reverse="1">
              <x14:cfvo type="percent">
                <xm:f>0</xm:f>
              </x14:cfvo>
              <x14:cfvo type="formula">
                <xm:f>$H$5</xm:f>
              </x14:cfvo>
              <x14:cfvo type="formula">
                <xm:f>$H$5</xm:f>
              </x14:cfvo>
            </x14:iconSet>
          </x14:cfRule>
          <xm:sqref>H6</xm:sqref>
        </x14:conditionalFormatting>
        <x14:conditionalFormatting xmlns:xm="http://schemas.microsoft.com/office/excel/2006/main">
          <x14:cfRule type="iconSet" priority="60" id="{75F24D43-069A-48A4-9CFA-B3823C4D4ADB}">
            <x14:iconSet iconSet="3Triangles" reverse="1">
              <x14:cfvo type="percent">
                <xm:f>0</xm:f>
              </x14:cfvo>
              <x14:cfvo type="formula">
                <xm:f>$H$6</xm:f>
              </x14:cfvo>
              <x14:cfvo type="formula">
                <xm:f>$H$6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59" id="{DCE290CC-B5F9-4C2F-9374-C3DAFC394045}">
            <x14:iconSet iconSet="3Triangles" reverse="1">
              <x14:cfvo type="percent">
                <xm:f>0</xm:f>
              </x14:cfvo>
              <x14:cfvo type="formula">
                <xm:f>$H$7</xm:f>
              </x14:cfvo>
              <x14:cfvo type="formula">
                <xm:f>$H$7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58" id="{2828E011-DEC1-40F8-B440-C2B5AD3E9902}">
            <x14:iconSet iconSet="3Triangles" reverse="1">
              <x14:cfvo type="percent">
                <xm:f>0</xm:f>
              </x14:cfvo>
              <x14:cfvo type="formula">
                <xm:f>$H$8</xm:f>
              </x14:cfvo>
              <x14:cfvo type="formula">
                <xm:f>$H$8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57" id="{116A5304-44FF-4464-9B40-2203C8F41251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H10</xm:sqref>
        </x14:conditionalFormatting>
        <x14:conditionalFormatting xmlns:xm="http://schemas.microsoft.com/office/excel/2006/main">
          <x14:cfRule type="iconSet" priority="56" id="{1D9F7AB6-B2A8-43BD-A467-D4CBA84598D1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iconSet" priority="55" id="{0A7C4A44-47FE-4AA8-B385-21F3C7C1224B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iconSet" priority="54" id="{3D2F9CD2-4C2C-4400-8007-6C8BDD7DCA99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E11:F11</xm:sqref>
        </x14:conditionalFormatting>
        <x14:conditionalFormatting xmlns:xm="http://schemas.microsoft.com/office/excel/2006/main">
          <x14:cfRule type="iconSet" priority="53" id="{DA0B61ED-B62A-4445-A85E-56A7B56423FE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G11</xm:sqref>
        </x14:conditionalFormatting>
        <x14:conditionalFormatting xmlns:xm="http://schemas.microsoft.com/office/excel/2006/main">
          <x14:cfRule type="iconSet" priority="52" id="{A3388586-BA6E-4393-90D0-1068F09574F4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H11</xm:sqref>
        </x14:conditionalFormatting>
        <x14:conditionalFormatting xmlns:xm="http://schemas.microsoft.com/office/excel/2006/main">
          <x14:cfRule type="iconSet" priority="51" id="{E34CF135-1A91-4798-96DF-3E718A797A84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C12</xm:sqref>
        </x14:conditionalFormatting>
        <x14:conditionalFormatting xmlns:xm="http://schemas.microsoft.com/office/excel/2006/main">
          <x14:cfRule type="iconSet" priority="50" id="{3AB3F2B5-FF55-4E62-8D25-E3992439BFE6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D12</xm:sqref>
        </x14:conditionalFormatting>
        <x14:conditionalFormatting xmlns:xm="http://schemas.microsoft.com/office/excel/2006/main">
          <x14:cfRule type="iconSet" priority="49" id="{14CA76A6-267C-4581-8D33-9BB470060AF9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E12:F12</xm:sqref>
        </x14:conditionalFormatting>
        <x14:conditionalFormatting xmlns:xm="http://schemas.microsoft.com/office/excel/2006/main">
          <x14:cfRule type="iconSet" priority="48" id="{3E8F69D2-A98B-4AD4-AC03-6A827A127C86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G12</xm:sqref>
        </x14:conditionalFormatting>
        <x14:conditionalFormatting xmlns:xm="http://schemas.microsoft.com/office/excel/2006/main">
          <x14:cfRule type="iconSet" priority="47" id="{5BE61642-4761-4724-A17C-71A3A6FADD4D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H12</xm:sqref>
        </x14:conditionalFormatting>
        <x14:conditionalFormatting xmlns:xm="http://schemas.microsoft.com/office/excel/2006/main">
          <x14:cfRule type="iconSet" priority="46" id="{04E19074-5012-47C2-9431-9F7400A51453}">
            <x14:iconSet iconSet="3Triangles" reverse="1">
              <x14:cfvo type="percent">
                <xm:f>0</xm:f>
              </x14:cfvo>
              <x14:cfvo type="formula">
                <xm:f>$C$9</xm:f>
              </x14:cfvo>
              <x14:cfvo type="num">
                <xm:f>$C$9</xm:f>
              </x14:cfvo>
            </x14:iconSet>
          </x14:cfRule>
          <xm:sqref>C13</xm:sqref>
        </x14:conditionalFormatting>
        <x14:conditionalFormatting xmlns:xm="http://schemas.microsoft.com/office/excel/2006/main">
          <x14:cfRule type="iconSet" priority="45" id="{59BCBBF9-91A7-4902-B63F-DF403EF0F6A2}">
            <x14:iconSet iconSet="3Triangles" reverse="1">
              <x14:cfvo type="percent">
                <xm:f>0</xm:f>
              </x14:cfvo>
              <x14:cfvo type="formula">
                <xm:f>$D$9</xm:f>
              </x14:cfvo>
              <x14:cfvo type="formula">
                <xm:f>$D$9</xm:f>
              </x14:cfvo>
            </x14:iconSet>
          </x14:cfRule>
          <xm:sqref>D13</xm:sqref>
        </x14:conditionalFormatting>
        <x14:conditionalFormatting xmlns:xm="http://schemas.microsoft.com/office/excel/2006/main">
          <x14:cfRule type="iconSet" priority="44" id="{76F7ADA1-A1BF-46CB-B52A-E788536D6CA8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E13:F13</xm:sqref>
        </x14:conditionalFormatting>
        <x14:conditionalFormatting xmlns:xm="http://schemas.microsoft.com/office/excel/2006/main">
          <x14:cfRule type="iconSet" priority="43" id="{5754C23B-0CA7-44AC-BB52-3A0FC16F05BF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G13</xm:sqref>
        </x14:conditionalFormatting>
        <x14:conditionalFormatting xmlns:xm="http://schemas.microsoft.com/office/excel/2006/main">
          <x14:cfRule type="iconSet" priority="42" id="{2C9400D2-FF41-4AD6-AC42-A5861E5119A1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H13</xm:sqref>
        </x14:conditionalFormatting>
        <x14:conditionalFormatting xmlns:xm="http://schemas.microsoft.com/office/excel/2006/main">
          <x14:cfRule type="iconSet" priority="41" id="{AA5E9FF5-3DF8-489A-8CD5-22092D3B2C8E}">
            <x14:iconSet iconSet="3Triangles" reverse="1">
              <x14:cfvo type="percent">
                <xm:f>0</xm:f>
              </x14:cfvo>
              <x14:cfvo type="formula">
                <xm:f>$C$13</xm:f>
              </x14:cfvo>
              <x14:cfvo type="num">
                <xm:f>$C$13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40" id="{198CB02A-6F96-4E33-A746-EC57A74DBD8E}">
            <x14:iconSet iconSet="3Triangles" reverse="1">
              <x14:cfvo type="percent">
                <xm:f>0</xm:f>
              </x14:cfvo>
              <x14:cfvo type="formula">
                <xm:f>$D$14</xm:f>
              </x14:cfvo>
              <x14:cfvo type="formula">
                <xm:f>$D$14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iconSet" priority="39" id="{01B1C354-D8D2-4512-9056-48603DDC23DD}">
            <x14:iconSet iconSet="3Triangles" reverse="1">
              <x14:cfvo type="percent">
                <xm:f>0</xm:f>
              </x14:cfvo>
              <x14:cfvo type="formula">
                <xm:f>$E$9</xm:f>
              </x14:cfvo>
              <x14:cfvo type="formula">
                <xm:f>$E$9</xm:f>
              </x14:cfvo>
            </x14:iconSet>
          </x14:cfRule>
          <xm:sqref>E14:F14</xm:sqref>
        </x14:conditionalFormatting>
        <x14:conditionalFormatting xmlns:xm="http://schemas.microsoft.com/office/excel/2006/main">
          <x14:cfRule type="iconSet" priority="38" id="{2FDD6A82-C621-4647-A451-596766E691C5}">
            <x14:iconSet iconSet="3Triangles" reverse="1">
              <x14:cfvo type="percent">
                <xm:f>0</xm:f>
              </x14:cfvo>
              <x14:cfvo type="formula">
                <xm:f>$G$9</xm:f>
              </x14:cfvo>
              <x14:cfvo type="formula">
                <xm:f>$G$9</xm:f>
              </x14:cfvo>
            </x14:iconSet>
          </x14:cfRule>
          <xm:sqref>G14</xm:sqref>
        </x14:conditionalFormatting>
        <x14:conditionalFormatting xmlns:xm="http://schemas.microsoft.com/office/excel/2006/main">
          <x14:cfRule type="iconSet" priority="37" id="{BBB9122D-E5F8-4A9A-A2BF-8FCFB2B01D4B}">
            <x14:iconSet iconSet="3Triangles" reverse="1">
              <x14:cfvo type="percent">
                <xm:f>0</xm:f>
              </x14:cfvo>
              <x14:cfvo type="formula">
                <xm:f>$H$9</xm:f>
              </x14:cfvo>
              <x14:cfvo type="formula">
                <xm:f>$H$9</xm:f>
              </x14:cfvo>
            </x14:iconSet>
          </x14:cfRule>
          <xm:sqref>H14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49"/>
  <sheetViews>
    <sheetView showGridLines="0" zoomScale="67" zoomScaleNormal="6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2.75" x14ac:dyDescent="0.2"/>
  <cols>
    <col min="1" max="1" width="23.140625" bestFit="1" customWidth="1"/>
    <col min="30" max="30" width="24.28515625" bestFit="1" customWidth="1"/>
  </cols>
  <sheetData>
    <row r="3" spans="1:45" x14ac:dyDescent="0.2">
      <c r="A3" t="s">
        <v>78</v>
      </c>
    </row>
    <row r="4" spans="1:45" x14ac:dyDescent="0.2">
      <c r="A4" t="s">
        <v>31</v>
      </c>
      <c r="B4" t="s">
        <v>32</v>
      </c>
      <c r="C4" t="s">
        <v>33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38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s="69" t="s">
        <v>336</v>
      </c>
      <c r="R4" s="69" t="s">
        <v>337</v>
      </c>
      <c r="S4" s="69" t="s">
        <v>338</v>
      </c>
      <c r="T4" s="69" t="s">
        <v>339</v>
      </c>
      <c r="U4" s="69" t="s">
        <v>379</v>
      </c>
      <c r="V4" s="69" t="s">
        <v>380</v>
      </c>
      <c r="W4" s="69" t="s">
        <v>381</v>
      </c>
      <c r="X4" s="69" t="s">
        <v>382</v>
      </c>
      <c r="AD4" t="str">
        <f>A4</f>
        <v>Total Inventory</v>
      </c>
      <c r="AE4" s="69" t="str">
        <f>D4</f>
        <v>Mar' 15</v>
      </c>
      <c r="AF4" s="69" t="str">
        <f>G4</f>
        <v>Jun' 15</v>
      </c>
      <c r="AG4" s="69" t="str">
        <f>J4</f>
        <v>Sept' 15</v>
      </c>
      <c r="AH4" s="69" t="str">
        <f>M4</f>
        <v>Dec' 15</v>
      </c>
      <c r="AI4" s="69" t="str">
        <f t="shared" ref="AI4:AJ7" si="0">P4</f>
        <v>Mar' 16</v>
      </c>
      <c r="AJ4" s="69" t="str">
        <f t="shared" si="0"/>
        <v>Apr' 16</v>
      </c>
      <c r="AK4" s="69" t="str">
        <f>S4</f>
        <v>Jun' 16</v>
      </c>
      <c r="AL4" s="69" t="str">
        <f t="shared" ref="AL4:AO7" si="1">U4</f>
        <v>Aug' 16</v>
      </c>
      <c r="AM4" s="69" t="str">
        <f t="shared" si="1"/>
        <v>Sept' 16</v>
      </c>
      <c r="AN4" s="69" t="str">
        <f t="shared" si="1"/>
        <v>Oct' 16</v>
      </c>
      <c r="AO4" s="69" t="str">
        <f t="shared" si="1"/>
        <v>Nov' 16</v>
      </c>
      <c r="AP4" s="69"/>
      <c r="AQ4" s="69"/>
      <c r="AR4" s="69"/>
      <c r="AS4" s="69"/>
    </row>
    <row r="5" spans="1:45" x14ac:dyDescent="0.2">
      <c r="A5" t="s">
        <v>82</v>
      </c>
      <c r="B5" s="67"/>
      <c r="C5" s="67"/>
      <c r="D5" s="67">
        <v>11.494831473999994</v>
      </c>
      <c r="E5" s="67">
        <v>9.2494520169999976</v>
      </c>
      <c r="F5" s="67">
        <v>8.058494915999999</v>
      </c>
      <c r="G5" s="67">
        <v>8.7129112839999987</v>
      </c>
      <c r="H5" s="67">
        <v>8.6113403159999979</v>
      </c>
      <c r="I5" s="67">
        <v>8.7633204199999994</v>
      </c>
      <c r="J5" s="67">
        <v>7.8098287090000031</v>
      </c>
      <c r="K5" s="67">
        <v>7.4851978019999965</v>
      </c>
      <c r="L5" s="67">
        <v>9.3401162299999996</v>
      </c>
      <c r="M5" s="67">
        <v>8.0062667509999983</v>
      </c>
      <c r="N5" s="67">
        <v>7.7725925449999975</v>
      </c>
      <c r="O5" s="67">
        <v>9.0058071650000038</v>
      </c>
      <c r="P5" s="67">
        <v>8.7664216239999959</v>
      </c>
      <c r="Q5" s="67">
        <v>9.4858685200000092</v>
      </c>
      <c r="R5" s="67">
        <v>9.1856641310000047</v>
      </c>
      <c r="S5" s="67">
        <v>10.424672761999997</v>
      </c>
      <c r="T5" s="67">
        <v>9.3808397289999998</v>
      </c>
      <c r="U5" s="67">
        <v>9.1430685819999997</v>
      </c>
      <c r="V5" s="67">
        <v>10.034331837</v>
      </c>
      <c r="W5" s="67">
        <v>12.987895133</v>
      </c>
      <c r="X5" s="67">
        <v>13.022806994</v>
      </c>
      <c r="Y5" s="67"/>
      <c r="Z5" s="67"/>
      <c r="AA5" s="67"/>
      <c r="AB5" s="67"/>
      <c r="AC5" s="67">
        <f>AVERAGE(E5:P5)</f>
        <v>8.4651458149166654</v>
      </c>
      <c r="AD5" t="str">
        <f t="shared" ref="AD5:AD13" si="2">A5</f>
        <v>RM Total Inventory</v>
      </c>
      <c r="AE5" s="67">
        <f>D5</f>
        <v>11.494831473999994</v>
      </c>
      <c r="AF5" s="67">
        <f>G5</f>
        <v>8.7129112839999987</v>
      </c>
      <c r="AG5" s="67">
        <f>J5</f>
        <v>7.8098287090000031</v>
      </c>
      <c r="AH5" s="67">
        <f>M5</f>
        <v>8.0062667509999983</v>
      </c>
      <c r="AI5" s="67">
        <f t="shared" si="0"/>
        <v>8.7664216239999959</v>
      </c>
      <c r="AJ5" s="67">
        <f t="shared" si="0"/>
        <v>9.4858685200000092</v>
      </c>
      <c r="AK5" s="67">
        <f>S5</f>
        <v>10.424672761999997</v>
      </c>
      <c r="AL5" s="67">
        <f t="shared" si="1"/>
        <v>9.1430685819999997</v>
      </c>
      <c r="AM5" s="67">
        <f t="shared" si="1"/>
        <v>10.034331837</v>
      </c>
      <c r="AN5" s="67">
        <f t="shared" si="1"/>
        <v>12.987895133</v>
      </c>
      <c r="AO5" s="67">
        <f>X5</f>
        <v>13.022806994</v>
      </c>
      <c r="AP5" s="67"/>
      <c r="AQ5" s="67"/>
      <c r="AR5" s="67"/>
      <c r="AS5" s="67"/>
    </row>
    <row r="6" spans="1:45" x14ac:dyDescent="0.2">
      <c r="A6" t="s">
        <v>74</v>
      </c>
      <c r="B6" s="67"/>
      <c r="C6" s="67"/>
      <c r="D6" s="67">
        <f t="shared" ref="D6:J6" si="3">AVERAGE(B8:D8)</f>
        <v>8.5885521208487123</v>
      </c>
      <c r="E6" s="67">
        <f t="shared" si="3"/>
        <v>8.1641548165749338</v>
      </c>
      <c r="F6" s="67">
        <f t="shared" si="3"/>
        <v>9.55057487889054</v>
      </c>
      <c r="G6" s="67">
        <f t="shared" si="3"/>
        <v>10.577400023312814</v>
      </c>
      <c r="H6" s="67">
        <f t="shared" si="3"/>
        <v>11.25433185093069</v>
      </c>
      <c r="I6" s="67">
        <f t="shared" si="3"/>
        <v>10.112100531242023</v>
      </c>
      <c r="J6" s="67">
        <f t="shared" si="3"/>
        <v>8.5575218383507003</v>
      </c>
      <c r="K6" s="67">
        <f>AVERAGE(I8:K8)</f>
        <v>8.0125800407327059</v>
      </c>
      <c r="L6" s="67">
        <f>AVERAGE(J8:L8)</f>
        <v>8.0299941050726975</v>
      </c>
      <c r="M6" s="67">
        <f>AVERAGE(K8:M8)</f>
        <v>8.8829348261393175</v>
      </c>
      <c r="N6" s="67">
        <f t="shared" ref="N6:W6" si="4">AVERAGE(L8:N8)</f>
        <v>8.5152498013807776</v>
      </c>
      <c r="O6" s="67">
        <f t="shared" si="4"/>
        <v>8.4805775767688605</v>
      </c>
      <c r="P6" s="67">
        <f t="shared" si="4"/>
        <v>8.905390090990549</v>
      </c>
      <c r="Q6" s="67">
        <f t="shared" si="4"/>
        <v>8.9449654318437091</v>
      </c>
      <c r="R6" s="67">
        <f t="shared" si="4"/>
        <v>9.5230423151714749</v>
      </c>
      <c r="S6" s="67">
        <f t="shared" si="4"/>
        <v>9.1234635785870619</v>
      </c>
      <c r="T6" s="67">
        <f t="shared" si="4"/>
        <v>8.762945703845828</v>
      </c>
      <c r="U6" s="67">
        <f t="shared" si="4"/>
        <v>8.4357293525527162</v>
      </c>
      <c r="V6" s="67">
        <f t="shared" si="4"/>
        <v>7.8236129342977891</v>
      </c>
      <c r="W6" s="67">
        <f t="shared" si="4"/>
        <v>7.9807074694603068</v>
      </c>
      <c r="X6" s="67">
        <f>AVERAGE(V8:X8)</f>
        <v>7.9962395623416667</v>
      </c>
      <c r="Y6" s="67"/>
      <c r="Z6" s="67"/>
      <c r="AA6" s="67"/>
      <c r="AB6" s="67"/>
      <c r="AC6" s="67">
        <f>AVERAGE(E6:P6)</f>
        <v>9.0869008650322183</v>
      </c>
      <c r="AD6" t="str">
        <f t="shared" si="2"/>
        <v>Avg RM Consum</v>
      </c>
      <c r="AE6" s="67">
        <f>D6</f>
        <v>8.5885521208487123</v>
      </c>
      <c r="AF6" s="67">
        <f>G6</f>
        <v>10.577400023312814</v>
      </c>
      <c r="AG6" s="67">
        <f>J6</f>
        <v>8.5575218383507003</v>
      </c>
      <c r="AH6" s="67">
        <f>M6</f>
        <v>8.8829348261393175</v>
      </c>
      <c r="AI6" s="67">
        <f t="shared" si="0"/>
        <v>8.905390090990549</v>
      </c>
      <c r="AJ6" s="67">
        <f t="shared" si="0"/>
        <v>8.9449654318437091</v>
      </c>
      <c r="AK6" s="67">
        <f>S6</f>
        <v>9.1234635785870619</v>
      </c>
      <c r="AL6" s="67">
        <f t="shared" si="1"/>
        <v>8.4357293525527162</v>
      </c>
      <c r="AM6" s="67">
        <f t="shared" si="1"/>
        <v>7.8236129342977891</v>
      </c>
      <c r="AN6" s="67">
        <f t="shared" si="1"/>
        <v>7.9807074694603068</v>
      </c>
      <c r="AO6" s="67">
        <f>X6</f>
        <v>7.9962395623416667</v>
      </c>
      <c r="AP6" s="67"/>
      <c r="AQ6" s="67"/>
      <c r="AR6" s="67"/>
      <c r="AS6" s="67"/>
    </row>
    <row r="7" spans="1:45" x14ac:dyDescent="0.2">
      <c r="A7" t="s">
        <v>39</v>
      </c>
      <c r="B7" s="67"/>
      <c r="C7" s="67"/>
      <c r="D7" s="67">
        <f>D5*30/D6</f>
        <v>40.151697208996225</v>
      </c>
      <c r="E7" s="67">
        <f t="shared" ref="E7:K7" si="5">E5*30/E6</f>
        <v>33.988032655462447</v>
      </c>
      <c r="F7" s="67">
        <f t="shared" si="5"/>
        <v>25.313119947820759</v>
      </c>
      <c r="G7" s="67">
        <f t="shared" si="5"/>
        <v>24.711870397630488</v>
      </c>
      <c r="H7" s="67">
        <f t="shared" si="5"/>
        <v>22.954735376728401</v>
      </c>
      <c r="I7" s="67">
        <f t="shared" si="5"/>
        <v>25.998516508786054</v>
      </c>
      <c r="J7" s="67">
        <f t="shared" si="5"/>
        <v>27.378821310160511</v>
      </c>
      <c r="K7" s="67">
        <f t="shared" si="5"/>
        <v>28.025421639278314</v>
      </c>
      <c r="L7" s="67">
        <f t="shared" ref="L7:X7" si="6">L5*30/L6</f>
        <v>34.894606799647612</v>
      </c>
      <c r="M7" s="67">
        <f t="shared" si="6"/>
        <v>27.039262049206091</v>
      </c>
      <c r="N7" s="67">
        <f t="shared" si="6"/>
        <v>27.383550898552539</v>
      </c>
      <c r="O7" s="67">
        <f t="shared" si="6"/>
        <v>31.85799699422569</v>
      </c>
      <c r="P7" s="67">
        <f t="shared" si="6"/>
        <v>29.531850489746162</v>
      </c>
      <c r="Q7" s="67">
        <f t="shared" si="6"/>
        <v>31.814103449401966</v>
      </c>
      <c r="R7" s="67">
        <f t="shared" si="6"/>
        <v>28.937173101812277</v>
      </c>
      <c r="S7" s="67">
        <f t="shared" si="6"/>
        <v>34.278668420840404</v>
      </c>
      <c r="T7" s="67">
        <f t="shared" si="6"/>
        <v>32.115364100280779</v>
      </c>
      <c r="U7" s="67">
        <f t="shared" si="6"/>
        <v>32.515511818429438</v>
      </c>
      <c r="V7" s="67">
        <f t="shared" si="6"/>
        <v>38.477102284843419</v>
      </c>
      <c r="W7" s="67">
        <f t="shared" si="6"/>
        <v>48.822345071664316</v>
      </c>
      <c r="X7" s="67">
        <f t="shared" si="6"/>
        <v>48.858492391839953</v>
      </c>
      <c r="Y7" s="67"/>
      <c r="Z7" s="67"/>
      <c r="AA7" s="67"/>
      <c r="AB7" s="67"/>
      <c r="AC7" s="67">
        <f>AC5*30/AC6</f>
        <v>27.947303290691238</v>
      </c>
      <c r="AD7" t="str">
        <f t="shared" si="2"/>
        <v>DIOH</v>
      </c>
      <c r="AE7" s="67">
        <f>D7</f>
        <v>40.151697208996225</v>
      </c>
      <c r="AF7" s="67">
        <f>G7</f>
        <v>24.711870397630488</v>
      </c>
      <c r="AG7" s="67">
        <f>J7</f>
        <v>27.378821310160511</v>
      </c>
      <c r="AH7" s="67">
        <f>M7</f>
        <v>27.039262049206091</v>
      </c>
      <c r="AI7" s="67">
        <f t="shared" si="0"/>
        <v>29.531850489746162</v>
      </c>
      <c r="AJ7" s="67">
        <f t="shared" si="0"/>
        <v>31.814103449401966</v>
      </c>
      <c r="AK7" s="67">
        <f>S7</f>
        <v>34.278668420840404</v>
      </c>
      <c r="AL7" s="67">
        <f t="shared" si="1"/>
        <v>32.515511818429438</v>
      </c>
      <c r="AM7" s="67">
        <f t="shared" si="1"/>
        <v>38.477102284843419</v>
      </c>
      <c r="AN7" s="67">
        <f t="shared" si="1"/>
        <v>48.822345071664316</v>
      </c>
      <c r="AO7" s="67">
        <f>X7</f>
        <v>48.858492391839953</v>
      </c>
      <c r="AP7" s="67"/>
      <c r="AQ7" s="67"/>
      <c r="AR7" s="67"/>
      <c r="AS7" s="67"/>
    </row>
    <row r="8" spans="1:45" x14ac:dyDescent="0.2">
      <c r="A8" t="s">
        <v>75</v>
      </c>
      <c r="B8" s="67">
        <v>10.494230665673998</v>
      </c>
      <c r="C8" s="67">
        <v>6.8934542928119074</v>
      </c>
      <c r="D8" s="67">
        <v>8.3779714040602347</v>
      </c>
      <c r="E8" s="67">
        <v>9.221038752852655</v>
      </c>
      <c r="F8" s="67">
        <v>11.05271447975873</v>
      </c>
      <c r="G8" s="67">
        <v>11.45844683732706</v>
      </c>
      <c r="H8" s="67">
        <v>11.251834235706278</v>
      </c>
      <c r="I8" s="67">
        <v>7.6260205206927303</v>
      </c>
      <c r="J8" s="67">
        <v>6.7947107586530935</v>
      </c>
      <c r="K8" s="67">
        <v>9.6170088428522913</v>
      </c>
      <c r="L8" s="67">
        <v>7.6782627137127086</v>
      </c>
      <c r="M8" s="67">
        <v>9.3535329218529508</v>
      </c>
      <c r="N8" s="67">
        <v>8.5139537685766733</v>
      </c>
      <c r="O8" s="67">
        <v>7.5742460398769591</v>
      </c>
      <c r="P8" s="67">
        <v>10.627970464518016</v>
      </c>
      <c r="Q8" s="67">
        <v>8.6326797911361517</v>
      </c>
      <c r="R8" s="67">
        <v>9.3084766898602549</v>
      </c>
      <c r="S8" s="67">
        <v>9.4292342547647809</v>
      </c>
      <c r="T8" s="67">
        <v>7.5511261669124448</v>
      </c>
      <c r="U8" s="67">
        <v>8.3268276359809228</v>
      </c>
      <c r="V8" s="67">
        <v>7.5928849999999999</v>
      </c>
      <c r="W8" s="67">
        <v>8.0224097723999996</v>
      </c>
      <c r="X8" s="67">
        <v>8.3734239146250005</v>
      </c>
      <c r="Y8" s="67"/>
      <c r="Z8" s="67"/>
      <c r="AA8" s="67"/>
      <c r="AB8" s="67"/>
      <c r="AC8" s="67">
        <f>AVERAGE(E8:P8)</f>
        <v>9.2308116946983443</v>
      </c>
      <c r="AD8" t="str">
        <f>A9</f>
        <v>Target</v>
      </c>
      <c r="AE8" s="67">
        <v>21</v>
      </c>
      <c r="AF8" s="69">
        <v>21</v>
      </c>
      <c r="AG8" s="69">
        <v>21</v>
      </c>
      <c r="AH8" s="69">
        <v>21</v>
      </c>
      <c r="AI8" s="69">
        <v>21</v>
      </c>
      <c r="AJ8" s="69">
        <v>21</v>
      </c>
      <c r="AK8" s="69">
        <v>21</v>
      </c>
      <c r="AL8" s="69">
        <v>21</v>
      </c>
      <c r="AM8" s="69">
        <v>21</v>
      </c>
      <c r="AN8" s="69">
        <v>21</v>
      </c>
      <c r="AO8" s="69">
        <v>21</v>
      </c>
      <c r="AP8" s="69"/>
      <c r="AQ8" s="69"/>
      <c r="AR8" s="69"/>
      <c r="AS8" s="69"/>
    </row>
    <row r="9" spans="1:45" x14ac:dyDescent="0.2">
      <c r="A9" t="s">
        <v>26</v>
      </c>
      <c r="B9" s="69"/>
      <c r="C9" s="69"/>
      <c r="D9" s="69">
        <v>21</v>
      </c>
      <c r="E9" s="69">
        <v>21</v>
      </c>
      <c r="F9" s="69">
        <v>21</v>
      </c>
      <c r="G9" s="69">
        <v>21</v>
      </c>
      <c r="H9" s="69">
        <v>21</v>
      </c>
      <c r="I9" s="69">
        <v>21</v>
      </c>
      <c r="J9" s="69">
        <v>21</v>
      </c>
      <c r="K9" s="69">
        <v>21</v>
      </c>
      <c r="L9" s="69">
        <v>21</v>
      </c>
      <c r="M9" s="69">
        <v>21</v>
      </c>
      <c r="N9" s="69">
        <v>21</v>
      </c>
      <c r="O9" s="69">
        <v>21</v>
      </c>
      <c r="P9" s="69">
        <v>21</v>
      </c>
      <c r="Q9" s="69">
        <v>21</v>
      </c>
      <c r="R9" s="69">
        <v>21</v>
      </c>
      <c r="S9" s="69">
        <v>21</v>
      </c>
      <c r="T9" s="69">
        <v>21</v>
      </c>
      <c r="U9" s="69">
        <v>21</v>
      </c>
      <c r="V9" s="69">
        <v>21</v>
      </c>
      <c r="W9" s="69">
        <v>21</v>
      </c>
      <c r="X9" s="69">
        <v>21</v>
      </c>
      <c r="Y9" s="69"/>
      <c r="Z9" s="69"/>
      <c r="AA9" s="69"/>
      <c r="AB9" s="69"/>
      <c r="AC9" s="69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</row>
    <row r="10" spans="1:45" x14ac:dyDescent="0.2">
      <c r="A10" t="s">
        <v>76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38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s="69" t="s">
        <v>336</v>
      </c>
      <c r="R10" s="69" t="s">
        <v>337</v>
      </c>
      <c r="S10" s="69" t="s">
        <v>338</v>
      </c>
      <c r="T10" s="69" t="s">
        <v>339</v>
      </c>
      <c r="U10" s="69" t="str">
        <f>U4</f>
        <v>Aug' 16</v>
      </c>
      <c r="V10" s="69" t="str">
        <f>V4</f>
        <v>Sept' 16</v>
      </c>
      <c r="W10" s="69" t="str">
        <f>W4</f>
        <v>Oct' 16</v>
      </c>
      <c r="X10" s="69" t="str">
        <f>X4</f>
        <v>Nov' 16</v>
      </c>
      <c r="AC10" s="69"/>
      <c r="AD10" t="str">
        <f t="shared" si="2"/>
        <v>Moving Inventory</v>
      </c>
      <c r="AE10" s="67" t="str">
        <f>D10</f>
        <v>Mar' 15</v>
      </c>
      <c r="AF10" s="69" t="str">
        <f>G10</f>
        <v>Jun' 15</v>
      </c>
      <c r="AG10" s="69" t="str">
        <f>J10</f>
        <v>Sept' 15</v>
      </c>
      <c r="AH10" s="69" t="str">
        <f>M10</f>
        <v>Dec' 15</v>
      </c>
      <c r="AI10" s="69" t="str">
        <f t="shared" ref="AI10:AJ13" si="7">P10</f>
        <v>Mar' 16</v>
      </c>
      <c r="AJ10" s="69" t="str">
        <f t="shared" si="7"/>
        <v>Apr' 16</v>
      </c>
      <c r="AK10" s="69" t="str">
        <f>S10</f>
        <v>Jun' 16</v>
      </c>
      <c r="AL10" s="69" t="str">
        <f t="shared" ref="AL10:AO13" si="8">U10</f>
        <v>Aug' 16</v>
      </c>
      <c r="AM10" s="69" t="str">
        <f t="shared" si="8"/>
        <v>Sept' 16</v>
      </c>
      <c r="AN10" s="69" t="str">
        <f t="shared" si="8"/>
        <v>Oct' 16</v>
      </c>
      <c r="AO10" s="69" t="str">
        <f t="shared" si="8"/>
        <v>Nov' 16</v>
      </c>
      <c r="AP10" s="69"/>
      <c r="AQ10" s="69"/>
      <c r="AR10" s="69"/>
      <c r="AS10" s="69"/>
    </row>
    <row r="11" spans="1:45" x14ac:dyDescent="0.2">
      <c r="A11" t="s">
        <v>83</v>
      </c>
      <c r="B11" s="67"/>
      <c r="C11" s="67"/>
      <c r="D11" s="67">
        <v>5.5137985979999966</v>
      </c>
      <c r="E11" s="67">
        <v>5.0461851039999983</v>
      </c>
      <c r="F11" s="67">
        <v>4.732601610999998</v>
      </c>
      <c r="G11" s="67">
        <v>5.2254909980000015</v>
      </c>
      <c r="H11" s="67">
        <v>5.354114967000001</v>
      </c>
      <c r="I11" s="67">
        <v>4.9017392629999996</v>
      </c>
      <c r="J11" s="67">
        <v>4.0862128789999996</v>
      </c>
      <c r="K11" s="67">
        <v>4.3388270080000009</v>
      </c>
      <c r="L11" s="67">
        <v>6.2531306489999974</v>
      </c>
      <c r="M11" s="67">
        <v>5.6693426729999992</v>
      </c>
      <c r="N11" s="67">
        <v>5.4994778919999989</v>
      </c>
      <c r="O11" s="67">
        <v>6.6586280560000048</v>
      </c>
      <c r="P11" s="67">
        <v>6.451868036999997</v>
      </c>
      <c r="Q11" s="67">
        <v>7.0861283020000094</v>
      </c>
      <c r="R11" s="67">
        <v>6.7457657240000053</v>
      </c>
      <c r="S11" s="67">
        <v>7.7438282209999976</v>
      </c>
      <c r="T11" s="67">
        <v>6.7134008139999999</v>
      </c>
      <c r="U11" s="67">
        <v>6.5345554280000018</v>
      </c>
      <c r="V11" s="67">
        <v>7.1225735609999994</v>
      </c>
      <c r="W11" s="67">
        <v>10.501807456</v>
      </c>
      <c r="X11" s="67">
        <v>10.656534950999999</v>
      </c>
      <c r="Y11" s="67"/>
      <c r="Z11" s="67"/>
      <c r="AA11" s="67"/>
      <c r="AB11" s="67"/>
      <c r="AC11" s="67">
        <f>AVERAGE(E11:P11)</f>
        <v>5.3514682614166675</v>
      </c>
      <c r="AD11" t="str">
        <f t="shared" si="2"/>
        <v>RM Moving Inventory</v>
      </c>
      <c r="AE11" s="67">
        <f>D11</f>
        <v>5.5137985979999966</v>
      </c>
      <c r="AF11" s="67">
        <f>G11</f>
        <v>5.2254909980000015</v>
      </c>
      <c r="AG11" s="67">
        <f>J11</f>
        <v>4.0862128789999996</v>
      </c>
      <c r="AH11" s="67">
        <f>M11</f>
        <v>5.6693426729999992</v>
      </c>
      <c r="AI11" s="67">
        <f t="shared" si="7"/>
        <v>6.451868036999997</v>
      </c>
      <c r="AJ11" s="67">
        <f t="shared" si="7"/>
        <v>7.0861283020000094</v>
      </c>
      <c r="AK11" s="67">
        <f>S11</f>
        <v>7.7438282209999976</v>
      </c>
      <c r="AL11" s="67">
        <f t="shared" si="8"/>
        <v>6.5345554280000018</v>
      </c>
      <c r="AM11" s="67">
        <f t="shared" si="8"/>
        <v>7.1225735609999994</v>
      </c>
      <c r="AN11" s="67">
        <f t="shared" si="8"/>
        <v>10.501807456</v>
      </c>
      <c r="AO11" s="67">
        <f>X11</f>
        <v>10.656534950999999</v>
      </c>
      <c r="AP11" s="67"/>
      <c r="AQ11" s="67"/>
      <c r="AR11" s="67"/>
      <c r="AS11" s="67"/>
    </row>
    <row r="12" spans="1:45" x14ac:dyDescent="0.2">
      <c r="A12" t="s">
        <v>74</v>
      </c>
      <c r="B12" s="67"/>
      <c r="C12" s="67"/>
      <c r="D12" s="67">
        <f t="shared" ref="D12:J12" si="9">AVERAGE(B14:D14)</f>
        <v>8.5885521208487123</v>
      </c>
      <c r="E12" s="67">
        <f t="shared" si="9"/>
        <v>8.1641548165749338</v>
      </c>
      <c r="F12" s="67">
        <f t="shared" si="9"/>
        <v>9.55057487889054</v>
      </c>
      <c r="G12" s="67">
        <f t="shared" si="9"/>
        <v>10.577400023312814</v>
      </c>
      <c r="H12" s="67">
        <f t="shared" si="9"/>
        <v>11.25433185093069</v>
      </c>
      <c r="I12" s="67">
        <f t="shared" si="9"/>
        <v>10.112100531242023</v>
      </c>
      <c r="J12" s="67">
        <f t="shared" si="9"/>
        <v>8.5575218383507003</v>
      </c>
      <c r="K12" s="67">
        <f>AVERAGE(I14:K14)</f>
        <v>8.0125800407327059</v>
      </c>
      <c r="L12" s="67">
        <f>AVERAGE(J14:L14)</f>
        <v>8.0299941050726975</v>
      </c>
      <c r="M12" s="67">
        <f>AVERAGE(K14:M14)</f>
        <v>8.8829348261393175</v>
      </c>
      <c r="N12" s="67">
        <f>AVERAGE(L14:N14)</f>
        <v>8.5152498013807776</v>
      </c>
      <c r="O12" s="67">
        <f t="shared" ref="O12:X12" si="10">AVERAGE(M14:O14)</f>
        <v>8.4805775767688605</v>
      </c>
      <c r="P12" s="67">
        <f t="shared" si="10"/>
        <v>9.0025150909905491</v>
      </c>
      <c r="Q12" s="67">
        <f t="shared" si="10"/>
        <v>9.0420904318437092</v>
      </c>
      <c r="R12" s="67">
        <f t="shared" si="10"/>
        <v>9.6201673151714733</v>
      </c>
      <c r="S12" s="67">
        <f t="shared" si="10"/>
        <v>9.1234635785870619</v>
      </c>
      <c r="T12" s="67">
        <f t="shared" si="10"/>
        <v>8.762945703845828</v>
      </c>
      <c r="U12" s="67">
        <f t="shared" si="10"/>
        <v>8.4357293525527162</v>
      </c>
      <c r="V12" s="67">
        <f t="shared" si="10"/>
        <v>7.8236129342977891</v>
      </c>
      <c r="W12" s="67">
        <f t="shared" si="10"/>
        <v>7.9807074694603068</v>
      </c>
      <c r="X12" s="67">
        <f t="shared" si="10"/>
        <v>7.9962395623416667</v>
      </c>
      <c r="Y12" s="67"/>
      <c r="Z12" s="67"/>
      <c r="AA12" s="67"/>
      <c r="AB12" s="67"/>
      <c r="AC12" s="67">
        <f>AVERAGE(E12:P12)</f>
        <v>9.0949946150322187</v>
      </c>
      <c r="AD12" t="str">
        <f t="shared" si="2"/>
        <v>Avg RM Consum</v>
      </c>
      <c r="AE12" s="67">
        <f>D12</f>
        <v>8.5885521208487123</v>
      </c>
      <c r="AF12" s="67">
        <f>G12</f>
        <v>10.577400023312814</v>
      </c>
      <c r="AG12" s="67">
        <f>J12</f>
        <v>8.5575218383507003</v>
      </c>
      <c r="AH12" s="67">
        <f>M12</f>
        <v>8.8829348261393175</v>
      </c>
      <c r="AI12" s="67">
        <f t="shared" si="7"/>
        <v>9.0025150909905491</v>
      </c>
      <c r="AJ12" s="67">
        <f t="shared" si="7"/>
        <v>9.0420904318437092</v>
      </c>
      <c r="AK12" s="67">
        <f>S12</f>
        <v>9.1234635785870619</v>
      </c>
      <c r="AL12" s="67">
        <f t="shared" si="8"/>
        <v>8.4357293525527162</v>
      </c>
      <c r="AM12" s="67">
        <f t="shared" si="8"/>
        <v>7.8236129342977891</v>
      </c>
      <c r="AN12" s="67">
        <f t="shared" si="8"/>
        <v>7.9807074694603068</v>
      </c>
      <c r="AO12" s="67">
        <f>X12</f>
        <v>7.9962395623416667</v>
      </c>
      <c r="AP12" s="67"/>
      <c r="AQ12" s="67"/>
      <c r="AR12" s="67"/>
      <c r="AS12" s="67"/>
    </row>
    <row r="13" spans="1:45" x14ac:dyDescent="0.2">
      <c r="A13" t="s">
        <v>39</v>
      </c>
      <c r="B13" s="67"/>
      <c r="C13" s="67"/>
      <c r="D13" s="67">
        <f>D11*30/D12</f>
        <v>19.259818839366122</v>
      </c>
      <c r="E13" s="67">
        <f t="shared" ref="E13:L13" si="11">E11*30/E12</f>
        <v>18.542709750267811</v>
      </c>
      <c r="F13" s="67">
        <f t="shared" si="11"/>
        <v>14.86591646371062</v>
      </c>
      <c r="G13" s="67">
        <f t="shared" si="11"/>
        <v>14.82072433627236</v>
      </c>
      <c r="H13" s="67">
        <f t="shared" si="11"/>
        <v>14.272144374054253</v>
      </c>
      <c r="I13" s="67">
        <f t="shared" si="11"/>
        <v>14.542198966047884</v>
      </c>
      <c r="J13" s="67">
        <f t="shared" si="11"/>
        <v>14.324986682549463</v>
      </c>
      <c r="K13" s="67">
        <f t="shared" si="11"/>
        <v>16.245055846967514</v>
      </c>
      <c r="L13" s="67">
        <f t="shared" si="11"/>
        <v>23.361650957065251</v>
      </c>
      <c r="M13" s="67">
        <f>M11*30/M12</f>
        <v>19.146856699827875</v>
      </c>
      <c r="N13" s="67">
        <f>N11*30/N12</f>
        <v>19.375161106048488</v>
      </c>
      <c r="O13" s="67">
        <f>O11*30/O12</f>
        <v>23.554862846512538</v>
      </c>
      <c r="P13" s="67">
        <f t="shared" ref="P13:U13" si="12">P11*30/P12</f>
        <v>21.500218456029589</v>
      </c>
      <c r="Q13" s="67">
        <f t="shared" si="12"/>
        <v>23.510475886343663</v>
      </c>
      <c r="R13" s="67">
        <f t="shared" si="12"/>
        <v>21.036325574176669</v>
      </c>
      <c r="S13" s="67">
        <f t="shared" si="12"/>
        <v>25.46344868140288</v>
      </c>
      <c r="T13" s="67">
        <f t="shared" si="12"/>
        <v>22.983370116239556</v>
      </c>
      <c r="U13" s="67">
        <f t="shared" si="12"/>
        <v>23.238851632986286</v>
      </c>
      <c r="V13" s="67">
        <f>V11*30/V12</f>
        <v>27.311832605274287</v>
      </c>
      <c r="W13" s="67">
        <f>W11*30/W12</f>
        <v>39.476979313627879</v>
      </c>
      <c r="X13" s="67">
        <f>X11*30/X12</f>
        <v>39.980799229128934</v>
      </c>
      <c r="Y13" s="67"/>
      <c r="Z13" s="67"/>
      <c r="AA13" s="67"/>
      <c r="AB13" s="67"/>
      <c r="AC13" s="67">
        <f>AC11*30/AC12</f>
        <v>17.651912358161557</v>
      </c>
      <c r="AD13" t="str">
        <f t="shared" si="2"/>
        <v>DIOH</v>
      </c>
      <c r="AE13" s="67">
        <f>D13</f>
        <v>19.259818839366122</v>
      </c>
      <c r="AF13" s="67">
        <f>G13</f>
        <v>14.82072433627236</v>
      </c>
      <c r="AG13" s="67">
        <f>J13</f>
        <v>14.324986682549463</v>
      </c>
      <c r="AH13" s="67">
        <f>M13</f>
        <v>19.146856699827875</v>
      </c>
      <c r="AI13" s="67">
        <f t="shared" si="7"/>
        <v>21.500218456029589</v>
      </c>
      <c r="AJ13" s="67">
        <f t="shared" si="7"/>
        <v>23.510475886343663</v>
      </c>
      <c r="AK13" s="67">
        <f>S13</f>
        <v>25.46344868140288</v>
      </c>
      <c r="AL13" s="67">
        <f t="shared" si="8"/>
        <v>23.238851632986286</v>
      </c>
      <c r="AM13" s="67">
        <f t="shared" si="8"/>
        <v>27.311832605274287</v>
      </c>
      <c r="AN13" s="67">
        <f t="shared" si="8"/>
        <v>39.476979313627879</v>
      </c>
      <c r="AO13" s="67">
        <f>X13</f>
        <v>39.980799229128934</v>
      </c>
      <c r="AP13" s="67"/>
      <c r="AQ13" s="67"/>
      <c r="AR13" s="67"/>
      <c r="AS13" s="67"/>
    </row>
    <row r="14" spans="1:45" x14ac:dyDescent="0.2">
      <c r="A14" t="s">
        <v>75</v>
      </c>
      <c r="B14" s="67">
        <v>10.494230665673998</v>
      </c>
      <c r="C14" s="67">
        <v>6.8934542928119074</v>
      </c>
      <c r="D14" s="67">
        <v>8.3779714040602347</v>
      </c>
      <c r="E14" s="67">
        <v>9.221038752852655</v>
      </c>
      <c r="F14" s="67">
        <v>11.05271447975873</v>
      </c>
      <c r="G14" s="67">
        <v>11.45844683732706</v>
      </c>
      <c r="H14" s="67">
        <v>11.251834235706278</v>
      </c>
      <c r="I14" s="67">
        <v>7.6260205206927303</v>
      </c>
      <c r="J14" s="67">
        <v>6.7947107586530935</v>
      </c>
      <c r="K14" s="67">
        <v>9.6170088428522913</v>
      </c>
      <c r="L14" s="67">
        <v>7.6782627137127086</v>
      </c>
      <c r="M14" s="67">
        <v>9.3535329218529508</v>
      </c>
      <c r="N14" s="67">
        <v>8.5139537685766733</v>
      </c>
      <c r="O14" s="67">
        <v>7.5742460398769591</v>
      </c>
      <c r="P14" s="67">
        <v>10.919345464518017</v>
      </c>
      <c r="Q14" s="67">
        <v>8.6326797911361517</v>
      </c>
      <c r="R14" s="67">
        <v>9.3084766898602549</v>
      </c>
      <c r="S14" s="67">
        <v>9.4292342547647809</v>
      </c>
      <c r="T14" s="67">
        <v>7.5511261669124448</v>
      </c>
      <c r="U14" s="67">
        <v>8.3268276359809228</v>
      </c>
      <c r="V14" s="67">
        <v>7.5928849999999999</v>
      </c>
      <c r="W14" s="67">
        <v>8.0224097723999996</v>
      </c>
      <c r="X14" s="67">
        <v>8.3734239146250005</v>
      </c>
      <c r="Y14" s="67"/>
      <c r="Z14" s="67"/>
      <c r="AA14" s="67"/>
      <c r="AB14" s="67"/>
      <c r="AC14" s="67">
        <f>AVERAGE(E14:P14)</f>
        <v>9.2550929446983439</v>
      </c>
      <c r="AD14" t="str">
        <f>A15</f>
        <v>Target</v>
      </c>
      <c r="AE14" s="67">
        <v>21</v>
      </c>
      <c r="AF14" s="67">
        <v>21</v>
      </c>
      <c r="AG14" s="67">
        <v>21</v>
      </c>
      <c r="AH14" s="67">
        <v>21</v>
      </c>
      <c r="AI14" s="69">
        <v>21</v>
      </c>
      <c r="AJ14" s="69">
        <v>21</v>
      </c>
      <c r="AK14" s="69">
        <v>21</v>
      </c>
      <c r="AL14" s="69">
        <v>21</v>
      </c>
      <c r="AM14" s="69">
        <v>21</v>
      </c>
      <c r="AN14" s="69">
        <v>21</v>
      </c>
      <c r="AO14" s="69">
        <v>21</v>
      </c>
      <c r="AP14" s="67"/>
      <c r="AQ14" s="67"/>
      <c r="AR14" s="67"/>
      <c r="AS14" s="67"/>
    </row>
    <row r="15" spans="1:45" x14ac:dyDescent="0.2">
      <c r="A15" t="s">
        <v>26</v>
      </c>
      <c r="B15" s="69"/>
      <c r="C15" s="69"/>
      <c r="D15" s="69">
        <v>21</v>
      </c>
      <c r="E15" s="69">
        <v>21</v>
      </c>
      <c r="F15" s="69">
        <v>21</v>
      </c>
      <c r="G15" s="69">
        <v>21</v>
      </c>
      <c r="H15" s="69">
        <v>21</v>
      </c>
      <c r="I15" s="69">
        <v>21</v>
      </c>
      <c r="J15" s="69">
        <v>21</v>
      </c>
      <c r="K15" s="69">
        <v>21</v>
      </c>
      <c r="L15" s="69">
        <v>21</v>
      </c>
      <c r="M15" s="69">
        <v>21</v>
      </c>
      <c r="N15" s="69">
        <v>21</v>
      </c>
      <c r="O15" s="69">
        <v>21</v>
      </c>
      <c r="P15" s="69">
        <v>21</v>
      </c>
      <c r="Q15" s="69">
        <v>21</v>
      </c>
      <c r="R15" s="69">
        <v>21</v>
      </c>
      <c r="S15" s="69">
        <v>21</v>
      </c>
      <c r="T15" s="69">
        <v>21</v>
      </c>
      <c r="U15" s="69">
        <v>21</v>
      </c>
      <c r="V15" s="69">
        <v>21</v>
      </c>
      <c r="W15" s="69">
        <v>21</v>
      </c>
      <c r="X15" s="69">
        <v>21</v>
      </c>
      <c r="Y15" s="69"/>
      <c r="Z15" s="69"/>
      <c r="AA15" s="69"/>
      <c r="AB15" s="69"/>
      <c r="AC15" s="69"/>
    </row>
    <row r="16" spans="1:45" x14ac:dyDescent="0.2">
      <c r="AC16" s="69"/>
    </row>
    <row r="17" spans="1:45" x14ac:dyDescent="0.2">
      <c r="AC17" s="69"/>
    </row>
    <row r="18" spans="1:45" x14ac:dyDescent="0.2">
      <c r="AC18" s="69"/>
    </row>
    <row r="19" spans="1:45" x14ac:dyDescent="0.2">
      <c r="AC19" s="69"/>
    </row>
    <row r="20" spans="1:45" x14ac:dyDescent="0.2">
      <c r="AC20" s="69"/>
    </row>
    <row r="21" spans="1:45" x14ac:dyDescent="0.2">
      <c r="AC21" s="69"/>
    </row>
    <row r="22" spans="1:45" x14ac:dyDescent="0.2">
      <c r="AC22" s="69"/>
    </row>
    <row r="23" spans="1:45" x14ac:dyDescent="0.2">
      <c r="AC23" s="69"/>
    </row>
    <row r="24" spans="1:45" x14ac:dyDescent="0.2">
      <c r="AC24" s="69"/>
    </row>
    <row r="25" spans="1:45" x14ac:dyDescent="0.2">
      <c r="A25" t="s">
        <v>77</v>
      </c>
      <c r="AC25" s="69"/>
    </row>
    <row r="26" spans="1:45" x14ac:dyDescent="0.2">
      <c r="A26" t="s">
        <v>31</v>
      </c>
      <c r="B26" t="s">
        <v>32</v>
      </c>
      <c r="C26" t="s">
        <v>33</v>
      </c>
      <c r="D26" t="s">
        <v>34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38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P26" t="s">
        <v>20</v>
      </c>
      <c r="Q26" s="69" t="s">
        <v>336</v>
      </c>
      <c r="R26" s="69" t="s">
        <v>337</v>
      </c>
      <c r="S26" s="69" t="s">
        <v>338</v>
      </c>
      <c r="T26" s="69" t="s">
        <v>339</v>
      </c>
      <c r="U26" s="69" t="str">
        <f>U4</f>
        <v>Aug' 16</v>
      </c>
      <c r="V26" s="69" t="str">
        <f>V4</f>
        <v>Sept' 16</v>
      </c>
      <c r="W26" s="69" t="str">
        <f>W4</f>
        <v>Oct' 16</v>
      </c>
      <c r="X26" s="69" t="str">
        <f>X4</f>
        <v>Nov' 16</v>
      </c>
      <c r="AC26" s="69"/>
      <c r="AD26" t="str">
        <f>A26</f>
        <v>Total Inventory</v>
      </c>
      <c r="AE26" s="67" t="str">
        <f>D26</f>
        <v>Mar' 15</v>
      </c>
      <c r="AF26" s="67" t="str">
        <f>G26</f>
        <v>Jun' 15</v>
      </c>
      <c r="AG26" s="67" t="str">
        <f>J26</f>
        <v>Sept' 15</v>
      </c>
      <c r="AH26" s="67" t="str">
        <f>M26</f>
        <v>Dec' 15</v>
      </c>
      <c r="AI26" s="69" t="str">
        <f t="shared" ref="AI26:AJ29" si="13">P26</f>
        <v>Mar' 16</v>
      </c>
      <c r="AJ26" s="69" t="str">
        <f t="shared" si="13"/>
        <v>Apr' 16</v>
      </c>
      <c r="AK26" s="69" t="str">
        <f>S26</f>
        <v>Jun' 16</v>
      </c>
      <c r="AL26" s="69" t="str">
        <f t="shared" ref="AL26:AO29" si="14">U26</f>
        <v>Aug' 16</v>
      </c>
      <c r="AM26" s="69" t="str">
        <f t="shared" si="14"/>
        <v>Sept' 16</v>
      </c>
      <c r="AN26" s="69" t="str">
        <f t="shared" si="14"/>
        <v>Oct' 16</v>
      </c>
      <c r="AO26" s="69" t="str">
        <f t="shared" si="14"/>
        <v>Nov' 16</v>
      </c>
      <c r="AP26" s="67"/>
      <c r="AQ26" s="67"/>
      <c r="AR26" s="67"/>
      <c r="AS26" s="67"/>
    </row>
    <row r="27" spans="1:45" x14ac:dyDescent="0.2">
      <c r="A27" t="s">
        <v>84</v>
      </c>
      <c r="B27" s="67"/>
      <c r="C27" s="67"/>
      <c r="D27" s="67">
        <v>5.860400739000001</v>
      </c>
      <c r="E27" s="67">
        <v>5.4402268440000023</v>
      </c>
      <c r="F27" s="67">
        <v>6.3725611709999956</v>
      </c>
      <c r="G27" s="67">
        <v>6.1455136440000029</v>
      </c>
      <c r="H27" s="67">
        <v>5.3685221310000015</v>
      </c>
      <c r="I27" s="67">
        <v>6.4668693189999988</v>
      </c>
      <c r="J27" s="67">
        <v>6.0275370510000013</v>
      </c>
      <c r="K27" s="67">
        <v>6.3568963750000069</v>
      </c>
      <c r="L27" s="67">
        <v>6.3239556269999966</v>
      </c>
      <c r="M27" s="67">
        <v>6.0384464879999999</v>
      </c>
      <c r="N27" s="67">
        <v>4.8126135679999997</v>
      </c>
      <c r="O27" s="67">
        <v>5.490667253999999</v>
      </c>
      <c r="P27" s="67">
        <v>6.0532744899999962</v>
      </c>
      <c r="Q27" s="67">
        <v>6.5476344319999953</v>
      </c>
      <c r="R27" s="67">
        <v>6.0696808189999905</v>
      </c>
      <c r="S27" s="67">
        <v>4.956152895999999</v>
      </c>
      <c r="T27" s="67">
        <v>5.1092138309999973</v>
      </c>
      <c r="U27" s="67">
        <v>5.8640044229999981</v>
      </c>
      <c r="V27" s="67">
        <v>7.1815696680000034</v>
      </c>
      <c r="W27" s="67">
        <v>6.97113870799999</v>
      </c>
      <c r="X27" s="67">
        <v>7.9805986830000002</v>
      </c>
      <c r="Y27" s="67"/>
      <c r="Z27" s="67"/>
      <c r="AA27" s="67"/>
      <c r="AB27" s="67"/>
      <c r="AC27" s="67">
        <f>AVERAGE(E27:P27)</f>
        <v>5.9080903301666661</v>
      </c>
      <c r="AD27" t="str">
        <f>A27</f>
        <v>PM Total Inventory</v>
      </c>
      <c r="AE27" s="67">
        <f>D27</f>
        <v>5.860400739000001</v>
      </c>
      <c r="AF27" s="67">
        <f>G27</f>
        <v>6.1455136440000029</v>
      </c>
      <c r="AG27" s="67">
        <f>J27</f>
        <v>6.0275370510000013</v>
      </c>
      <c r="AH27" s="67">
        <f>M27</f>
        <v>6.0384464879999999</v>
      </c>
      <c r="AI27" s="67">
        <f t="shared" si="13"/>
        <v>6.0532744899999962</v>
      </c>
      <c r="AJ27" s="67">
        <f t="shared" si="13"/>
        <v>6.5476344319999953</v>
      </c>
      <c r="AK27" s="67">
        <f>S27</f>
        <v>4.956152895999999</v>
      </c>
      <c r="AL27" s="67">
        <f t="shared" si="14"/>
        <v>5.8640044229999981</v>
      </c>
      <c r="AM27" s="67">
        <f t="shared" si="14"/>
        <v>7.1815696680000034</v>
      </c>
      <c r="AN27" s="67">
        <f t="shared" si="14"/>
        <v>6.97113870799999</v>
      </c>
      <c r="AO27" s="67">
        <f>X27</f>
        <v>7.9805986830000002</v>
      </c>
      <c r="AP27" s="67"/>
      <c r="AQ27" s="67"/>
      <c r="AR27" s="67"/>
      <c r="AS27" s="67"/>
    </row>
    <row r="28" spans="1:45" x14ac:dyDescent="0.2">
      <c r="A28" t="s">
        <v>79</v>
      </c>
      <c r="B28" s="67"/>
      <c r="C28" s="67"/>
      <c r="D28" s="67">
        <f t="shared" ref="D28:J28" si="15">AVERAGE(B30:D30)</f>
        <v>6.1442103233494576</v>
      </c>
      <c r="E28" s="67">
        <f t="shared" si="15"/>
        <v>5.7361355374703367</v>
      </c>
      <c r="F28" s="67">
        <f t="shared" si="15"/>
        <v>6.4660631090145388</v>
      </c>
      <c r="G28" s="67">
        <f t="shared" si="15"/>
        <v>6.9255002335440663</v>
      </c>
      <c r="H28" s="67">
        <f t="shared" si="15"/>
        <v>7.0404768905750261</v>
      </c>
      <c r="I28" s="67">
        <f t="shared" si="15"/>
        <v>6.3032165027335489</v>
      </c>
      <c r="J28" s="67">
        <f t="shared" si="15"/>
        <v>5.4295531319488903</v>
      </c>
      <c r="K28" s="67">
        <f>AVERAGE(I30:K30)</f>
        <v>5.4339119776702161</v>
      </c>
      <c r="L28" s="67">
        <f>AVERAGE(J30:L30)</f>
        <v>5.921439807211911</v>
      </c>
      <c r="M28" s="67">
        <f>AVERAGE(K30:M30)</f>
        <v>6.2531919614026998</v>
      </c>
      <c r="N28" s="67">
        <f t="shared" ref="N28:X28" si="16">AVERAGE(L30:N30)</f>
        <v>5.8023734942284735</v>
      </c>
      <c r="O28" s="67">
        <f t="shared" si="16"/>
        <v>5.4450325496678289</v>
      </c>
      <c r="P28" s="67">
        <f t="shared" si="16"/>
        <v>5.6370482287903654</v>
      </c>
      <c r="Q28" s="67">
        <f t="shared" si="16"/>
        <v>5.8195507574368994</v>
      </c>
      <c r="R28" s="67">
        <f t="shared" si="16"/>
        <v>6.1166846306039746</v>
      </c>
      <c r="S28" s="67">
        <f t="shared" si="16"/>
        <v>5.903770629213053</v>
      </c>
      <c r="T28" s="67">
        <f t="shared" si="16"/>
        <v>5.8376954600820135</v>
      </c>
      <c r="U28" s="67">
        <f t="shared" si="16"/>
        <v>5.7970690826767806</v>
      </c>
      <c r="V28" s="67">
        <f t="shared" si="16"/>
        <v>5.4213268885113566</v>
      </c>
      <c r="W28" s="67">
        <f t="shared" si="16"/>
        <v>5.2966103979615875</v>
      </c>
      <c r="X28" s="67">
        <f t="shared" si="16"/>
        <v>5.2266666666666675</v>
      </c>
      <c r="Y28" s="67"/>
      <c r="Z28" s="67"/>
      <c r="AA28" s="67"/>
      <c r="AB28" s="67"/>
      <c r="AC28" s="67">
        <f>AVERAGE(E28:P28)</f>
        <v>6.0328286186881579</v>
      </c>
      <c r="AD28" t="str">
        <f>A28</f>
        <v>Avg PM Consum</v>
      </c>
      <c r="AE28" s="67">
        <f>D28</f>
        <v>6.1442103233494576</v>
      </c>
      <c r="AF28" s="67">
        <f>G28</f>
        <v>6.9255002335440663</v>
      </c>
      <c r="AG28" s="67">
        <f>J28</f>
        <v>5.4295531319488903</v>
      </c>
      <c r="AH28" s="67">
        <f>M28</f>
        <v>6.2531919614026998</v>
      </c>
      <c r="AI28" s="67">
        <f t="shared" si="13"/>
        <v>5.6370482287903654</v>
      </c>
      <c r="AJ28" s="67">
        <f t="shared" si="13"/>
        <v>5.8195507574368994</v>
      </c>
      <c r="AK28" s="67">
        <f>S28</f>
        <v>5.903770629213053</v>
      </c>
      <c r="AL28" s="67">
        <f t="shared" si="14"/>
        <v>5.7970690826767806</v>
      </c>
      <c r="AM28" s="67">
        <f t="shared" si="14"/>
        <v>5.4213268885113566</v>
      </c>
      <c r="AN28" s="67">
        <f t="shared" si="14"/>
        <v>5.2966103979615875</v>
      </c>
      <c r="AO28" s="67">
        <f>X28</f>
        <v>5.2266666666666675</v>
      </c>
      <c r="AP28" s="67"/>
      <c r="AQ28" s="67"/>
      <c r="AR28" s="67"/>
      <c r="AS28" s="67"/>
    </row>
    <row r="29" spans="1:45" x14ac:dyDescent="0.2">
      <c r="A29" t="s">
        <v>39</v>
      </c>
      <c r="B29" s="67"/>
      <c r="C29" s="67"/>
      <c r="D29" s="67">
        <f>D27*30/D28</f>
        <v>28.614258451061257</v>
      </c>
      <c r="E29" s="67">
        <f t="shared" ref="E29:K29" si="17">E27*30/E28</f>
        <v>28.452396958523586</v>
      </c>
      <c r="F29" s="67">
        <f t="shared" si="17"/>
        <v>29.566187633318073</v>
      </c>
      <c r="G29" s="67">
        <f t="shared" si="17"/>
        <v>26.621240791678183</v>
      </c>
      <c r="H29" s="67">
        <f t="shared" si="17"/>
        <v>22.87567538863776</v>
      </c>
      <c r="I29" s="67">
        <f t="shared" si="17"/>
        <v>30.778901452276681</v>
      </c>
      <c r="J29" s="67">
        <f t="shared" si="17"/>
        <v>33.304050468900023</v>
      </c>
      <c r="K29" s="67">
        <f t="shared" si="17"/>
        <v>35.095690182998801</v>
      </c>
      <c r="L29" s="67">
        <f t="shared" ref="L29:X29" si="18">L27*30/L28</f>
        <v>32.039280139086351</v>
      </c>
      <c r="M29" s="67">
        <f t="shared" si="18"/>
        <v>28.969747891661417</v>
      </c>
      <c r="N29" s="67">
        <f t="shared" si="18"/>
        <v>24.882646245301313</v>
      </c>
      <c r="O29" s="67">
        <f t="shared" si="18"/>
        <v>30.251429374843429</v>
      </c>
      <c r="P29" s="67">
        <f t="shared" si="18"/>
        <v>32.215128792497211</v>
      </c>
      <c r="Q29" s="67">
        <f t="shared" si="18"/>
        <v>33.753298346780461</v>
      </c>
      <c r="R29" s="67">
        <f t="shared" si="18"/>
        <v>29.769464271369461</v>
      </c>
      <c r="S29" s="67">
        <f t="shared" si="18"/>
        <v>25.184682166390161</v>
      </c>
      <c r="T29" s="67">
        <f t="shared" si="18"/>
        <v>26.256322546816541</v>
      </c>
      <c r="U29" s="67">
        <f t="shared" si="18"/>
        <v>30.346392320163506</v>
      </c>
      <c r="V29" s="67">
        <f t="shared" si="18"/>
        <v>39.740656571837853</v>
      </c>
      <c r="W29" s="67">
        <f t="shared" si="18"/>
        <v>39.484527938941</v>
      </c>
      <c r="X29" s="67">
        <f t="shared" si="18"/>
        <v>45.807007746811223</v>
      </c>
      <c r="Y29" s="67"/>
      <c r="Z29" s="67"/>
      <c r="AA29" s="67"/>
      <c r="AB29" s="67"/>
      <c r="AC29" s="67">
        <f>AC27*30/AC28</f>
        <v>29.379702475874659</v>
      </c>
      <c r="AD29" t="str">
        <f>A29</f>
        <v>DIOH</v>
      </c>
      <c r="AE29" s="67">
        <f>D29</f>
        <v>28.614258451061257</v>
      </c>
      <c r="AF29" s="67">
        <f>G29</f>
        <v>26.621240791678183</v>
      </c>
      <c r="AG29" s="67">
        <f>J29</f>
        <v>33.304050468900023</v>
      </c>
      <c r="AH29" s="67">
        <f>M29</f>
        <v>28.969747891661417</v>
      </c>
      <c r="AI29" s="67">
        <f t="shared" si="13"/>
        <v>32.215128792497211</v>
      </c>
      <c r="AJ29" s="67">
        <f t="shared" si="13"/>
        <v>33.753298346780461</v>
      </c>
      <c r="AK29" s="67">
        <f>S29</f>
        <v>25.184682166390161</v>
      </c>
      <c r="AL29" s="67">
        <f t="shared" si="14"/>
        <v>30.346392320163506</v>
      </c>
      <c r="AM29" s="67">
        <f t="shared" si="14"/>
        <v>39.740656571837853</v>
      </c>
      <c r="AN29" s="67">
        <f t="shared" si="14"/>
        <v>39.484527938941</v>
      </c>
      <c r="AO29" s="67">
        <f>X29</f>
        <v>45.807007746811223</v>
      </c>
      <c r="AP29" s="67"/>
      <c r="AQ29" s="67"/>
      <c r="AR29" s="67"/>
      <c r="AS29" s="67"/>
    </row>
    <row r="30" spans="1:45" x14ac:dyDescent="0.2">
      <c r="A30" t="s">
        <v>80</v>
      </c>
      <c r="B30" s="67">
        <v>7.4035406440060036</v>
      </c>
      <c r="C30" s="67">
        <v>4.8117465005479119</v>
      </c>
      <c r="D30" s="67">
        <v>6.2173438254944546</v>
      </c>
      <c r="E30" s="67">
        <v>6.1793162863686444</v>
      </c>
      <c r="F30" s="67">
        <v>7.0015292151805202</v>
      </c>
      <c r="G30" s="67">
        <v>7.5956551990830317</v>
      </c>
      <c r="H30" s="67">
        <v>6.5242462574615256</v>
      </c>
      <c r="I30" s="67">
        <v>4.7897480516560895</v>
      </c>
      <c r="J30" s="67">
        <v>4.9746650867290585</v>
      </c>
      <c r="K30" s="67">
        <v>6.5373227946254993</v>
      </c>
      <c r="L30" s="67">
        <v>6.2523315402811761</v>
      </c>
      <c r="M30" s="67">
        <v>5.9699215493014259</v>
      </c>
      <c r="N30" s="67">
        <v>5.1848673931028211</v>
      </c>
      <c r="O30" s="67">
        <v>5.1803087065992406</v>
      </c>
      <c r="P30" s="67">
        <v>6.5459685866690354</v>
      </c>
      <c r="Q30" s="67">
        <v>5.7323749790424232</v>
      </c>
      <c r="R30" s="67">
        <v>6.0717103261004661</v>
      </c>
      <c r="S30" s="67">
        <v>5.9072265824962695</v>
      </c>
      <c r="T30" s="67">
        <v>5.5341494716493047</v>
      </c>
      <c r="U30" s="67">
        <v>5.9498311938847639</v>
      </c>
      <c r="V30" s="67">
        <v>4.78</v>
      </c>
      <c r="W30" s="67">
        <v>5.16</v>
      </c>
      <c r="X30" s="67">
        <v>5.74</v>
      </c>
      <c r="Y30" s="67"/>
      <c r="Z30" s="67"/>
      <c r="AA30" s="67"/>
      <c r="AB30" s="67"/>
      <c r="AC30" s="67">
        <f>AVERAGE(E30:P30)</f>
        <v>6.0613233889215055</v>
      </c>
      <c r="AD30" t="str">
        <f>A31</f>
        <v>Target</v>
      </c>
      <c r="AE30" s="67">
        <f>D31</f>
        <v>15</v>
      </c>
      <c r="AF30" s="67">
        <f>E31</f>
        <v>15</v>
      </c>
      <c r="AG30" s="67">
        <f>F31</f>
        <v>15</v>
      </c>
      <c r="AH30" s="67">
        <f>G31</f>
        <v>15</v>
      </c>
      <c r="AI30" s="69">
        <f>P31</f>
        <v>15</v>
      </c>
      <c r="AJ30" s="69">
        <f>Q31</f>
        <v>15</v>
      </c>
      <c r="AK30" s="69">
        <f>R31</f>
        <v>15</v>
      </c>
      <c r="AL30" s="69">
        <f>U31</f>
        <v>15</v>
      </c>
      <c r="AM30" s="69">
        <f>V31</f>
        <v>15</v>
      </c>
      <c r="AN30" s="69">
        <f>W31</f>
        <v>15</v>
      </c>
      <c r="AO30" s="69">
        <f>X31</f>
        <v>15</v>
      </c>
      <c r="AP30" s="67"/>
      <c r="AQ30" s="67"/>
      <c r="AR30" s="67"/>
      <c r="AS30" s="67"/>
    </row>
    <row r="31" spans="1:45" x14ac:dyDescent="0.2">
      <c r="A31" t="s">
        <v>26</v>
      </c>
      <c r="B31" s="69"/>
      <c r="C31" s="69"/>
      <c r="D31" s="69">
        <v>15</v>
      </c>
      <c r="E31" s="69">
        <v>15</v>
      </c>
      <c r="F31" s="69">
        <v>15</v>
      </c>
      <c r="G31" s="69">
        <v>15</v>
      </c>
      <c r="H31" s="69">
        <v>15</v>
      </c>
      <c r="I31" s="69">
        <v>15</v>
      </c>
      <c r="J31" s="69">
        <v>15</v>
      </c>
      <c r="K31" s="69">
        <v>15</v>
      </c>
      <c r="L31" s="69">
        <v>15</v>
      </c>
      <c r="M31" s="69">
        <v>15</v>
      </c>
      <c r="N31" s="69">
        <v>15</v>
      </c>
      <c r="O31" s="69">
        <v>15</v>
      </c>
      <c r="P31" s="69">
        <v>15</v>
      </c>
      <c r="Q31" s="69">
        <v>15</v>
      </c>
      <c r="R31" s="69">
        <v>15</v>
      </c>
      <c r="S31" s="69">
        <v>15</v>
      </c>
      <c r="T31" s="69">
        <v>15</v>
      </c>
      <c r="U31" s="69">
        <v>15</v>
      </c>
      <c r="V31" s="69">
        <v>15</v>
      </c>
      <c r="W31" s="69">
        <v>15</v>
      </c>
      <c r="X31" s="69">
        <v>15</v>
      </c>
      <c r="Y31" s="69"/>
      <c r="Z31" s="69"/>
      <c r="AA31" s="69"/>
      <c r="AB31" s="69"/>
      <c r="AC31" s="69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</row>
    <row r="32" spans="1:45" x14ac:dyDescent="0.2">
      <c r="A32" t="s">
        <v>76</v>
      </c>
      <c r="B32" t="s">
        <v>32</v>
      </c>
      <c r="C32" t="s">
        <v>33</v>
      </c>
      <c r="D32" t="s">
        <v>34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38</v>
      </c>
      <c r="K32" t="s">
        <v>15</v>
      </c>
      <c r="L32" t="s">
        <v>16</v>
      </c>
      <c r="M32" t="s">
        <v>17</v>
      </c>
      <c r="N32" t="s">
        <v>18</v>
      </c>
      <c r="O32" t="s">
        <v>19</v>
      </c>
      <c r="P32" t="s">
        <v>20</v>
      </c>
      <c r="Q32" s="69" t="s">
        <v>336</v>
      </c>
      <c r="R32" s="69" t="s">
        <v>337</v>
      </c>
      <c r="S32" s="69" t="s">
        <v>338</v>
      </c>
      <c r="T32" s="69" t="s">
        <v>339</v>
      </c>
      <c r="U32" s="69" t="str">
        <f>U26</f>
        <v>Aug' 16</v>
      </c>
      <c r="V32" s="69" t="str">
        <f>V26</f>
        <v>Sept' 16</v>
      </c>
      <c r="W32" s="69" t="str">
        <f>W26</f>
        <v>Oct' 16</v>
      </c>
      <c r="X32" s="69" t="str">
        <f>X26</f>
        <v>Nov' 16</v>
      </c>
      <c r="AC32" s="69"/>
      <c r="AD32" t="str">
        <f>A32</f>
        <v>Moving Inventory</v>
      </c>
      <c r="AE32" s="67" t="str">
        <f>D32</f>
        <v>Mar' 15</v>
      </c>
      <c r="AF32" s="67" t="str">
        <f>G32</f>
        <v>Jun' 15</v>
      </c>
      <c r="AG32" s="67" t="str">
        <f>J32</f>
        <v>Sept' 15</v>
      </c>
      <c r="AH32" s="67" t="str">
        <f>M32</f>
        <v>Dec' 15</v>
      </c>
      <c r="AI32" s="69" t="str">
        <f t="shared" ref="AI32:AJ35" si="19">P32</f>
        <v>Mar' 16</v>
      </c>
      <c r="AJ32" s="69" t="str">
        <f t="shared" si="19"/>
        <v>Apr' 16</v>
      </c>
      <c r="AK32" s="69" t="str">
        <f>S32</f>
        <v>Jun' 16</v>
      </c>
      <c r="AL32" s="69" t="str">
        <f t="shared" ref="AL32:AO35" si="20">U32</f>
        <v>Aug' 16</v>
      </c>
      <c r="AM32" s="69" t="str">
        <f t="shared" si="20"/>
        <v>Sept' 16</v>
      </c>
      <c r="AN32" s="69" t="str">
        <f t="shared" si="20"/>
        <v>Oct' 16</v>
      </c>
      <c r="AO32" s="69" t="str">
        <f t="shared" si="20"/>
        <v>Nov' 16</v>
      </c>
      <c r="AP32" s="67"/>
      <c r="AQ32" s="67"/>
      <c r="AR32" s="67"/>
      <c r="AS32" s="67"/>
    </row>
    <row r="33" spans="1:45" x14ac:dyDescent="0.2">
      <c r="A33" t="s">
        <v>85</v>
      </c>
      <c r="B33" s="67"/>
      <c r="C33" s="67"/>
      <c r="D33" s="67">
        <v>3.9614045660000001</v>
      </c>
      <c r="E33" s="67">
        <v>3.8458551369999991</v>
      </c>
      <c r="F33" s="67">
        <v>4.556292008999999</v>
      </c>
      <c r="G33" s="67">
        <v>4.4099270010000025</v>
      </c>
      <c r="H33" s="67">
        <v>2.713936359999999</v>
      </c>
      <c r="I33" s="67">
        <v>3.2180275429999998</v>
      </c>
      <c r="J33" s="67">
        <v>3.6325173630000003</v>
      </c>
      <c r="K33" s="67">
        <v>3.7703462990000021</v>
      </c>
      <c r="L33" s="67">
        <v>4.2494213539999963</v>
      </c>
      <c r="M33" s="67">
        <v>4.189911921000002</v>
      </c>
      <c r="N33" s="67">
        <v>2.989062884</v>
      </c>
      <c r="O33" s="67">
        <v>3.5102090859999984</v>
      </c>
      <c r="P33" s="67">
        <v>4.0837828139999957</v>
      </c>
      <c r="Q33" s="67">
        <v>4.2535311149999941</v>
      </c>
      <c r="R33" s="67">
        <v>3.7723221009999874</v>
      </c>
      <c r="S33" s="67">
        <v>2.7510270959999996</v>
      </c>
      <c r="T33" s="67">
        <v>3.0847435229999962</v>
      </c>
      <c r="U33" s="67">
        <v>3.994995267999998</v>
      </c>
      <c r="V33" s="67">
        <v>5.0450595070000013</v>
      </c>
      <c r="W33" s="67">
        <v>4.6214336589999903</v>
      </c>
      <c r="X33" s="67">
        <v>5.3820250400000003</v>
      </c>
      <c r="Y33" s="67"/>
      <c r="Z33" s="67"/>
      <c r="AA33" s="67"/>
      <c r="AB33" s="67"/>
      <c r="AC33" s="67">
        <f>AVERAGE(E33:P33)</f>
        <v>3.7641074809166661</v>
      </c>
      <c r="AD33" t="str">
        <f>A33</f>
        <v>PM Moving Inventory</v>
      </c>
      <c r="AE33" s="67">
        <f>D33</f>
        <v>3.9614045660000001</v>
      </c>
      <c r="AF33" s="67">
        <f>G33</f>
        <v>4.4099270010000025</v>
      </c>
      <c r="AG33" s="67">
        <f>J33</f>
        <v>3.6325173630000003</v>
      </c>
      <c r="AH33" s="67">
        <f>M33</f>
        <v>4.189911921000002</v>
      </c>
      <c r="AI33" s="67">
        <f t="shared" si="19"/>
        <v>4.0837828139999957</v>
      </c>
      <c r="AJ33" s="67">
        <f t="shared" si="19"/>
        <v>4.2535311149999941</v>
      </c>
      <c r="AK33" s="67">
        <f>S33</f>
        <v>2.7510270959999996</v>
      </c>
      <c r="AL33" s="67">
        <f t="shared" si="20"/>
        <v>3.994995267999998</v>
      </c>
      <c r="AM33" s="67">
        <f t="shared" si="20"/>
        <v>5.0450595070000013</v>
      </c>
      <c r="AN33" s="67">
        <f t="shared" si="20"/>
        <v>4.6214336589999903</v>
      </c>
      <c r="AO33" s="67">
        <f>X33</f>
        <v>5.3820250400000003</v>
      </c>
      <c r="AP33" s="67"/>
      <c r="AQ33" s="67"/>
      <c r="AR33" s="67"/>
      <c r="AS33" s="67"/>
    </row>
    <row r="34" spans="1:45" x14ac:dyDescent="0.2">
      <c r="A34" t="s">
        <v>79</v>
      </c>
      <c r="B34" s="67"/>
      <c r="C34" s="67"/>
      <c r="D34" s="67">
        <f t="shared" ref="D34:J34" si="21">AVERAGE(B36:D36)</f>
        <v>6.1442103233494576</v>
      </c>
      <c r="E34" s="67">
        <f t="shared" si="21"/>
        <v>5.7361355374703367</v>
      </c>
      <c r="F34" s="67">
        <f t="shared" si="21"/>
        <v>6.4660631090145388</v>
      </c>
      <c r="G34" s="67">
        <f t="shared" si="21"/>
        <v>6.9255002335440663</v>
      </c>
      <c r="H34" s="67">
        <f t="shared" si="21"/>
        <v>7.0404768905750261</v>
      </c>
      <c r="I34" s="67">
        <f t="shared" si="21"/>
        <v>6.3032165027335489</v>
      </c>
      <c r="J34" s="67">
        <f t="shared" si="21"/>
        <v>5.4295531319488903</v>
      </c>
      <c r="K34" s="67">
        <f>AVERAGE(I36:K36)</f>
        <v>5.4339119776702161</v>
      </c>
      <c r="L34" s="67">
        <f t="shared" ref="L34:X34" si="22">AVERAGE(J36:L36)</f>
        <v>5.921439807211911</v>
      </c>
      <c r="M34" s="67">
        <f t="shared" si="22"/>
        <v>6.2531919614026998</v>
      </c>
      <c r="N34" s="67">
        <f t="shared" si="22"/>
        <v>5.8023734942284735</v>
      </c>
      <c r="O34" s="67">
        <f t="shared" si="22"/>
        <v>5.4450325496678289</v>
      </c>
      <c r="P34" s="67">
        <f t="shared" si="22"/>
        <v>5.6370482287903654</v>
      </c>
      <c r="Q34" s="67">
        <f t="shared" si="22"/>
        <v>5.8195507574368994</v>
      </c>
      <c r="R34" s="67">
        <f t="shared" si="22"/>
        <v>6.1166846306039746</v>
      </c>
      <c r="S34" s="67">
        <f t="shared" si="22"/>
        <v>5.903770629213053</v>
      </c>
      <c r="T34" s="67">
        <f t="shared" si="22"/>
        <v>5.8376954600820135</v>
      </c>
      <c r="U34" s="67">
        <f t="shared" si="22"/>
        <v>5.7970690826767806</v>
      </c>
      <c r="V34" s="67">
        <f t="shared" si="22"/>
        <v>5.4213268885113566</v>
      </c>
      <c r="W34" s="67">
        <f t="shared" si="22"/>
        <v>5.2966103979615875</v>
      </c>
      <c r="X34" s="67">
        <f t="shared" si="22"/>
        <v>5.2266666666666675</v>
      </c>
      <c r="Y34" s="67"/>
      <c r="Z34" s="67"/>
      <c r="AA34" s="67"/>
      <c r="AB34" s="67"/>
      <c r="AC34" s="67">
        <f>AVERAGE(E34:P34)</f>
        <v>6.0328286186881579</v>
      </c>
      <c r="AD34" t="str">
        <f>A34</f>
        <v>Avg PM Consum</v>
      </c>
      <c r="AE34" s="67">
        <f>D34</f>
        <v>6.1442103233494576</v>
      </c>
      <c r="AF34" s="67">
        <f>G34</f>
        <v>6.9255002335440663</v>
      </c>
      <c r="AG34" s="67">
        <f>J34</f>
        <v>5.4295531319488903</v>
      </c>
      <c r="AH34" s="67">
        <f>M34</f>
        <v>6.2531919614026998</v>
      </c>
      <c r="AI34" s="67">
        <f t="shared" si="19"/>
        <v>5.6370482287903654</v>
      </c>
      <c r="AJ34" s="67">
        <f t="shared" si="19"/>
        <v>5.8195507574368994</v>
      </c>
      <c r="AK34" s="67">
        <f>S34</f>
        <v>5.903770629213053</v>
      </c>
      <c r="AL34" s="67">
        <f t="shared" si="20"/>
        <v>5.7970690826767806</v>
      </c>
      <c r="AM34" s="67">
        <f t="shared" si="20"/>
        <v>5.4213268885113566</v>
      </c>
      <c r="AN34" s="67">
        <f t="shared" si="20"/>
        <v>5.2966103979615875</v>
      </c>
      <c r="AO34" s="67">
        <f>X34</f>
        <v>5.2266666666666675</v>
      </c>
      <c r="AP34" s="67"/>
      <c r="AQ34" s="67"/>
      <c r="AR34" s="67"/>
      <c r="AS34" s="67"/>
    </row>
    <row r="35" spans="1:45" x14ac:dyDescent="0.2">
      <c r="A35" t="s">
        <v>39</v>
      </c>
      <c r="B35" s="67"/>
      <c r="C35" s="67"/>
      <c r="D35" s="67">
        <f>D33*30/D34</f>
        <v>19.342133606392295</v>
      </c>
      <c r="E35" s="67">
        <f t="shared" ref="E35:L35" si="23">E33*30/E34</f>
        <v>20.113829834795219</v>
      </c>
      <c r="F35" s="67">
        <f t="shared" si="23"/>
        <v>21.139410173624494</v>
      </c>
      <c r="G35" s="67">
        <f t="shared" si="23"/>
        <v>19.102996977634611</v>
      </c>
      <c r="H35" s="67">
        <f t="shared" si="23"/>
        <v>11.564286349550137</v>
      </c>
      <c r="I35" s="67">
        <f t="shared" si="23"/>
        <v>15.316120943669416</v>
      </c>
      <c r="J35" s="67">
        <f t="shared" si="23"/>
        <v>20.070808451760044</v>
      </c>
      <c r="K35" s="67">
        <f t="shared" si="23"/>
        <v>20.815646155993868</v>
      </c>
      <c r="L35" s="67">
        <f t="shared" si="23"/>
        <v>21.528993753298767</v>
      </c>
      <c r="M35" s="67">
        <f t="shared" ref="M35:T35" si="24">M33*30/M34</f>
        <v>20.101311203279284</v>
      </c>
      <c r="N35" s="67">
        <f t="shared" si="24"/>
        <v>15.454345813690754</v>
      </c>
      <c r="O35" s="67">
        <f t="shared" si="24"/>
        <v>19.339879352314266</v>
      </c>
      <c r="P35" s="67">
        <f t="shared" si="24"/>
        <v>21.733623600075109</v>
      </c>
      <c r="Q35" s="67">
        <f t="shared" si="24"/>
        <v>21.927110660033357</v>
      </c>
      <c r="R35" s="67">
        <f t="shared" si="24"/>
        <v>18.501797928860199</v>
      </c>
      <c r="S35" s="67">
        <f t="shared" si="24"/>
        <v>13.979339317760891</v>
      </c>
      <c r="T35" s="67">
        <f t="shared" si="24"/>
        <v>15.852540839583257</v>
      </c>
      <c r="U35" s="67">
        <f>U33*30/U34</f>
        <v>20.67421594097333</v>
      </c>
      <c r="V35" s="67">
        <f>V33*30/V34</f>
        <v>27.917848955158604</v>
      </c>
      <c r="W35" s="67">
        <f>W33*30/W34</f>
        <v>26.175799115478984</v>
      </c>
      <c r="X35" s="67">
        <f>X33*30/X34</f>
        <v>30.891725357142853</v>
      </c>
      <c r="Y35" s="67"/>
      <c r="Z35" s="67"/>
      <c r="AA35" s="67"/>
      <c r="AB35" s="67"/>
      <c r="AC35" s="67">
        <f>AC33*30/AC34</f>
        <v>18.71812238751367</v>
      </c>
      <c r="AD35" t="str">
        <f>A35</f>
        <v>DIOH</v>
      </c>
      <c r="AE35" s="67">
        <f>D35</f>
        <v>19.342133606392295</v>
      </c>
      <c r="AF35" s="67">
        <f>G35</f>
        <v>19.102996977634611</v>
      </c>
      <c r="AG35" s="67">
        <f>J35</f>
        <v>20.070808451760044</v>
      </c>
      <c r="AH35" s="67">
        <f>M35</f>
        <v>20.101311203279284</v>
      </c>
      <c r="AI35" s="67">
        <f t="shared" si="19"/>
        <v>21.733623600075109</v>
      </c>
      <c r="AJ35" s="67">
        <f t="shared" si="19"/>
        <v>21.927110660033357</v>
      </c>
      <c r="AK35" s="67">
        <f>S35</f>
        <v>13.979339317760891</v>
      </c>
      <c r="AL35" s="67">
        <f t="shared" si="20"/>
        <v>20.67421594097333</v>
      </c>
      <c r="AM35" s="67">
        <f t="shared" si="20"/>
        <v>27.917848955158604</v>
      </c>
      <c r="AN35" s="67">
        <f t="shared" si="20"/>
        <v>26.175799115478984</v>
      </c>
      <c r="AO35" s="67">
        <f>X35</f>
        <v>30.891725357142853</v>
      </c>
      <c r="AP35" s="67"/>
      <c r="AQ35" s="67"/>
      <c r="AR35" s="67"/>
      <c r="AS35" s="67"/>
    </row>
    <row r="36" spans="1:45" x14ac:dyDescent="0.2">
      <c r="A36" t="s">
        <v>80</v>
      </c>
      <c r="B36" s="67">
        <v>7.4035406440060036</v>
      </c>
      <c r="C36" s="67">
        <v>4.8117465005479119</v>
      </c>
      <c r="D36" s="67">
        <v>6.2173438254944546</v>
      </c>
      <c r="E36" s="67">
        <v>6.1793162863686444</v>
      </c>
      <c r="F36" s="67">
        <v>7.0015292151805202</v>
      </c>
      <c r="G36" s="67">
        <v>7.5956551990830317</v>
      </c>
      <c r="H36" s="67">
        <v>6.5242462574615256</v>
      </c>
      <c r="I36" s="67">
        <v>4.7897480516560895</v>
      </c>
      <c r="J36" s="67">
        <v>4.9746650867290585</v>
      </c>
      <c r="K36" s="67">
        <v>6.5373227946254993</v>
      </c>
      <c r="L36" s="67">
        <v>6.2523315402811761</v>
      </c>
      <c r="M36" s="67">
        <v>5.9699215493014259</v>
      </c>
      <c r="N36" s="67">
        <v>5.1848673931028211</v>
      </c>
      <c r="O36" s="67">
        <v>5.1803087065992406</v>
      </c>
      <c r="P36" s="67">
        <v>6.5459685866690354</v>
      </c>
      <c r="Q36" s="67">
        <v>5.7323749790424232</v>
      </c>
      <c r="R36" s="67">
        <v>6.0717103261004661</v>
      </c>
      <c r="S36" s="67">
        <v>5.9072265824962695</v>
      </c>
      <c r="T36" s="67">
        <v>5.5341494716493047</v>
      </c>
      <c r="U36" s="67">
        <v>5.9498311938847639</v>
      </c>
      <c r="V36" s="67">
        <v>4.78</v>
      </c>
      <c r="W36" s="67">
        <v>5.16</v>
      </c>
      <c r="X36" s="67">
        <v>5.74</v>
      </c>
      <c r="Y36" s="67"/>
      <c r="Z36" s="67"/>
      <c r="AA36" s="67"/>
      <c r="AB36" s="67"/>
      <c r="AC36" s="67">
        <f>AVERAGE(E36:P36)</f>
        <v>6.0613233889215055</v>
      </c>
      <c r="AD36" t="str">
        <f>A37</f>
        <v>Target</v>
      </c>
      <c r="AE36" s="67">
        <f>D37</f>
        <v>15</v>
      </c>
      <c r="AF36" s="67">
        <f>E37</f>
        <v>15</v>
      </c>
      <c r="AG36" s="67">
        <f>F37</f>
        <v>15</v>
      </c>
      <c r="AH36" s="67">
        <f>G37</f>
        <v>15</v>
      </c>
      <c r="AI36" s="69">
        <f>P37</f>
        <v>15</v>
      </c>
      <c r="AJ36" s="69">
        <f>Q37</f>
        <v>15</v>
      </c>
      <c r="AK36" s="69">
        <f>R37</f>
        <v>15</v>
      </c>
      <c r="AL36" s="69">
        <f>U37</f>
        <v>15</v>
      </c>
      <c r="AM36" s="69">
        <f>V37</f>
        <v>15</v>
      </c>
      <c r="AN36" s="69">
        <f>W37</f>
        <v>15</v>
      </c>
      <c r="AO36" s="69">
        <f>X37</f>
        <v>15</v>
      </c>
      <c r="AP36" s="67"/>
      <c r="AQ36" s="67"/>
      <c r="AR36" s="67"/>
      <c r="AS36" s="67"/>
    </row>
    <row r="37" spans="1:45" x14ac:dyDescent="0.2">
      <c r="A37" t="s">
        <v>26</v>
      </c>
      <c r="B37" s="69"/>
      <c r="C37" s="69"/>
      <c r="D37" s="69">
        <v>15</v>
      </c>
      <c r="E37" s="69">
        <v>15</v>
      </c>
      <c r="F37" s="69">
        <v>15</v>
      </c>
      <c r="G37" s="69">
        <v>15</v>
      </c>
      <c r="H37" s="69">
        <v>15</v>
      </c>
      <c r="I37" s="69">
        <v>15</v>
      </c>
      <c r="J37" s="69">
        <v>15</v>
      </c>
      <c r="K37" s="69">
        <v>15</v>
      </c>
      <c r="L37" s="69">
        <v>15</v>
      </c>
      <c r="M37" s="69">
        <v>15</v>
      </c>
      <c r="N37" s="69">
        <v>15</v>
      </c>
      <c r="O37" s="69">
        <v>15</v>
      </c>
      <c r="P37" s="69">
        <v>15</v>
      </c>
      <c r="Q37" s="69">
        <v>15</v>
      </c>
      <c r="R37" s="69">
        <v>15</v>
      </c>
      <c r="S37" s="69">
        <v>15</v>
      </c>
      <c r="T37" s="69">
        <v>15</v>
      </c>
      <c r="U37" s="69">
        <v>15</v>
      </c>
      <c r="V37" s="69">
        <v>15</v>
      </c>
      <c r="W37" s="69">
        <v>15</v>
      </c>
      <c r="X37" s="69">
        <v>15</v>
      </c>
      <c r="Y37" s="69"/>
      <c r="Z37" s="69"/>
      <c r="AA37" s="69"/>
      <c r="AB37" s="69"/>
      <c r="AC37" s="69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</row>
    <row r="38" spans="1:45" x14ac:dyDescent="0.2"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</row>
    <row r="39" spans="1:45" x14ac:dyDescent="0.2">
      <c r="L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</row>
    <row r="40" spans="1:45" x14ac:dyDescent="0.2">
      <c r="L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</row>
    <row r="41" spans="1:45" x14ac:dyDescent="0.2">
      <c r="L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</row>
    <row r="42" spans="1:45" x14ac:dyDescent="0.2">
      <c r="L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</row>
    <row r="43" spans="1:45" x14ac:dyDescent="0.2"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</row>
    <row r="44" spans="1:45" x14ac:dyDescent="0.2"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</row>
    <row r="45" spans="1:45" x14ac:dyDescent="0.2">
      <c r="L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</row>
    <row r="46" spans="1:45" x14ac:dyDescent="0.2">
      <c r="L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</row>
    <row r="47" spans="1:45" x14ac:dyDescent="0.2">
      <c r="A47" t="s">
        <v>86</v>
      </c>
      <c r="L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</row>
    <row r="48" spans="1:45" x14ac:dyDescent="0.2">
      <c r="A48" t="s">
        <v>31</v>
      </c>
      <c r="B48" t="s">
        <v>32</v>
      </c>
      <c r="C48" t="s">
        <v>33</v>
      </c>
      <c r="D48" t="s">
        <v>34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38</v>
      </c>
      <c r="K48" t="s">
        <v>15</v>
      </c>
      <c r="L48" t="s">
        <v>16</v>
      </c>
      <c r="M48" t="s">
        <v>17</v>
      </c>
      <c r="N48" t="s">
        <v>18</v>
      </c>
      <c r="O48" t="s">
        <v>19</v>
      </c>
      <c r="P48" t="s">
        <v>20</v>
      </c>
      <c r="Q48" s="69" t="s">
        <v>336</v>
      </c>
      <c r="R48" s="69" t="s">
        <v>337</v>
      </c>
      <c r="S48" s="69" t="s">
        <v>338</v>
      </c>
      <c r="T48" s="69" t="s">
        <v>339</v>
      </c>
      <c r="U48" s="69" t="s">
        <v>379</v>
      </c>
      <c r="V48" s="69" t="str">
        <f>V32</f>
        <v>Sept' 16</v>
      </c>
      <c r="W48" s="69" t="str">
        <f>W32</f>
        <v>Oct' 16</v>
      </c>
      <c r="X48" s="69" t="str">
        <f>X32</f>
        <v>Nov' 16</v>
      </c>
      <c r="AD48" t="str">
        <f>A48</f>
        <v>Total Inventory</v>
      </c>
      <c r="AE48" s="67" t="str">
        <f>D48</f>
        <v>Mar' 15</v>
      </c>
      <c r="AF48" s="67" t="str">
        <f>G48</f>
        <v>Jun' 15</v>
      </c>
      <c r="AG48" s="67" t="str">
        <f>J48</f>
        <v>Sept' 15</v>
      </c>
      <c r="AH48" s="67" t="str">
        <f>M48</f>
        <v>Dec' 15</v>
      </c>
      <c r="AI48" s="69" t="str">
        <f t="shared" ref="AI48:AJ51" si="25">P48</f>
        <v>Mar' 16</v>
      </c>
      <c r="AJ48" s="69" t="str">
        <f t="shared" si="25"/>
        <v>Apr' 16</v>
      </c>
      <c r="AK48" s="69" t="str">
        <f>S48</f>
        <v>Jun' 16</v>
      </c>
      <c r="AL48" s="69" t="str">
        <f t="shared" ref="AL48:AO51" si="26">U48</f>
        <v>Aug' 16</v>
      </c>
      <c r="AM48" s="69" t="str">
        <f t="shared" si="26"/>
        <v>Sept' 16</v>
      </c>
      <c r="AN48" s="69" t="str">
        <f t="shared" si="26"/>
        <v>Oct' 16</v>
      </c>
      <c r="AO48" s="69" t="str">
        <f t="shared" si="26"/>
        <v>Nov' 16</v>
      </c>
      <c r="AP48" s="67"/>
      <c r="AQ48" s="67"/>
      <c r="AR48" s="67"/>
      <c r="AS48" s="67"/>
    </row>
    <row r="49" spans="1:45" x14ac:dyDescent="0.2">
      <c r="A49" t="s">
        <v>87</v>
      </c>
      <c r="B49" s="67"/>
      <c r="C49" s="67"/>
      <c r="D49" s="67">
        <v>2.6593421559999997</v>
      </c>
      <c r="E49" s="67">
        <v>2.1743415089999996</v>
      </c>
      <c r="F49" s="67">
        <v>2.7825526899999993</v>
      </c>
      <c r="G49" s="67">
        <v>2.7100610149999995</v>
      </c>
      <c r="H49" s="67">
        <v>2.5907808540000001</v>
      </c>
      <c r="I49" s="67">
        <v>2.1592123790000004</v>
      </c>
      <c r="J49" s="67">
        <v>3.7611123650000002</v>
      </c>
      <c r="K49" s="67">
        <v>3.3540087759999997</v>
      </c>
      <c r="L49" s="67">
        <v>2.9110021910000001</v>
      </c>
      <c r="M49" s="67">
        <v>2.0649995670000001</v>
      </c>
      <c r="N49" s="67">
        <v>2.2355830479999996</v>
      </c>
      <c r="O49" s="67">
        <v>2.6623180420000003</v>
      </c>
      <c r="P49" s="67">
        <v>5.4555636539999988</v>
      </c>
      <c r="Q49" s="67">
        <v>2.0535350839999991</v>
      </c>
      <c r="R49" s="67">
        <v>3.0143998889999999</v>
      </c>
      <c r="S49" s="67">
        <v>1.9868783269999999</v>
      </c>
      <c r="T49" s="67">
        <v>2.078794773999999</v>
      </c>
      <c r="U49" s="67">
        <v>2.4223008789999994</v>
      </c>
      <c r="V49" s="67">
        <v>1.7495409690000001</v>
      </c>
      <c r="W49" s="67">
        <v>1.870473668</v>
      </c>
      <c r="X49" s="67">
        <v>3.698498678</v>
      </c>
      <c r="Y49" s="67"/>
      <c r="Z49" s="67"/>
      <c r="AA49" s="67"/>
      <c r="AB49" s="67"/>
      <c r="AD49" t="str">
        <f>A49</f>
        <v>SFG Total Inventory</v>
      </c>
      <c r="AE49" s="67">
        <f>D49</f>
        <v>2.6593421559999997</v>
      </c>
      <c r="AF49" s="67">
        <f>G49</f>
        <v>2.7100610149999995</v>
      </c>
      <c r="AG49" s="67">
        <f>J49</f>
        <v>3.7611123650000002</v>
      </c>
      <c r="AH49" s="67">
        <f>M49</f>
        <v>2.0649995670000001</v>
      </c>
      <c r="AI49" s="67">
        <f t="shared" si="25"/>
        <v>5.4555636539999988</v>
      </c>
      <c r="AJ49" s="67">
        <f t="shared" si="25"/>
        <v>2.0535350839999991</v>
      </c>
      <c r="AK49" s="67">
        <f>S49</f>
        <v>1.9868783269999999</v>
      </c>
      <c r="AL49" s="67">
        <f t="shared" si="26"/>
        <v>2.4223008789999994</v>
      </c>
      <c r="AM49" s="67">
        <f t="shared" si="26"/>
        <v>1.7495409690000001</v>
      </c>
      <c r="AN49" s="67">
        <f t="shared" si="26"/>
        <v>1.870473668</v>
      </c>
      <c r="AO49" s="67">
        <f>X49</f>
        <v>3.698498678</v>
      </c>
      <c r="AP49" s="67"/>
      <c r="AQ49" s="67"/>
      <c r="AR49" s="67"/>
      <c r="AS49" s="67"/>
    </row>
    <row r="50" spans="1:45" x14ac:dyDescent="0.2">
      <c r="A50" t="s">
        <v>73</v>
      </c>
      <c r="B50" s="67"/>
      <c r="C50" s="67"/>
      <c r="D50" s="67">
        <f t="shared" ref="D50:J50" si="27">AVERAGE(B52:D52)</f>
        <v>35.799152531604612</v>
      </c>
      <c r="E50" s="67">
        <f t="shared" si="27"/>
        <v>35.522884232828005</v>
      </c>
      <c r="F50" s="67">
        <f t="shared" si="27"/>
        <v>38.794725127475722</v>
      </c>
      <c r="G50" s="67">
        <f t="shared" si="27"/>
        <v>42.01244357139165</v>
      </c>
      <c r="H50" s="67">
        <f t="shared" si="27"/>
        <v>43.164172678302783</v>
      </c>
      <c r="I50" s="67">
        <f t="shared" si="27"/>
        <v>40.251442974749686</v>
      </c>
      <c r="J50" s="67">
        <f t="shared" si="27"/>
        <v>33.717078839232165</v>
      </c>
      <c r="K50" s="67">
        <f>AVERAGE(I52:K52)</f>
        <v>30.060716772072158</v>
      </c>
      <c r="L50" s="67">
        <f>AVERAGE(J52:L52)</f>
        <v>28.520996290855674</v>
      </c>
      <c r="M50" s="67">
        <f>AVERAGE(K52:M52)</f>
        <v>33.069679257156857</v>
      </c>
      <c r="N50" s="67">
        <f>AVERAGE(L52:N52)</f>
        <v>32.731436918999897</v>
      </c>
      <c r="O50" s="67">
        <f t="shared" ref="O50:X50" si="28">AVERAGE(M52:O52)</f>
        <v>34.204684996585144</v>
      </c>
      <c r="P50" s="67">
        <f t="shared" si="28"/>
        <v>36.072236818817714</v>
      </c>
      <c r="Q50" s="67">
        <f t="shared" si="28"/>
        <v>37.918670253839714</v>
      </c>
      <c r="R50" s="67">
        <f t="shared" si="28"/>
        <v>37.586469337055341</v>
      </c>
      <c r="S50" s="67">
        <f t="shared" si="28"/>
        <v>36.130393942489263</v>
      </c>
      <c r="T50" s="67">
        <f t="shared" si="28"/>
        <v>36.020300943609463</v>
      </c>
      <c r="U50" s="67">
        <f t="shared" si="28"/>
        <v>36.554308469548211</v>
      </c>
      <c r="V50" s="67">
        <f t="shared" si="28"/>
        <v>33.922962139112848</v>
      </c>
      <c r="W50" s="67">
        <f t="shared" si="28"/>
        <v>31.896524096336858</v>
      </c>
      <c r="X50" s="67">
        <f t="shared" si="28"/>
        <v>31.580000000000002</v>
      </c>
      <c r="Y50" s="67"/>
      <c r="Z50" s="67"/>
      <c r="AA50" s="67"/>
      <c r="AB50" s="67"/>
      <c r="AD50" t="str">
        <f>A50</f>
        <v>Avg CoGS</v>
      </c>
      <c r="AE50" s="67">
        <f>D50</f>
        <v>35.799152531604612</v>
      </c>
      <c r="AF50" s="67">
        <f>G50</f>
        <v>42.01244357139165</v>
      </c>
      <c r="AG50" s="67">
        <f>J50</f>
        <v>33.717078839232165</v>
      </c>
      <c r="AH50" s="67">
        <f>M50</f>
        <v>33.069679257156857</v>
      </c>
      <c r="AI50" s="67">
        <f t="shared" si="25"/>
        <v>36.072236818817714</v>
      </c>
      <c r="AJ50" s="67">
        <f t="shared" si="25"/>
        <v>37.918670253839714</v>
      </c>
      <c r="AK50" s="67">
        <f>S50</f>
        <v>36.130393942489263</v>
      </c>
      <c r="AL50" s="67">
        <f t="shared" si="26"/>
        <v>36.554308469548211</v>
      </c>
      <c r="AM50" s="67">
        <f t="shared" si="26"/>
        <v>33.922962139112848</v>
      </c>
      <c r="AN50" s="67">
        <f t="shared" si="26"/>
        <v>31.896524096336858</v>
      </c>
      <c r="AO50" s="67">
        <f>X50</f>
        <v>31.580000000000002</v>
      </c>
      <c r="AP50" s="67"/>
      <c r="AQ50" s="67"/>
      <c r="AR50" s="67"/>
      <c r="AS50" s="67"/>
    </row>
    <row r="51" spans="1:45" x14ac:dyDescent="0.2">
      <c r="A51" t="s">
        <v>39</v>
      </c>
      <c r="B51" s="67"/>
      <c r="C51" s="67"/>
      <c r="D51" s="67">
        <f t="shared" ref="D51:K51" si="29">D49*30/D50</f>
        <v>2.2285517683572951</v>
      </c>
      <c r="E51" s="67">
        <f t="shared" si="29"/>
        <v>1.8362879782638346</v>
      </c>
      <c r="F51" s="67">
        <f t="shared" si="29"/>
        <v>2.1517507966792904</v>
      </c>
      <c r="G51" s="67">
        <f t="shared" si="29"/>
        <v>1.9351845200778186</v>
      </c>
      <c r="H51" s="67">
        <f t="shared" si="29"/>
        <v>1.8006467122458951</v>
      </c>
      <c r="I51" s="67">
        <f t="shared" si="29"/>
        <v>1.6092931478415609</v>
      </c>
      <c r="J51" s="67">
        <f t="shared" si="29"/>
        <v>3.3464752829865714</v>
      </c>
      <c r="K51" s="67">
        <f t="shared" si="29"/>
        <v>3.3472343338626249</v>
      </c>
      <c r="L51" s="67">
        <f t="shared" ref="L51:Q51" si="30">L49*30/L50</f>
        <v>3.0619570522506443</v>
      </c>
      <c r="M51" s="67">
        <f t="shared" si="30"/>
        <v>1.8733168389165111</v>
      </c>
      <c r="N51" s="67">
        <f t="shared" si="30"/>
        <v>2.0490237445417114</v>
      </c>
      <c r="O51" s="67">
        <f t="shared" si="30"/>
        <v>2.3350468296367546</v>
      </c>
      <c r="P51" s="67">
        <f t="shared" si="30"/>
        <v>4.5371988003422139</v>
      </c>
      <c r="Q51" s="67">
        <f t="shared" si="30"/>
        <v>1.6246891599201485</v>
      </c>
      <c r="R51" s="67">
        <f t="shared" ref="R51:X51" si="31">R49*30/R50</f>
        <v>2.4059721028611185</v>
      </c>
      <c r="S51" s="67">
        <f t="shared" si="31"/>
        <v>1.6497564323510756</v>
      </c>
      <c r="T51" s="67">
        <f t="shared" si="31"/>
        <v>1.7313526424343837</v>
      </c>
      <c r="U51" s="67">
        <f t="shared" si="31"/>
        <v>1.9879743158193612</v>
      </c>
      <c r="V51" s="67">
        <f t="shared" si="31"/>
        <v>1.5472183370886674</v>
      </c>
      <c r="W51" s="67">
        <f t="shared" si="31"/>
        <v>1.7592578385819919</v>
      </c>
      <c r="X51" s="67">
        <f t="shared" si="31"/>
        <v>3.513456628879037</v>
      </c>
      <c r="Y51" s="67"/>
      <c r="Z51" s="67"/>
      <c r="AA51" s="67"/>
      <c r="AB51" s="67"/>
      <c r="AD51" t="str">
        <f>A51</f>
        <v>DIOH</v>
      </c>
      <c r="AE51" s="67">
        <f>D51</f>
        <v>2.2285517683572951</v>
      </c>
      <c r="AF51" s="67">
        <f>G51</f>
        <v>1.9351845200778186</v>
      </c>
      <c r="AG51" s="67">
        <f>J51</f>
        <v>3.3464752829865714</v>
      </c>
      <c r="AH51" s="67">
        <f>M51</f>
        <v>1.8733168389165111</v>
      </c>
      <c r="AI51" s="67">
        <f t="shared" si="25"/>
        <v>4.5371988003422139</v>
      </c>
      <c r="AJ51" s="67">
        <f t="shared" si="25"/>
        <v>1.6246891599201485</v>
      </c>
      <c r="AK51" s="67">
        <f>S51</f>
        <v>1.6497564323510756</v>
      </c>
      <c r="AL51" s="67">
        <f t="shared" si="26"/>
        <v>1.9879743158193612</v>
      </c>
      <c r="AM51" s="67">
        <f t="shared" si="26"/>
        <v>1.5472183370886674</v>
      </c>
      <c r="AN51" s="67">
        <f t="shared" si="26"/>
        <v>1.7592578385819919</v>
      </c>
      <c r="AO51" s="67">
        <f>X51</f>
        <v>3.513456628879037</v>
      </c>
      <c r="AP51" s="67"/>
      <c r="AQ51" s="67"/>
      <c r="AR51" s="67"/>
      <c r="AS51" s="67"/>
    </row>
    <row r="52" spans="1:45" x14ac:dyDescent="0.2">
      <c r="A52" t="s">
        <v>59</v>
      </c>
      <c r="B52" s="67">
        <v>39.97772361144871</v>
      </c>
      <c r="C52" s="67">
        <v>33.286236099157279</v>
      </c>
      <c r="D52" s="67">
        <v>34.133497884207834</v>
      </c>
      <c r="E52" s="67">
        <v>39.148918715118896</v>
      </c>
      <c r="F52" s="67">
        <v>43.101758783100458</v>
      </c>
      <c r="G52" s="67">
        <v>43.786653215955596</v>
      </c>
      <c r="H52" s="67">
        <v>42.604106035852304</v>
      </c>
      <c r="I52" s="67">
        <v>34.363569672441159</v>
      </c>
      <c r="J52" s="67">
        <v>24.183560809403041</v>
      </c>
      <c r="K52" s="67">
        <v>31.635019834372287</v>
      </c>
      <c r="L52" s="67">
        <v>29.744408228791688</v>
      </c>
      <c r="M52" s="67">
        <v>37.829609708306599</v>
      </c>
      <c r="N52" s="67">
        <v>30.620292819901401</v>
      </c>
      <c r="O52" s="67">
        <v>34.164152461547431</v>
      </c>
      <c r="P52" s="67">
        <v>43.432265175004318</v>
      </c>
      <c r="Q52" s="67">
        <v>36.159593124967401</v>
      </c>
      <c r="R52" s="67">
        <v>33.167549711194305</v>
      </c>
      <c r="S52" s="67">
        <v>39.064038991306091</v>
      </c>
      <c r="T52" s="67">
        <v>35.829314128327987</v>
      </c>
      <c r="U52" s="67">
        <v>34.769572289010569</v>
      </c>
      <c r="V52" s="67">
        <v>31.17</v>
      </c>
      <c r="W52" s="67">
        <v>29.75</v>
      </c>
      <c r="X52" s="67">
        <v>33.82</v>
      </c>
      <c r="Y52" s="67"/>
      <c r="Z52" s="67"/>
      <c r="AA52" s="67"/>
      <c r="AB52" s="67"/>
      <c r="AD52" t="str">
        <f>A53</f>
        <v>Target</v>
      </c>
      <c r="AE52" s="67">
        <f>D53</f>
        <v>2</v>
      </c>
      <c r="AF52" s="67">
        <f>E53</f>
        <v>2</v>
      </c>
      <c r="AG52" s="67">
        <f>F53</f>
        <v>2</v>
      </c>
      <c r="AH52" s="67">
        <f>G53</f>
        <v>2</v>
      </c>
      <c r="AI52" s="69">
        <f t="shared" ref="AI52:AN52" si="32">P53</f>
        <v>2</v>
      </c>
      <c r="AJ52" s="69">
        <f t="shared" si="32"/>
        <v>2</v>
      </c>
      <c r="AK52" s="69">
        <f t="shared" si="32"/>
        <v>2</v>
      </c>
      <c r="AL52" s="69">
        <f t="shared" si="32"/>
        <v>2</v>
      </c>
      <c r="AM52" s="69">
        <f t="shared" si="32"/>
        <v>2</v>
      </c>
      <c r="AN52" s="69">
        <f t="shared" si="32"/>
        <v>2</v>
      </c>
      <c r="AO52" s="69">
        <f>V53</f>
        <v>2</v>
      </c>
      <c r="AP52" s="67"/>
      <c r="AQ52" s="67"/>
      <c r="AR52" s="67"/>
      <c r="AS52" s="67"/>
    </row>
    <row r="53" spans="1:45" x14ac:dyDescent="0.2">
      <c r="A53" t="s">
        <v>26</v>
      </c>
      <c r="B53" s="69"/>
      <c r="C53" s="69"/>
      <c r="D53" s="69">
        <v>2</v>
      </c>
      <c r="E53" s="69">
        <v>2</v>
      </c>
      <c r="F53" s="69">
        <v>2</v>
      </c>
      <c r="G53" s="69">
        <v>2</v>
      </c>
      <c r="H53" s="69">
        <v>2</v>
      </c>
      <c r="I53" s="69">
        <v>2</v>
      </c>
      <c r="J53" s="69">
        <v>2</v>
      </c>
      <c r="K53" s="69">
        <v>2</v>
      </c>
      <c r="L53" s="69">
        <v>2</v>
      </c>
      <c r="M53" s="69">
        <v>2</v>
      </c>
      <c r="N53" s="69">
        <v>2</v>
      </c>
      <c r="O53" s="69">
        <v>2</v>
      </c>
      <c r="P53" s="69">
        <v>2</v>
      </c>
      <c r="Q53" s="69">
        <v>2</v>
      </c>
      <c r="R53" s="69">
        <v>2</v>
      </c>
      <c r="S53" s="69">
        <v>2</v>
      </c>
      <c r="T53" s="69">
        <v>2</v>
      </c>
      <c r="U53" s="69">
        <v>2</v>
      </c>
      <c r="V53" s="69">
        <v>2</v>
      </c>
      <c r="W53" s="69">
        <v>2</v>
      </c>
      <c r="X53" s="69">
        <v>2</v>
      </c>
      <c r="Y53" s="69"/>
      <c r="Z53" s="69"/>
      <c r="AA53" s="69"/>
      <c r="AB53" s="69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</row>
    <row r="54" spans="1:45" x14ac:dyDescent="0.2">
      <c r="A54" t="s">
        <v>76</v>
      </c>
      <c r="B54" t="s">
        <v>32</v>
      </c>
      <c r="C54" t="s">
        <v>33</v>
      </c>
      <c r="D54" t="s">
        <v>34</v>
      </c>
      <c r="E54" t="s">
        <v>9</v>
      </c>
      <c r="F54" t="s">
        <v>10</v>
      </c>
      <c r="G54" t="s">
        <v>11</v>
      </c>
      <c r="H54" t="s">
        <v>12</v>
      </c>
      <c r="I54" t="s">
        <v>13</v>
      </c>
      <c r="J54" t="s">
        <v>38</v>
      </c>
      <c r="K54" t="s">
        <v>15</v>
      </c>
      <c r="L54" t="s">
        <v>16</v>
      </c>
      <c r="M54" t="s">
        <v>17</v>
      </c>
      <c r="N54" t="s">
        <v>18</v>
      </c>
      <c r="O54" t="s">
        <v>19</v>
      </c>
      <c r="P54" t="s">
        <v>20</v>
      </c>
      <c r="Q54" s="69" t="s">
        <v>336</v>
      </c>
      <c r="R54" s="69" t="s">
        <v>337</v>
      </c>
      <c r="S54" s="69" t="s">
        <v>338</v>
      </c>
      <c r="T54" s="69" t="s">
        <v>339</v>
      </c>
      <c r="U54" s="69" t="str">
        <f>U48</f>
        <v>Aug' 16</v>
      </c>
      <c r="V54" s="69" t="str">
        <f>V48</f>
        <v>Sept' 16</v>
      </c>
      <c r="W54" s="69" t="str">
        <f>W48</f>
        <v>Oct' 16</v>
      </c>
      <c r="X54" s="69" t="str">
        <f>X48</f>
        <v>Nov' 16</v>
      </c>
      <c r="AD54" t="str">
        <f>A54</f>
        <v>Moving Inventory</v>
      </c>
      <c r="AE54" s="67" t="str">
        <f>D54</f>
        <v>Mar' 15</v>
      </c>
      <c r="AF54" s="67" t="str">
        <f>G54</f>
        <v>Jun' 15</v>
      </c>
      <c r="AG54" s="67" t="str">
        <f>J54</f>
        <v>Sept' 15</v>
      </c>
      <c r="AH54" s="67" t="str">
        <f>M54</f>
        <v>Dec' 15</v>
      </c>
      <c r="AI54" s="69" t="str">
        <f t="shared" ref="AI54:AJ57" si="33">P54</f>
        <v>Mar' 16</v>
      </c>
      <c r="AJ54" s="69" t="str">
        <f t="shared" si="33"/>
        <v>Apr' 16</v>
      </c>
      <c r="AK54" s="69" t="str">
        <f>S54</f>
        <v>Jun' 16</v>
      </c>
      <c r="AL54" s="69" t="str">
        <f t="shared" ref="AL54:AO57" si="34">U54</f>
        <v>Aug' 16</v>
      </c>
      <c r="AM54" s="69" t="str">
        <f t="shared" si="34"/>
        <v>Sept' 16</v>
      </c>
      <c r="AN54" s="69" t="str">
        <f t="shared" si="34"/>
        <v>Oct' 16</v>
      </c>
      <c r="AO54" s="69" t="str">
        <f t="shared" si="34"/>
        <v>Nov' 16</v>
      </c>
      <c r="AP54" s="67"/>
      <c r="AQ54" s="67"/>
      <c r="AR54" s="67"/>
      <c r="AS54" s="67"/>
    </row>
    <row r="55" spans="1:45" x14ac:dyDescent="0.2">
      <c r="A55" t="s">
        <v>88</v>
      </c>
      <c r="B55" s="67"/>
      <c r="C55" s="67"/>
      <c r="D55" s="67">
        <v>2.1442594780000004</v>
      </c>
      <c r="E55" s="67">
        <v>1.1326669400000002</v>
      </c>
      <c r="F55" s="67">
        <v>1.3939206119999996</v>
      </c>
      <c r="G55" s="67">
        <v>1.586405396</v>
      </c>
      <c r="H55" s="67">
        <v>1.3898415560000001</v>
      </c>
      <c r="I55" s="67">
        <v>0.93560891499999999</v>
      </c>
      <c r="J55" s="67">
        <v>2.683491069</v>
      </c>
      <c r="K55" s="67">
        <v>2.1674026340000001</v>
      </c>
      <c r="L55" s="67">
        <v>1.5522914870000009</v>
      </c>
      <c r="M55" s="67">
        <v>0.59423331100000021</v>
      </c>
      <c r="N55" s="67">
        <v>1.0035269609999997</v>
      </c>
      <c r="O55" s="67">
        <v>1.4135007420000005</v>
      </c>
      <c r="P55" s="67">
        <v>4.4395703199999987</v>
      </c>
      <c r="Q55" s="67">
        <v>1.0737090529999991</v>
      </c>
      <c r="R55" s="67">
        <v>1.9894435500000001</v>
      </c>
      <c r="S55" s="67">
        <v>0.96734185999999989</v>
      </c>
      <c r="T55" s="67">
        <v>1.0731291339999989</v>
      </c>
      <c r="U55" s="67">
        <v>1.4394269429999991</v>
      </c>
      <c r="V55" s="67">
        <v>0.84691635200000015</v>
      </c>
      <c r="W55" s="67">
        <v>0.99842520599999995</v>
      </c>
      <c r="X55" s="67">
        <v>2.9186893189999998</v>
      </c>
      <c r="Y55" s="67"/>
      <c r="Z55" s="67"/>
      <c r="AA55" s="67"/>
      <c r="AB55" s="67"/>
      <c r="AD55" t="str">
        <f>A55</f>
        <v>SFG Moving Inventory</v>
      </c>
      <c r="AE55" s="67">
        <f>D55</f>
        <v>2.1442594780000004</v>
      </c>
      <c r="AF55" s="67">
        <f>G55</f>
        <v>1.586405396</v>
      </c>
      <c r="AG55" s="67">
        <f>J55</f>
        <v>2.683491069</v>
      </c>
      <c r="AH55" s="67">
        <f>M55</f>
        <v>0.59423331100000021</v>
      </c>
      <c r="AI55" s="67">
        <f t="shared" si="33"/>
        <v>4.4395703199999987</v>
      </c>
      <c r="AJ55" s="67">
        <f t="shared" si="33"/>
        <v>1.0737090529999991</v>
      </c>
      <c r="AK55" s="67">
        <f>S55</f>
        <v>0.96734185999999989</v>
      </c>
      <c r="AL55" s="67">
        <f t="shared" si="34"/>
        <v>1.4394269429999991</v>
      </c>
      <c r="AM55" s="67">
        <f t="shared" si="34"/>
        <v>0.84691635200000015</v>
      </c>
      <c r="AN55" s="67">
        <f t="shared" si="34"/>
        <v>0.99842520599999995</v>
      </c>
      <c r="AO55" s="67">
        <f>X55</f>
        <v>2.9186893189999998</v>
      </c>
      <c r="AP55" s="67"/>
      <c r="AQ55" s="67"/>
      <c r="AR55" s="67"/>
      <c r="AS55" s="67"/>
    </row>
    <row r="56" spans="1:45" x14ac:dyDescent="0.2">
      <c r="A56" t="s">
        <v>73</v>
      </c>
      <c r="B56" s="67"/>
      <c r="C56" s="67"/>
      <c r="D56" s="67">
        <f t="shared" ref="D56:J56" si="35">AVERAGE(B58:D58)</f>
        <v>35.799152531604612</v>
      </c>
      <c r="E56" s="67">
        <f t="shared" si="35"/>
        <v>35.522884232828005</v>
      </c>
      <c r="F56" s="67">
        <f t="shared" si="35"/>
        <v>38.794725127475722</v>
      </c>
      <c r="G56" s="67">
        <f t="shared" si="35"/>
        <v>42.01244357139165</v>
      </c>
      <c r="H56" s="67">
        <f t="shared" si="35"/>
        <v>43.164172678302783</v>
      </c>
      <c r="I56" s="67">
        <f t="shared" si="35"/>
        <v>40.251442974749686</v>
      </c>
      <c r="J56" s="67">
        <f t="shared" si="35"/>
        <v>33.717078839232165</v>
      </c>
      <c r="K56" s="67">
        <f>AVERAGE(I58:K58)</f>
        <v>30.060716772072158</v>
      </c>
      <c r="L56" s="67">
        <f t="shared" ref="L56:X56" si="36">AVERAGE(J58:L58)</f>
        <v>28.520996290855674</v>
      </c>
      <c r="M56" s="67">
        <f t="shared" si="36"/>
        <v>33.069679257156857</v>
      </c>
      <c r="N56" s="67">
        <f t="shared" si="36"/>
        <v>32.731436918999897</v>
      </c>
      <c r="O56" s="67">
        <f t="shared" si="36"/>
        <v>34.204684996585144</v>
      </c>
      <c r="P56" s="67">
        <f t="shared" si="36"/>
        <v>36.072236818817714</v>
      </c>
      <c r="Q56" s="67">
        <f t="shared" si="36"/>
        <v>37.918670253839714</v>
      </c>
      <c r="R56" s="67">
        <f t="shared" si="36"/>
        <v>37.586469337055341</v>
      </c>
      <c r="S56" s="67">
        <f t="shared" si="36"/>
        <v>36.130393942489263</v>
      </c>
      <c r="T56" s="67">
        <f t="shared" si="36"/>
        <v>36.020300943609463</v>
      </c>
      <c r="U56" s="67">
        <f t="shared" si="36"/>
        <v>36.554308469548211</v>
      </c>
      <c r="V56" s="67">
        <f t="shared" si="36"/>
        <v>33.922962139112848</v>
      </c>
      <c r="W56" s="67">
        <f t="shared" si="36"/>
        <v>31.896524096336858</v>
      </c>
      <c r="X56" s="67">
        <f t="shared" si="36"/>
        <v>31.580000000000002</v>
      </c>
      <c r="Y56" s="67"/>
      <c r="Z56" s="67"/>
      <c r="AA56" s="67"/>
      <c r="AB56" s="67"/>
      <c r="AD56" t="str">
        <f>A56</f>
        <v>Avg CoGS</v>
      </c>
      <c r="AE56" s="67">
        <f>D56</f>
        <v>35.799152531604612</v>
      </c>
      <c r="AF56" s="67">
        <f>G56</f>
        <v>42.01244357139165</v>
      </c>
      <c r="AG56" s="67">
        <f>J56</f>
        <v>33.717078839232165</v>
      </c>
      <c r="AH56" s="67">
        <f>M56</f>
        <v>33.069679257156857</v>
      </c>
      <c r="AI56" s="67">
        <f t="shared" si="33"/>
        <v>36.072236818817714</v>
      </c>
      <c r="AJ56" s="67">
        <f t="shared" si="33"/>
        <v>37.918670253839714</v>
      </c>
      <c r="AK56" s="67">
        <f>S56</f>
        <v>36.130393942489263</v>
      </c>
      <c r="AL56" s="67">
        <f t="shared" si="34"/>
        <v>36.554308469548211</v>
      </c>
      <c r="AM56" s="67">
        <f t="shared" si="34"/>
        <v>33.922962139112848</v>
      </c>
      <c r="AN56" s="67">
        <f t="shared" si="34"/>
        <v>31.896524096336858</v>
      </c>
      <c r="AO56" s="67">
        <f>X56</f>
        <v>31.580000000000002</v>
      </c>
      <c r="AP56" s="67"/>
      <c r="AQ56" s="67"/>
      <c r="AR56" s="67"/>
      <c r="AS56" s="67"/>
    </row>
    <row r="57" spans="1:45" x14ac:dyDescent="0.2">
      <c r="A57" t="s">
        <v>39</v>
      </c>
      <c r="B57" s="67"/>
      <c r="C57" s="67"/>
      <c r="D57" s="67">
        <f>D55*30/D56</f>
        <v>1.7969080213060749</v>
      </c>
      <c r="E57" s="67">
        <f t="shared" ref="E57:K57" si="37">E55*30/E56</f>
        <v>0.95656670154609325</v>
      </c>
      <c r="F57" s="67">
        <f t="shared" si="37"/>
        <v>1.0779202126730201</v>
      </c>
      <c r="G57" s="67">
        <f t="shared" si="37"/>
        <v>1.1328110872467283</v>
      </c>
      <c r="H57" s="67">
        <f t="shared" si="37"/>
        <v>0.96596886011807748</v>
      </c>
      <c r="I57" s="67">
        <f t="shared" si="37"/>
        <v>0.69732326037622139</v>
      </c>
      <c r="J57" s="67">
        <f t="shared" si="37"/>
        <v>2.3876544125859192</v>
      </c>
      <c r="K57" s="67">
        <f t="shared" si="37"/>
        <v>2.1630249043299137</v>
      </c>
      <c r="L57" s="67">
        <f t="shared" ref="L57:Q57" si="38">L55*30/L56</f>
        <v>1.6327881443934962</v>
      </c>
      <c r="M57" s="67">
        <f t="shared" si="38"/>
        <v>0.53907385044086664</v>
      </c>
      <c r="N57" s="67">
        <f t="shared" si="38"/>
        <v>0.91978268184505563</v>
      </c>
      <c r="O57" s="67">
        <f t="shared" si="38"/>
        <v>1.2397431013977636</v>
      </c>
      <c r="P57" s="67">
        <f t="shared" si="38"/>
        <v>3.6922331783572835</v>
      </c>
      <c r="Q57" s="67">
        <f t="shared" si="38"/>
        <v>0.84948315366460414</v>
      </c>
      <c r="R57" s="67">
        <f t="shared" ref="R57:X57" si="39">R55*30/R56</f>
        <v>1.5878933976158296</v>
      </c>
      <c r="S57" s="67">
        <f t="shared" si="39"/>
        <v>0.80320895050834862</v>
      </c>
      <c r="T57" s="67">
        <f t="shared" si="39"/>
        <v>0.89377026778316349</v>
      </c>
      <c r="U57" s="67">
        <f t="shared" si="39"/>
        <v>1.1813329289479972</v>
      </c>
      <c r="V57" s="67">
        <f t="shared" si="39"/>
        <v>0.74897617890229617</v>
      </c>
      <c r="W57" s="67">
        <f t="shared" si="39"/>
        <v>0.93906019632527638</v>
      </c>
      <c r="X57" s="67">
        <f t="shared" si="39"/>
        <v>2.7726624309689671</v>
      </c>
      <c r="Y57" s="67"/>
      <c r="Z57" s="67"/>
      <c r="AA57" s="67"/>
      <c r="AB57" s="67"/>
      <c r="AD57" t="str">
        <f>A57</f>
        <v>DIOH</v>
      </c>
      <c r="AE57" s="67">
        <f>D57</f>
        <v>1.7969080213060749</v>
      </c>
      <c r="AF57" s="67">
        <f>G57</f>
        <v>1.1328110872467283</v>
      </c>
      <c r="AG57" s="67">
        <f>J57</f>
        <v>2.3876544125859192</v>
      </c>
      <c r="AH57" s="67">
        <f>M57</f>
        <v>0.53907385044086664</v>
      </c>
      <c r="AI57" s="67">
        <f t="shared" si="33"/>
        <v>3.6922331783572835</v>
      </c>
      <c r="AJ57" s="67">
        <f t="shared" si="33"/>
        <v>0.84948315366460414</v>
      </c>
      <c r="AK57" s="67">
        <f>S57</f>
        <v>0.80320895050834862</v>
      </c>
      <c r="AL57" s="67">
        <f t="shared" si="34"/>
        <v>1.1813329289479972</v>
      </c>
      <c r="AM57" s="67">
        <f t="shared" si="34"/>
        <v>0.74897617890229617</v>
      </c>
      <c r="AN57" s="67">
        <f t="shared" si="34"/>
        <v>0.93906019632527638</v>
      </c>
      <c r="AO57" s="67">
        <f>X57</f>
        <v>2.7726624309689671</v>
      </c>
      <c r="AP57" s="67"/>
      <c r="AQ57" s="67"/>
      <c r="AR57" s="67"/>
      <c r="AS57" s="67"/>
    </row>
    <row r="58" spans="1:45" x14ac:dyDescent="0.2">
      <c r="A58" t="s">
        <v>59</v>
      </c>
      <c r="B58" s="67">
        <v>39.97772361144871</v>
      </c>
      <c r="C58" s="67">
        <v>33.286236099157279</v>
      </c>
      <c r="D58" s="67">
        <v>34.133497884207834</v>
      </c>
      <c r="E58" s="67">
        <v>39.148918715118896</v>
      </c>
      <c r="F58" s="67">
        <v>43.101758783100458</v>
      </c>
      <c r="G58" s="67">
        <v>43.786653215955596</v>
      </c>
      <c r="H58" s="67">
        <v>42.604106035852304</v>
      </c>
      <c r="I58" s="67">
        <v>34.363569672441159</v>
      </c>
      <c r="J58" s="67">
        <v>24.183560809403041</v>
      </c>
      <c r="K58" s="67">
        <v>31.635019834372287</v>
      </c>
      <c r="L58" s="67">
        <v>29.744408228791688</v>
      </c>
      <c r="M58" s="67">
        <v>37.829609708306599</v>
      </c>
      <c r="N58" s="67">
        <v>30.620292819901401</v>
      </c>
      <c r="O58" s="67">
        <v>34.164152461547431</v>
      </c>
      <c r="P58" s="67">
        <v>43.432265175004318</v>
      </c>
      <c r="Q58" s="67">
        <v>36.159593124967401</v>
      </c>
      <c r="R58" s="67">
        <v>33.167549711194305</v>
      </c>
      <c r="S58" s="67">
        <v>39.064038991306091</v>
      </c>
      <c r="T58" s="67">
        <v>35.829314128327987</v>
      </c>
      <c r="U58" s="67">
        <v>34.769572289010569</v>
      </c>
      <c r="V58" s="67">
        <v>31.17</v>
      </c>
      <c r="W58" s="67">
        <v>29.75</v>
      </c>
      <c r="X58" s="67">
        <v>33.82</v>
      </c>
      <c r="Y58" s="67"/>
      <c r="Z58" s="67"/>
      <c r="AA58" s="67"/>
      <c r="AB58" s="67"/>
      <c r="AD58" t="str">
        <f>A59</f>
        <v>Target</v>
      </c>
      <c r="AE58" s="67">
        <f>D59</f>
        <v>2</v>
      </c>
      <c r="AF58" s="67">
        <f>E59</f>
        <v>2</v>
      </c>
      <c r="AG58" s="67">
        <f>F59</f>
        <v>2</v>
      </c>
      <c r="AH58" s="67">
        <f>G59</f>
        <v>2</v>
      </c>
      <c r="AI58" s="69">
        <f>P59</f>
        <v>2</v>
      </c>
      <c r="AJ58" s="69">
        <f>Q59</f>
        <v>2</v>
      </c>
      <c r="AK58" s="69">
        <f>R59</f>
        <v>2</v>
      </c>
      <c r="AL58" s="69">
        <f>U59</f>
        <v>2</v>
      </c>
      <c r="AM58" s="69">
        <f>V59</f>
        <v>2</v>
      </c>
      <c r="AN58" s="69">
        <f>W59</f>
        <v>2</v>
      </c>
      <c r="AO58" s="69">
        <f>X59</f>
        <v>2</v>
      </c>
      <c r="AP58" s="67"/>
      <c r="AQ58" s="67"/>
      <c r="AR58" s="67"/>
      <c r="AS58" s="67"/>
    </row>
    <row r="59" spans="1:45" x14ac:dyDescent="0.2">
      <c r="A59" t="s">
        <v>26</v>
      </c>
      <c r="B59" s="69"/>
      <c r="C59" s="69"/>
      <c r="D59" s="69">
        <v>2</v>
      </c>
      <c r="E59" s="69">
        <v>2</v>
      </c>
      <c r="F59" s="69">
        <v>2</v>
      </c>
      <c r="G59" s="69">
        <v>2</v>
      </c>
      <c r="H59" s="69">
        <v>2</v>
      </c>
      <c r="I59" s="69">
        <v>2</v>
      </c>
      <c r="J59" s="69">
        <v>2</v>
      </c>
      <c r="K59" s="69">
        <v>2</v>
      </c>
      <c r="L59" s="69">
        <v>2</v>
      </c>
      <c r="M59" s="69">
        <v>2</v>
      </c>
      <c r="N59" s="69">
        <v>2</v>
      </c>
      <c r="O59" s="69">
        <v>2</v>
      </c>
      <c r="P59" s="69">
        <v>2</v>
      </c>
      <c r="Q59" s="69">
        <v>2</v>
      </c>
      <c r="R59" s="69">
        <v>2</v>
      </c>
      <c r="S59" s="69">
        <v>2</v>
      </c>
      <c r="T59" s="69">
        <v>2</v>
      </c>
      <c r="U59" s="69">
        <v>2</v>
      </c>
      <c r="V59" s="69">
        <v>2</v>
      </c>
      <c r="W59" s="69">
        <v>2</v>
      </c>
      <c r="X59" s="69">
        <v>2</v>
      </c>
      <c r="Y59" s="69"/>
      <c r="Z59" s="69"/>
      <c r="AA59" s="69"/>
      <c r="AB59" s="69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</row>
    <row r="60" spans="1:45" x14ac:dyDescent="0.2"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</row>
    <row r="61" spans="1:45" x14ac:dyDescent="0.2"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</row>
    <row r="62" spans="1:45" x14ac:dyDescent="0.2"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</row>
    <row r="63" spans="1:45" x14ac:dyDescent="0.2"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</row>
    <row r="64" spans="1:45" x14ac:dyDescent="0.2"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</row>
    <row r="65" spans="1:45" x14ac:dyDescent="0.2"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</row>
    <row r="66" spans="1:45" x14ac:dyDescent="0.2"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</row>
    <row r="67" spans="1:45" x14ac:dyDescent="0.2"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</row>
    <row r="68" spans="1:45" x14ac:dyDescent="0.2"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</row>
    <row r="69" spans="1:45" x14ac:dyDescent="0.2"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</row>
    <row r="70" spans="1:45" x14ac:dyDescent="0.2"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</row>
    <row r="71" spans="1:45" x14ac:dyDescent="0.2">
      <c r="A71" t="s">
        <v>29</v>
      </c>
      <c r="L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</row>
    <row r="72" spans="1:45" x14ac:dyDescent="0.2">
      <c r="A72" t="s">
        <v>31</v>
      </c>
      <c r="B72" t="s">
        <v>32</v>
      </c>
      <c r="C72" t="s">
        <v>33</v>
      </c>
      <c r="D72" t="s">
        <v>34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38</v>
      </c>
      <c r="K72" t="s">
        <v>15</v>
      </c>
      <c r="L72" t="s">
        <v>16</v>
      </c>
      <c r="M72" t="s">
        <v>17</v>
      </c>
      <c r="N72" t="s">
        <v>18</v>
      </c>
      <c r="O72" t="s">
        <v>19</v>
      </c>
      <c r="P72" t="s">
        <v>20</v>
      </c>
      <c r="Q72" s="69" t="s">
        <v>336</v>
      </c>
      <c r="R72" s="69" t="s">
        <v>337</v>
      </c>
      <c r="S72" s="69" t="s">
        <v>338</v>
      </c>
      <c r="T72" s="69" t="s">
        <v>339</v>
      </c>
      <c r="U72" s="69" t="str">
        <f>U48</f>
        <v>Aug' 16</v>
      </c>
      <c r="V72" s="69" t="str">
        <f>V48</f>
        <v>Sept' 16</v>
      </c>
      <c r="W72" s="69" t="str">
        <f>W48</f>
        <v>Oct' 16</v>
      </c>
      <c r="X72" s="69" t="str">
        <f>X48</f>
        <v>Nov' 16</v>
      </c>
      <c r="AD72" t="str">
        <f>A72</f>
        <v>Total Inventory</v>
      </c>
      <c r="AE72" s="67" t="str">
        <f>D72</f>
        <v>Mar' 15</v>
      </c>
      <c r="AF72" s="67" t="str">
        <f>G72</f>
        <v>Jun' 15</v>
      </c>
      <c r="AG72" s="67" t="str">
        <f>J72</f>
        <v>Sept' 15</v>
      </c>
      <c r="AH72" s="67" t="str">
        <f>M72</f>
        <v>Dec' 15</v>
      </c>
      <c r="AI72" s="69" t="str">
        <f t="shared" ref="AI72:AJ75" si="40">P72</f>
        <v>Mar' 16</v>
      </c>
      <c r="AJ72" s="69" t="str">
        <f t="shared" si="40"/>
        <v>Apr' 16</v>
      </c>
      <c r="AK72" s="69" t="str">
        <f>S72</f>
        <v>Jun' 16</v>
      </c>
      <c r="AL72" s="69" t="str">
        <f t="shared" ref="AL72:AO75" si="41">U72</f>
        <v>Aug' 16</v>
      </c>
      <c r="AM72" s="69" t="str">
        <f t="shared" si="41"/>
        <v>Sept' 16</v>
      </c>
      <c r="AN72" s="69" t="str">
        <f t="shared" si="41"/>
        <v>Oct' 16</v>
      </c>
      <c r="AO72" s="69" t="str">
        <f t="shared" si="41"/>
        <v>Nov' 16</v>
      </c>
      <c r="AP72" s="67"/>
      <c r="AQ72" s="67"/>
      <c r="AR72" s="67"/>
      <c r="AS72" s="67"/>
    </row>
    <row r="73" spans="1:45" x14ac:dyDescent="0.2">
      <c r="A73" t="s">
        <v>89</v>
      </c>
      <c r="B73" s="67"/>
      <c r="C73" s="67"/>
      <c r="D73" s="67">
        <v>7.0920726470000002</v>
      </c>
      <c r="E73" s="67">
        <v>8.4679114540000011</v>
      </c>
      <c r="F73" s="67">
        <v>7.7074465050000001</v>
      </c>
      <c r="G73" s="67">
        <v>11.554082583000003</v>
      </c>
      <c r="H73" s="67">
        <v>5.9558785599999977</v>
      </c>
      <c r="I73" s="67">
        <v>5.5420701700000006</v>
      </c>
      <c r="J73" s="67">
        <v>6.7813256299999995</v>
      </c>
      <c r="K73" s="67">
        <v>6.4918286010000017</v>
      </c>
      <c r="L73" s="67">
        <v>6.3954176099999991</v>
      </c>
      <c r="M73" s="67">
        <v>12.022503058000002</v>
      </c>
      <c r="N73" s="67">
        <v>11.254313795999993</v>
      </c>
      <c r="O73" s="67">
        <v>7.8232432170000044</v>
      </c>
      <c r="P73" s="67">
        <v>5.3900509879999969</v>
      </c>
      <c r="Q73" s="67">
        <v>9.9478284680000026</v>
      </c>
      <c r="R73" s="67">
        <v>13.895510381999994</v>
      </c>
      <c r="S73" s="67">
        <v>15.786290186999997</v>
      </c>
      <c r="T73" s="67">
        <v>9.6047505509999969</v>
      </c>
      <c r="U73" s="67">
        <v>6.8240011790000006</v>
      </c>
      <c r="V73" s="67">
        <v>5.429041251000001</v>
      </c>
      <c r="W73" s="67">
        <v>8.6836401419999998</v>
      </c>
      <c r="X73" s="67">
        <v>7.1443682419999996</v>
      </c>
      <c r="Y73" s="67"/>
      <c r="Z73" s="67"/>
      <c r="AA73" s="67"/>
      <c r="AB73" s="67"/>
      <c r="AD73" t="str">
        <f>A73</f>
        <v>FG Total Inventory</v>
      </c>
      <c r="AE73" s="67">
        <f>D73</f>
        <v>7.0920726470000002</v>
      </c>
      <c r="AF73" s="67">
        <f>G73</f>
        <v>11.554082583000003</v>
      </c>
      <c r="AG73" s="67">
        <f>J73</f>
        <v>6.7813256299999995</v>
      </c>
      <c r="AH73" s="67">
        <f>M73</f>
        <v>12.022503058000002</v>
      </c>
      <c r="AI73" s="67">
        <f t="shared" si="40"/>
        <v>5.3900509879999969</v>
      </c>
      <c r="AJ73" s="67">
        <f t="shared" si="40"/>
        <v>9.9478284680000026</v>
      </c>
      <c r="AK73" s="67">
        <f>S73</f>
        <v>15.786290186999997</v>
      </c>
      <c r="AL73" s="67">
        <f t="shared" si="41"/>
        <v>6.8240011790000006</v>
      </c>
      <c r="AM73" s="67">
        <f t="shared" si="41"/>
        <v>5.429041251000001</v>
      </c>
      <c r="AN73" s="67">
        <f t="shared" si="41"/>
        <v>8.6836401419999998</v>
      </c>
      <c r="AO73" s="67">
        <f>X73</f>
        <v>7.1443682419999996</v>
      </c>
      <c r="AP73" s="67"/>
      <c r="AQ73" s="67"/>
      <c r="AR73" s="67"/>
      <c r="AS73" s="67"/>
    </row>
    <row r="74" spans="1:45" x14ac:dyDescent="0.2">
      <c r="A74" t="s">
        <v>73</v>
      </c>
      <c r="B74" s="67"/>
      <c r="C74" s="67"/>
      <c r="D74" s="67">
        <f t="shared" ref="D74:J74" si="42">AVERAGE(B76:D76)</f>
        <v>35.799152531604612</v>
      </c>
      <c r="E74" s="67">
        <f t="shared" si="42"/>
        <v>35.522884232828005</v>
      </c>
      <c r="F74" s="67">
        <f t="shared" si="42"/>
        <v>38.794725127475722</v>
      </c>
      <c r="G74" s="67">
        <f t="shared" si="42"/>
        <v>42.01244357139165</v>
      </c>
      <c r="H74" s="67">
        <f t="shared" si="42"/>
        <v>43.164172678302783</v>
      </c>
      <c r="I74" s="67">
        <f t="shared" si="42"/>
        <v>40.251442974749686</v>
      </c>
      <c r="J74" s="67">
        <f t="shared" si="42"/>
        <v>33.717078839232165</v>
      </c>
      <c r="K74" s="67">
        <f>AVERAGE(I76:K76)</f>
        <v>30.060716772072158</v>
      </c>
      <c r="L74" s="67">
        <f t="shared" ref="L74:Q74" si="43">AVERAGE(J76:L76)</f>
        <v>28.520996290855674</v>
      </c>
      <c r="M74" s="67">
        <f t="shared" si="43"/>
        <v>33.069679257156857</v>
      </c>
      <c r="N74" s="67">
        <f t="shared" si="43"/>
        <v>32.731436918999897</v>
      </c>
      <c r="O74" s="67">
        <f t="shared" si="43"/>
        <v>34.204684996585144</v>
      </c>
      <c r="P74" s="67">
        <f t="shared" si="43"/>
        <v>32.982865914332088</v>
      </c>
      <c r="Q74" s="67">
        <f t="shared" si="43"/>
        <v>34.829299349354088</v>
      </c>
      <c r="R74" s="67">
        <f t="shared" ref="R74:X74" si="44">AVERAGE(P76:R76)</f>
        <v>34.497098432569715</v>
      </c>
      <c r="S74" s="67">
        <f t="shared" si="44"/>
        <v>36.130393942489263</v>
      </c>
      <c r="T74" s="67">
        <f t="shared" si="44"/>
        <v>36.020300943609463</v>
      </c>
      <c r="U74" s="67">
        <f t="shared" si="44"/>
        <v>36.554308469548211</v>
      </c>
      <c r="V74" s="67">
        <f t="shared" si="44"/>
        <v>33.922962139112848</v>
      </c>
      <c r="W74" s="67">
        <f t="shared" si="44"/>
        <v>31.896524096336858</v>
      </c>
      <c r="X74" s="67">
        <f t="shared" si="44"/>
        <v>31.580000000000002</v>
      </c>
      <c r="Y74" s="67"/>
      <c r="Z74" s="67"/>
      <c r="AA74" s="67"/>
      <c r="AB74" s="67"/>
      <c r="AD74" t="str">
        <f>A74</f>
        <v>Avg CoGS</v>
      </c>
      <c r="AE74" s="67">
        <f>D74</f>
        <v>35.799152531604612</v>
      </c>
      <c r="AF74" s="67">
        <f>G74</f>
        <v>42.01244357139165</v>
      </c>
      <c r="AG74" s="67">
        <f>J74</f>
        <v>33.717078839232165</v>
      </c>
      <c r="AH74" s="67">
        <f>M74</f>
        <v>33.069679257156857</v>
      </c>
      <c r="AI74" s="67">
        <f t="shared" si="40"/>
        <v>32.982865914332088</v>
      </c>
      <c r="AJ74" s="67">
        <f t="shared" si="40"/>
        <v>34.829299349354088</v>
      </c>
      <c r="AK74" s="67">
        <f>S74</f>
        <v>36.130393942489263</v>
      </c>
      <c r="AL74" s="67">
        <f t="shared" si="41"/>
        <v>36.554308469548211</v>
      </c>
      <c r="AM74" s="67">
        <f t="shared" si="41"/>
        <v>33.922962139112848</v>
      </c>
      <c r="AN74" s="67">
        <f t="shared" si="41"/>
        <v>31.896524096336858</v>
      </c>
      <c r="AO74" s="67">
        <f>X74</f>
        <v>31.580000000000002</v>
      </c>
      <c r="AP74" s="67"/>
      <c r="AQ74" s="67"/>
      <c r="AR74" s="67"/>
      <c r="AS74" s="67"/>
    </row>
    <row r="75" spans="1:45" x14ac:dyDescent="0.2">
      <c r="A75" t="s">
        <v>39</v>
      </c>
      <c r="B75" s="67"/>
      <c r="C75" s="67"/>
      <c r="D75" s="67">
        <f>D73*30/D74</f>
        <v>5.9432183268072309</v>
      </c>
      <c r="E75" s="67">
        <f t="shared" ref="E75:L75" si="45">E73*30/E74</f>
        <v>7.1513715484069493</v>
      </c>
      <c r="F75" s="67">
        <f t="shared" si="45"/>
        <v>5.9601761422518713</v>
      </c>
      <c r="G75" s="67">
        <f t="shared" si="45"/>
        <v>8.2504717180038654</v>
      </c>
      <c r="H75" s="67">
        <f t="shared" si="45"/>
        <v>4.1394597814176262</v>
      </c>
      <c r="I75" s="67">
        <f t="shared" si="45"/>
        <v>4.1305874476176827</v>
      </c>
      <c r="J75" s="67">
        <f t="shared" si="45"/>
        <v>6.0337305574432998</v>
      </c>
      <c r="K75" s="67">
        <f t="shared" si="45"/>
        <v>6.4787163761489746</v>
      </c>
      <c r="L75" s="67">
        <f t="shared" si="45"/>
        <v>6.7270626293484153</v>
      </c>
      <c r="M75" s="67">
        <f t="shared" ref="M75:X75" si="46">M73*30/M74</f>
        <v>10.906519199515479</v>
      </c>
      <c r="N75" s="67">
        <f t="shared" si="46"/>
        <v>10.31514182269258</v>
      </c>
      <c r="O75" s="67">
        <f t="shared" si="46"/>
        <v>6.8615540980257927</v>
      </c>
      <c r="P75" s="67">
        <f t="shared" si="46"/>
        <v>4.9025918505685562</v>
      </c>
      <c r="Q75" s="67">
        <f t="shared" si="46"/>
        <v>8.5685000736466019</v>
      </c>
      <c r="R75" s="67">
        <f t="shared" si="46"/>
        <v>12.084068817405964</v>
      </c>
      <c r="S75" s="67">
        <f t="shared" si="46"/>
        <v>13.107764791157194</v>
      </c>
      <c r="T75" s="67">
        <f t="shared" si="46"/>
        <v>7.999447783101342</v>
      </c>
      <c r="U75" s="67">
        <f t="shared" si="46"/>
        <v>5.6004351864717474</v>
      </c>
      <c r="V75" s="67">
        <f t="shared" si="46"/>
        <v>4.8012091886931971</v>
      </c>
      <c r="W75" s="67">
        <f t="shared" si="46"/>
        <v>8.1673226672970944</v>
      </c>
      <c r="X75" s="67">
        <f t="shared" si="46"/>
        <v>6.7869235991133623</v>
      </c>
      <c r="Y75" s="67"/>
      <c r="Z75" s="67"/>
      <c r="AA75" s="67"/>
      <c r="AB75" s="67"/>
      <c r="AD75" t="str">
        <f>A75</f>
        <v>DIOH</v>
      </c>
      <c r="AE75" s="67">
        <f>D75</f>
        <v>5.9432183268072309</v>
      </c>
      <c r="AF75" s="67">
        <f>G75</f>
        <v>8.2504717180038654</v>
      </c>
      <c r="AG75" s="67">
        <f>J75</f>
        <v>6.0337305574432998</v>
      </c>
      <c r="AH75" s="67">
        <f>M75</f>
        <v>10.906519199515479</v>
      </c>
      <c r="AI75" s="67">
        <f t="shared" si="40"/>
        <v>4.9025918505685562</v>
      </c>
      <c r="AJ75" s="67">
        <f t="shared" si="40"/>
        <v>8.5685000736466019</v>
      </c>
      <c r="AK75" s="67">
        <f>S75</f>
        <v>13.107764791157194</v>
      </c>
      <c r="AL75" s="67">
        <f t="shared" si="41"/>
        <v>5.6004351864717474</v>
      </c>
      <c r="AM75" s="67">
        <f t="shared" si="41"/>
        <v>4.8012091886931971</v>
      </c>
      <c r="AN75" s="67">
        <f t="shared" si="41"/>
        <v>8.1673226672970944</v>
      </c>
      <c r="AO75" s="67">
        <f>X75</f>
        <v>6.7869235991133623</v>
      </c>
      <c r="AP75" s="67"/>
      <c r="AQ75" s="67"/>
      <c r="AR75" s="67"/>
      <c r="AS75" s="67"/>
    </row>
    <row r="76" spans="1:45" x14ac:dyDescent="0.2">
      <c r="A76" t="s">
        <v>59</v>
      </c>
      <c r="B76" s="67">
        <v>39.97772361144871</v>
      </c>
      <c r="C76" s="67">
        <v>33.286236099157279</v>
      </c>
      <c r="D76" s="67">
        <v>34.133497884207834</v>
      </c>
      <c r="E76" s="67">
        <v>39.148918715118896</v>
      </c>
      <c r="F76" s="67">
        <v>43.101758783100458</v>
      </c>
      <c r="G76" s="67">
        <v>43.786653215955596</v>
      </c>
      <c r="H76" s="67">
        <v>42.604106035852304</v>
      </c>
      <c r="I76" s="67">
        <v>34.363569672441159</v>
      </c>
      <c r="J76" s="67">
        <v>24.183560809403041</v>
      </c>
      <c r="K76" s="67">
        <v>31.635019834372287</v>
      </c>
      <c r="L76" s="67">
        <v>29.744408228791688</v>
      </c>
      <c r="M76" s="67">
        <v>37.829609708306599</v>
      </c>
      <c r="N76" s="67">
        <v>30.620292819901401</v>
      </c>
      <c r="O76" s="67">
        <v>34.164152461547431</v>
      </c>
      <c r="P76" s="67">
        <v>34.164152461547431</v>
      </c>
      <c r="Q76" s="67">
        <v>36.159593124967401</v>
      </c>
      <c r="R76" s="67">
        <v>33.167549711194305</v>
      </c>
      <c r="S76" s="67">
        <v>39.064038991306091</v>
      </c>
      <c r="T76" s="67">
        <v>35.829314128327987</v>
      </c>
      <c r="U76" s="67">
        <v>34.769572289010569</v>
      </c>
      <c r="V76" s="67">
        <v>31.17</v>
      </c>
      <c r="W76" s="67">
        <v>29.75</v>
      </c>
      <c r="X76" s="67">
        <v>33.82</v>
      </c>
      <c r="Y76" s="67"/>
      <c r="Z76" s="67"/>
      <c r="AA76" s="67"/>
      <c r="AB76" s="67"/>
      <c r="AD76" t="str">
        <f>A77</f>
        <v>Target</v>
      </c>
      <c r="AE76" s="67">
        <f>D77</f>
        <v>4</v>
      </c>
      <c r="AF76" s="67">
        <f>E77</f>
        <v>4</v>
      </c>
      <c r="AG76" s="67">
        <f>F77</f>
        <v>4</v>
      </c>
      <c r="AH76" s="67">
        <f>G77</f>
        <v>4</v>
      </c>
      <c r="AI76" s="69">
        <f>P77</f>
        <v>4</v>
      </c>
      <c r="AJ76" s="69">
        <f>Q77</f>
        <v>4</v>
      </c>
      <c r="AK76" s="69">
        <f>R77</f>
        <v>4</v>
      </c>
      <c r="AL76" s="69">
        <f>U77</f>
        <v>4</v>
      </c>
      <c r="AM76" s="69">
        <f>V77</f>
        <v>4</v>
      </c>
      <c r="AN76" s="69">
        <f>W77</f>
        <v>4</v>
      </c>
      <c r="AO76" s="69">
        <f>X77</f>
        <v>4</v>
      </c>
      <c r="AP76" s="67"/>
      <c r="AQ76" s="67"/>
      <c r="AR76" s="67"/>
      <c r="AS76" s="67"/>
    </row>
    <row r="77" spans="1:45" x14ac:dyDescent="0.2">
      <c r="A77" t="s">
        <v>26</v>
      </c>
      <c r="B77" s="69"/>
      <c r="C77" s="69"/>
      <c r="D77" s="69">
        <v>4</v>
      </c>
      <c r="E77" s="69">
        <v>4</v>
      </c>
      <c r="F77" s="69">
        <v>4</v>
      </c>
      <c r="G77" s="69">
        <v>4</v>
      </c>
      <c r="H77" s="69">
        <v>4</v>
      </c>
      <c r="I77" s="69">
        <v>4</v>
      </c>
      <c r="J77" s="69">
        <v>4</v>
      </c>
      <c r="K77" s="69">
        <v>4</v>
      </c>
      <c r="L77" s="69">
        <v>4</v>
      </c>
      <c r="M77" s="69">
        <v>4</v>
      </c>
      <c r="N77" s="69">
        <v>4</v>
      </c>
      <c r="O77" s="69">
        <v>4</v>
      </c>
      <c r="P77" s="69">
        <v>4</v>
      </c>
      <c r="Q77" s="69">
        <v>4</v>
      </c>
      <c r="R77" s="69">
        <v>4</v>
      </c>
      <c r="S77" s="69">
        <v>4</v>
      </c>
      <c r="T77" s="69">
        <v>4</v>
      </c>
      <c r="U77" s="69">
        <v>4</v>
      </c>
      <c r="V77" s="69">
        <v>4</v>
      </c>
      <c r="W77" s="69">
        <v>4</v>
      </c>
      <c r="X77" s="69">
        <v>4</v>
      </c>
      <c r="Y77" s="69"/>
      <c r="Z77" s="69"/>
      <c r="AA77" s="69"/>
      <c r="AB77" s="69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</row>
    <row r="78" spans="1:45" x14ac:dyDescent="0.2">
      <c r="A78" t="s">
        <v>76</v>
      </c>
      <c r="B78" t="s">
        <v>32</v>
      </c>
      <c r="C78" t="s">
        <v>33</v>
      </c>
      <c r="D78" t="s">
        <v>34</v>
      </c>
      <c r="E78" t="s">
        <v>9</v>
      </c>
      <c r="F78" t="s">
        <v>10</v>
      </c>
      <c r="G78" t="s">
        <v>11</v>
      </c>
      <c r="H78" t="s">
        <v>12</v>
      </c>
      <c r="I78" t="s">
        <v>13</v>
      </c>
      <c r="J78" t="s">
        <v>38</v>
      </c>
      <c r="K78" t="s">
        <v>15</v>
      </c>
      <c r="L78" t="s">
        <v>16</v>
      </c>
      <c r="M78" t="s">
        <v>17</v>
      </c>
      <c r="N78" t="s">
        <v>18</v>
      </c>
      <c r="O78" t="s">
        <v>19</v>
      </c>
      <c r="P78" t="s">
        <v>20</v>
      </c>
      <c r="Q78" s="69" t="s">
        <v>336</v>
      </c>
      <c r="R78" s="69" t="s">
        <v>337</v>
      </c>
      <c r="S78" s="69" t="s">
        <v>338</v>
      </c>
      <c r="T78" s="69" t="s">
        <v>339</v>
      </c>
      <c r="U78" s="69" t="str">
        <f>U72</f>
        <v>Aug' 16</v>
      </c>
      <c r="V78" s="69" t="str">
        <f>V72</f>
        <v>Sept' 16</v>
      </c>
      <c r="W78" s="69" t="str">
        <f>W72</f>
        <v>Oct' 16</v>
      </c>
      <c r="X78" s="69" t="str">
        <f>X72</f>
        <v>Nov' 16</v>
      </c>
      <c r="AD78" t="str">
        <f>A78</f>
        <v>Moving Inventory</v>
      </c>
      <c r="AE78" s="67" t="str">
        <f>D78</f>
        <v>Mar' 15</v>
      </c>
      <c r="AF78" s="67" t="str">
        <f>G78</f>
        <v>Jun' 15</v>
      </c>
      <c r="AG78" s="67" t="str">
        <f>J78</f>
        <v>Sept' 15</v>
      </c>
      <c r="AH78" s="67" t="str">
        <f>M78</f>
        <v>Dec' 15</v>
      </c>
      <c r="AI78" s="69" t="str">
        <f t="shared" ref="AI78:AJ81" si="47">P78</f>
        <v>Mar' 16</v>
      </c>
      <c r="AJ78" s="69" t="str">
        <f t="shared" si="47"/>
        <v>Apr' 16</v>
      </c>
      <c r="AK78" s="69" t="str">
        <f>S78</f>
        <v>Jun' 16</v>
      </c>
      <c r="AL78" s="69" t="str">
        <f>U78</f>
        <v>Aug' 16</v>
      </c>
      <c r="AM78" s="69" t="str">
        <f>V78</f>
        <v>Sept' 16</v>
      </c>
      <c r="AN78" s="69" t="str">
        <f>W78</f>
        <v>Oct' 16</v>
      </c>
      <c r="AO78" s="69" t="str">
        <f>X78</f>
        <v>Nov' 16</v>
      </c>
      <c r="AP78" s="67"/>
      <c r="AQ78" s="67"/>
      <c r="AR78" s="67"/>
      <c r="AS78" s="67"/>
    </row>
    <row r="79" spans="1:45" x14ac:dyDescent="0.2">
      <c r="A79" t="s">
        <v>90</v>
      </c>
      <c r="B79" s="67"/>
      <c r="C79" s="67"/>
      <c r="D79" s="67">
        <v>3.9614045660000001</v>
      </c>
      <c r="E79" s="67">
        <v>3.8458551369999991</v>
      </c>
      <c r="F79" s="67">
        <v>4.556292008999999</v>
      </c>
      <c r="G79" s="67">
        <v>4.4099270010000025</v>
      </c>
      <c r="H79" s="67">
        <v>2.713936359999999</v>
      </c>
      <c r="I79" s="67">
        <v>3.2180275429999998</v>
      </c>
      <c r="J79" s="67">
        <v>3.6325173630000003</v>
      </c>
      <c r="K79" s="67">
        <v>3.7703462990000021</v>
      </c>
      <c r="L79" s="67">
        <v>5.6917809970000013</v>
      </c>
      <c r="M79" s="67">
        <v>11.171991390000002</v>
      </c>
      <c r="N79" s="67">
        <v>10.501668030999991</v>
      </c>
      <c r="O79" s="67">
        <v>7.1597295530000027</v>
      </c>
      <c r="P79" s="67">
        <v>4.4648528839999937</v>
      </c>
      <c r="Q79" s="67">
        <v>8.7661904949999983</v>
      </c>
      <c r="R79" s="67">
        <v>12.80644863499999</v>
      </c>
      <c r="S79" s="67">
        <v>14.297022956999994</v>
      </c>
      <c r="T79" s="67">
        <v>7.570918826999991</v>
      </c>
      <c r="U79" s="67">
        <v>5.8363359690000047</v>
      </c>
      <c r="V79" s="67">
        <v>4.9443905700000021</v>
      </c>
      <c r="W79" s="67">
        <v>7.9812163890000001</v>
      </c>
      <c r="X79" s="67">
        <v>6.5579866229999997</v>
      </c>
      <c r="Y79" s="67"/>
      <c r="Z79" s="67"/>
      <c r="AA79" s="67"/>
      <c r="AB79" s="67"/>
      <c r="AD79" t="str">
        <f>A79</f>
        <v>FG Moving Inventory</v>
      </c>
      <c r="AE79" s="67">
        <f>D79</f>
        <v>3.9614045660000001</v>
      </c>
      <c r="AF79" s="67">
        <f>G79</f>
        <v>4.4099270010000025</v>
      </c>
      <c r="AG79" s="67">
        <f>J79</f>
        <v>3.6325173630000003</v>
      </c>
      <c r="AH79" s="67">
        <f>M79</f>
        <v>11.171991390000002</v>
      </c>
      <c r="AI79" s="67">
        <f t="shared" si="47"/>
        <v>4.4648528839999937</v>
      </c>
      <c r="AJ79" s="67">
        <f t="shared" si="47"/>
        <v>8.7661904949999983</v>
      </c>
      <c r="AK79" s="67">
        <f>S79</f>
        <v>14.297022956999994</v>
      </c>
      <c r="AL79" s="67">
        <f t="shared" ref="AL79:AN81" si="48">U79</f>
        <v>5.8363359690000047</v>
      </c>
      <c r="AM79" s="67">
        <f t="shared" si="48"/>
        <v>4.9443905700000021</v>
      </c>
      <c r="AN79" s="67">
        <f t="shared" si="48"/>
        <v>7.9812163890000001</v>
      </c>
      <c r="AO79" s="67">
        <f>X79</f>
        <v>6.5579866229999997</v>
      </c>
      <c r="AP79" s="67"/>
      <c r="AQ79" s="67"/>
      <c r="AR79" s="67"/>
      <c r="AS79" s="67"/>
    </row>
    <row r="80" spans="1:45" x14ac:dyDescent="0.2">
      <c r="A80" t="s">
        <v>73</v>
      </c>
      <c r="B80" s="67"/>
      <c r="C80" s="67"/>
      <c r="D80" s="67">
        <f t="shared" ref="D80:J80" si="49">AVERAGE(B82:D82)</f>
        <v>35.799152531604612</v>
      </c>
      <c r="E80" s="67">
        <f t="shared" si="49"/>
        <v>35.522884232828005</v>
      </c>
      <c r="F80" s="67">
        <f t="shared" si="49"/>
        <v>38.794725127475722</v>
      </c>
      <c r="G80" s="67">
        <f t="shared" si="49"/>
        <v>42.01244357139165</v>
      </c>
      <c r="H80" s="67">
        <f t="shared" si="49"/>
        <v>43.164172678302783</v>
      </c>
      <c r="I80" s="67">
        <f t="shared" si="49"/>
        <v>40.251442974749686</v>
      </c>
      <c r="J80" s="67">
        <f t="shared" si="49"/>
        <v>33.717078839232165</v>
      </c>
      <c r="K80" s="67">
        <f>AVERAGE(I82:K82)</f>
        <v>30.060716772072158</v>
      </c>
      <c r="L80" s="67">
        <f t="shared" ref="L80:Q80" si="50">AVERAGE(J82:L82)</f>
        <v>28.520996290855674</v>
      </c>
      <c r="M80" s="67">
        <f t="shared" si="50"/>
        <v>33.069679257156857</v>
      </c>
      <c r="N80" s="67">
        <f t="shared" si="50"/>
        <v>32.731436918999897</v>
      </c>
      <c r="O80" s="67">
        <f t="shared" si="50"/>
        <v>34.204684996585144</v>
      </c>
      <c r="P80" s="67">
        <f t="shared" si="50"/>
        <v>36.072236818817714</v>
      </c>
      <c r="Q80" s="67">
        <f t="shared" si="50"/>
        <v>37.918670253839714</v>
      </c>
      <c r="R80" s="67">
        <f t="shared" ref="R80:X80" si="51">AVERAGE(P82:R82)</f>
        <v>37.586469337055341</v>
      </c>
      <c r="S80" s="67">
        <f t="shared" si="51"/>
        <v>36.130393942489263</v>
      </c>
      <c r="T80" s="67">
        <f t="shared" si="51"/>
        <v>36.020300943609463</v>
      </c>
      <c r="U80" s="67">
        <f t="shared" si="51"/>
        <v>36.554308469548211</v>
      </c>
      <c r="V80" s="67">
        <f t="shared" si="51"/>
        <v>33.922962139112848</v>
      </c>
      <c r="W80" s="67">
        <f t="shared" si="51"/>
        <v>31.896524096336858</v>
      </c>
      <c r="X80" s="67">
        <f t="shared" si="51"/>
        <v>31.580000000000002</v>
      </c>
      <c r="Y80" s="67"/>
      <c r="Z80" s="67"/>
      <c r="AA80" s="67"/>
      <c r="AB80" s="67"/>
      <c r="AD80" t="str">
        <f>A80</f>
        <v>Avg CoGS</v>
      </c>
      <c r="AE80" s="67">
        <f>D80</f>
        <v>35.799152531604612</v>
      </c>
      <c r="AF80" s="67">
        <f>G80</f>
        <v>42.01244357139165</v>
      </c>
      <c r="AG80" s="67">
        <f>J80</f>
        <v>33.717078839232165</v>
      </c>
      <c r="AH80" s="67">
        <f>M80</f>
        <v>33.069679257156857</v>
      </c>
      <c r="AI80" s="67">
        <f t="shared" si="47"/>
        <v>36.072236818817714</v>
      </c>
      <c r="AJ80" s="67">
        <f t="shared" si="47"/>
        <v>37.918670253839714</v>
      </c>
      <c r="AK80" s="67">
        <f>S80</f>
        <v>36.130393942489263</v>
      </c>
      <c r="AL80" s="67">
        <f t="shared" si="48"/>
        <v>36.554308469548211</v>
      </c>
      <c r="AM80" s="67">
        <f t="shared" si="48"/>
        <v>33.922962139112848</v>
      </c>
      <c r="AN80" s="67">
        <f t="shared" si="48"/>
        <v>31.896524096336858</v>
      </c>
      <c r="AO80" s="67">
        <f>X80</f>
        <v>31.580000000000002</v>
      </c>
      <c r="AP80" s="67"/>
      <c r="AQ80" s="67"/>
      <c r="AR80" s="67"/>
      <c r="AS80" s="67"/>
    </row>
    <row r="81" spans="1:45" x14ac:dyDescent="0.2">
      <c r="A81" t="s">
        <v>39</v>
      </c>
      <c r="B81" s="67"/>
      <c r="C81" s="67"/>
      <c r="D81" s="67">
        <f>D79*30/D80</f>
        <v>3.3196913495391391</v>
      </c>
      <c r="E81" s="67">
        <f t="shared" ref="E81:L81" si="52">E79*30/E80</f>
        <v>3.2479247280089121</v>
      </c>
      <c r="F81" s="67">
        <f t="shared" si="52"/>
        <v>3.52338519788074</v>
      </c>
      <c r="G81" s="67">
        <f t="shared" si="52"/>
        <v>3.1490148818691468</v>
      </c>
      <c r="H81" s="67">
        <f t="shared" si="52"/>
        <v>1.886242356752645</v>
      </c>
      <c r="I81" s="67">
        <f t="shared" si="52"/>
        <v>2.3984438607719345</v>
      </c>
      <c r="J81" s="67">
        <f t="shared" si="52"/>
        <v>3.2320570061721781</v>
      </c>
      <c r="K81" s="67">
        <f t="shared" si="52"/>
        <v>3.7627309364454349</v>
      </c>
      <c r="L81" s="67">
        <f t="shared" si="52"/>
        <v>5.9869377692372749</v>
      </c>
      <c r="M81" s="67">
        <f t="shared" ref="M81:X81" si="53">M79*30/M80</f>
        <v>10.134955924238836</v>
      </c>
      <c r="N81" s="67">
        <f t="shared" si="53"/>
        <v>9.6253043124764233</v>
      </c>
      <c r="O81" s="67">
        <f t="shared" si="53"/>
        <v>6.279604288460602</v>
      </c>
      <c r="P81" s="67">
        <f t="shared" si="53"/>
        <v>3.7132597901476614</v>
      </c>
      <c r="Q81" s="67">
        <f t="shared" si="53"/>
        <v>6.9355204992551007</v>
      </c>
      <c r="R81" s="67">
        <f t="shared" si="53"/>
        <v>10.221589466271983</v>
      </c>
      <c r="S81" s="67">
        <f t="shared" si="53"/>
        <v>11.871187715050119</v>
      </c>
      <c r="T81" s="67">
        <f t="shared" si="53"/>
        <v>6.3055432314564142</v>
      </c>
      <c r="U81" s="67">
        <f t="shared" si="53"/>
        <v>4.7898616168832735</v>
      </c>
      <c r="V81" s="67">
        <f t="shared" si="53"/>
        <v>4.3726050953839035</v>
      </c>
      <c r="W81" s="67">
        <f t="shared" si="53"/>
        <v>7.5066640787200383</v>
      </c>
      <c r="X81" s="67">
        <f t="shared" si="53"/>
        <v>6.2298796291956924</v>
      </c>
      <c r="Y81" s="67"/>
      <c r="Z81" s="67"/>
      <c r="AA81" s="67"/>
      <c r="AB81" s="67"/>
      <c r="AD81" t="str">
        <f>A81</f>
        <v>DIOH</v>
      </c>
      <c r="AE81" s="67">
        <f>D81</f>
        <v>3.3196913495391391</v>
      </c>
      <c r="AF81" s="67">
        <f>G81</f>
        <v>3.1490148818691468</v>
      </c>
      <c r="AG81" s="67">
        <f>J81</f>
        <v>3.2320570061721781</v>
      </c>
      <c r="AH81" s="67">
        <f>M81</f>
        <v>10.134955924238836</v>
      </c>
      <c r="AI81" s="67">
        <f t="shared" si="47"/>
        <v>3.7132597901476614</v>
      </c>
      <c r="AJ81" s="67">
        <f t="shared" si="47"/>
        <v>6.9355204992551007</v>
      </c>
      <c r="AK81" s="67">
        <f>S81</f>
        <v>11.871187715050119</v>
      </c>
      <c r="AL81" s="67">
        <f t="shared" si="48"/>
        <v>4.7898616168832735</v>
      </c>
      <c r="AM81" s="67">
        <f t="shared" si="48"/>
        <v>4.3726050953839035</v>
      </c>
      <c r="AN81" s="67">
        <f t="shared" si="48"/>
        <v>7.5066640787200383</v>
      </c>
      <c r="AO81" s="67">
        <f>X81</f>
        <v>6.2298796291956924</v>
      </c>
      <c r="AP81" s="67"/>
      <c r="AQ81" s="67"/>
      <c r="AR81" s="67"/>
      <c r="AS81" s="67"/>
    </row>
    <row r="82" spans="1:45" x14ac:dyDescent="0.2">
      <c r="A82" t="s">
        <v>59</v>
      </c>
      <c r="B82" s="67">
        <v>39.97772361144871</v>
      </c>
      <c r="C82" s="67">
        <v>33.286236099157279</v>
      </c>
      <c r="D82" s="67">
        <v>34.133497884207834</v>
      </c>
      <c r="E82" s="67">
        <v>39.148918715118896</v>
      </c>
      <c r="F82" s="67">
        <v>43.101758783100458</v>
      </c>
      <c r="G82" s="67">
        <v>43.786653215955596</v>
      </c>
      <c r="H82" s="67">
        <v>42.604106035852304</v>
      </c>
      <c r="I82" s="67">
        <v>34.363569672441159</v>
      </c>
      <c r="J82" s="67">
        <v>24.183560809403041</v>
      </c>
      <c r="K82" s="67">
        <v>31.635019834372287</v>
      </c>
      <c r="L82" s="67">
        <v>29.744408228791688</v>
      </c>
      <c r="M82" s="67">
        <v>37.829609708306599</v>
      </c>
      <c r="N82" s="67">
        <v>30.620292819901401</v>
      </c>
      <c r="O82" s="67">
        <v>34.164152461547431</v>
      </c>
      <c r="P82" s="67">
        <v>43.432265175004318</v>
      </c>
      <c r="Q82" s="67">
        <v>36.159593124967401</v>
      </c>
      <c r="R82" s="67">
        <v>33.167549711194305</v>
      </c>
      <c r="S82" s="67">
        <v>39.064038991306091</v>
      </c>
      <c r="T82" s="67">
        <v>35.829314128327987</v>
      </c>
      <c r="U82" s="67">
        <v>34.769572289010569</v>
      </c>
      <c r="V82" s="67">
        <v>31.17</v>
      </c>
      <c r="W82" s="67">
        <v>29.75</v>
      </c>
      <c r="X82" s="67">
        <v>33.82</v>
      </c>
      <c r="Y82" s="67"/>
      <c r="Z82" s="67"/>
      <c r="AA82" s="67"/>
      <c r="AB82" s="67"/>
      <c r="AD82" t="str">
        <f>A83</f>
        <v>Target</v>
      </c>
      <c r="AE82" s="67">
        <f>D83</f>
        <v>4</v>
      </c>
      <c r="AF82" s="67">
        <f>E83</f>
        <v>4</v>
      </c>
      <c r="AG82" s="67">
        <f>F83</f>
        <v>4</v>
      </c>
      <c r="AH82" s="67">
        <f>G83</f>
        <v>4</v>
      </c>
      <c r="AI82" s="69">
        <f>P83</f>
        <v>4</v>
      </c>
      <c r="AJ82" s="69">
        <f>Q83</f>
        <v>4</v>
      </c>
      <c r="AK82" s="69">
        <f>R83</f>
        <v>4</v>
      </c>
      <c r="AL82" s="69">
        <f>U83</f>
        <v>4</v>
      </c>
      <c r="AM82" s="69">
        <f>V83</f>
        <v>4</v>
      </c>
      <c r="AN82" s="69">
        <f>W83</f>
        <v>4</v>
      </c>
      <c r="AO82" s="69">
        <f>X83</f>
        <v>4</v>
      </c>
      <c r="AP82" s="67"/>
      <c r="AQ82" s="67"/>
      <c r="AR82" s="67"/>
      <c r="AS82" s="67"/>
    </row>
    <row r="83" spans="1:45" x14ac:dyDescent="0.2">
      <c r="A83" t="s">
        <v>26</v>
      </c>
      <c r="B83" s="69"/>
      <c r="C83" s="69"/>
      <c r="D83" s="69">
        <v>4</v>
      </c>
      <c r="E83" s="69">
        <v>4</v>
      </c>
      <c r="F83" s="69">
        <v>4</v>
      </c>
      <c r="G83" s="69">
        <v>4</v>
      </c>
      <c r="H83" s="69">
        <v>4</v>
      </c>
      <c r="I83" s="69">
        <v>4</v>
      </c>
      <c r="J83" s="69">
        <v>4</v>
      </c>
      <c r="K83" s="69">
        <v>4</v>
      </c>
      <c r="L83" s="69">
        <v>4</v>
      </c>
      <c r="M83" s="69">
        <v>4</v>
      </c>
      <c r="N83" s="69">
        <v>4</v>
      </c>
      <c r="O83" s="69">
        <v>4</v>
      </c>
      <c r="P83" s="69">
        <v>4</v>
      </c>
      <c r="Q83" s="69">
        <v>4</v>
      </c>
      <c r="R83" s="69">
        <v>4</v>
      </c>
      <c r="S83" s="69">
        <v>4</v>
      </c>
      <c r="T83" s="69">
        <v>4</v>
      </c>
      <c r="U83" s="69">
        <v>4</v>
      </c>
      <c r="V83" s="69">
        <v>4</v>
      </c>
      <c r="W83" s="69">
        <v>4</v>
      </c>
      <c r="X83" s="69">
        <v>4</v>
      </c>
      <c r="Y83" s="69"/>
      <c r="Z83" s="69"/>
      <c r="AA83" s="69"/>
      <c r="AB83" s="69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</row>
    <row r="84" spans="1:45" x14ac:dyDescent="0.2"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</row>
    <row r="85" spans="1:45" x14ac:dyDescent="0.2"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</row>
    <row r="86" spans="1:45" x14ac:dyDescent="0.2"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</row>
    <row r="87" spans="1:45" x14ac:dyDescent="0.2"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</row>
    <row r="88" spans="1:45" x14ac:dyDescent="0.2"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</row>
    <row r="89" spans="1:45" x14ac:dyDescent="0.2"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</row>
    <row r="90" spans="1:45" x14ac:dyDescent="0.2"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</row>
    <row r="91" spans="1:45" x14ac:dyDescent="0.2"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</row>
    <row r="92" spans="1:45" x14ac:dyDescent="0.2"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</row>
    <row r="93" spans="1:45" x14ac:dyDescent="0.2">
      <c r="A93" t="s">
        <v>91</v>
      </c>
      <c r="B93" s="69" t="s">
        <v>32</v>
      </c>
      <c r="C93" s="69" t="s">
        <v>33</v>
      </c>
      <c r="D93" s="69" t="s">
        <v>34</v>
      </c>
      <c r="E93" s="69" t="s">
        <v>9</v>
      </c>
      <c r="F93" s="69" t="s">
        <v>10</v>
      </c>
      <c r="G93" s="69" t="s">
        <v>11</v>
      </c>
      <c r="H93" s="69" t="s">
        <v>12</v>
      </c>
      <c r="I93" s="69" t="s">
        <v>13</v>
      </c>
      <c r="J93" s="69" t="s">
        <v>38</v>
      </c>
      <c r="K93" s="69" t="s">
        <v>15</v>
      </c>
      <c r="L93" s="69" t="s">
        <v>16</v>
      </c>
      <c r="M93" s="69" t="s">
        <v>17</v>
      </c>
      <c r="N93" s="69" t="s">
        <v>18</v>
      </c>
      <c r="O93" s="69" t="s">
        <v>19</v>
      </c>
      <c r="P93" s="69" t="s">
        <v>20</v>
      </c>
      <c r="Q93" s="69" t="s">
        <v>336</v>
      </c>
      <c r="R93" s="69" t="s">
        <v>337</v>
      </c>
      <c r="S93" s="69" t="s">
        <v>338</v>
      </c>
      <c r="T93" s="69" t="s">
        <v>339</v>
      </c>
      <c r="U93" s="69" t="str">
        <f>U78</f>
        <v>Aug' 16</v>
      </c>
      <c r="V93" s="69" t="str">
        <f>V78</f>
        <v>Sept' 16</v>
      </c>
      <c r="W93" s="69" t="str">
        <f>W78</f>
        <v>Oct' 16</v>
      </c>
      <c r="X93" s="69" t="str">
        <f>X78</f>
        <v>Nov' 16</v>
      </c>
      <c r="Y93" s="69"/>
      <c r="Z93" s="69"/>
      <c r="AA93" s="69"/>
      <c r="AB93" s="69"/>
      <c r="AD93" t="str">
        <f>A93</f>
        <v>RM+PM Inventory</v>
      </c>
      <c r="AE93" s="67" t="str">
        <f>D93</f>
        <v>Mar' 15</v>
      </c>
      <c r="AF93" s="67" t="str">
        <f>G93</f>
        <v>Jun' 15</v>
      </c>
      <c r="AG93" s="67" t="str">
        <f>J93</f>
        <v>Sept' 15</v>
      </c>
      <c r="AH93" s="67" t="str">
        <f>M93</f>
        <v>Dec' 15</v>
      </c>
      <c r="AI93" s="69" t="str">
        <f t="shared" ref="AI93:AJ96" si="54">P93</f>
        <v>Mar' 16</v>
      </c>
      <c r="AJ93" s="69" t="str">
        <f t="shared" si="54"/>
        <v>Apr' 16</v>
      </c>
      <c r="AK93" s="69" t="str">
        <f>S93</f>
        <v>Jun' 16</v>
      </c>
      <c r="AL93" s="69" t="str">
        <f>U93</f>
        <v>Aug' 16</v>
      </c>
      <c r="AM93" s="69" t="str">
        <f>V93</f>
        <v>Sept' 16</v>
      </c>
      <c r="AN93" s="69" t="str">
        <f>W93</f>
        <v>Oct' 16</v>
      </c>
      <c r="AO93" s="69" t="str">
        <f>X93</f>
        <v>Nov' 16</v>
      </c>
      <c r="AP93" s="67"/>
      <c r="AQ93" s="67"/>
      <c r="AR93" s="67"/>
      <c r="AS93" s="67"/>
    </row>
    <row r="94" spans="1:45" x14ac:dyDescent="0.2">
      <c r="A94" t="s">
        <v>92</v>
      </c>
      <c r="B94" s="67"/>
      <c r="C94" s="67"/>
      <c r="D94" s="67">
        <f t="shared" ref="D94:Q94" si="55">D5+D27</f>
        <v>17.355232212999994</v>
      </c>
      <c r="E94" s="67">
        <f t="shared" si="55"/>
        <v>14.689678861000001</v>
      </c>
      <c r="F94" s="67">
        <f t="shared" si="55"/>
        <v>14.431056086999995</v>
      </c>
      <c r="G94" s="67">
        <f t="shared" si="55"/>
        <v>14.858424928000002</v>
      </c>
      <c r="H94" s="67">
        <f t="shared" si="55"/>
        <v>13.979862446999999</v>
      </c>
      <c r="I94" s="67">
        <f t="shared" si="55"/>
        <v>15.230189738999998</v>
      </c>
      <c r="J94" s="67">
        <f t="shared" si="55"/>
        <v>13.837365760000004</v>
      </c>
      <c r="K94" s="67">
        <f t="shared" si="55"/>
        <v>13.842094177000003</v>
      </c>
      <c r="L94" s="67">
        <f t="shared" si="55"/>
        <v>15.664071856999996</v>
      </c>
      <c r="M94" s="67">
        <f t="shared" si="55"/>
        <v>14.044713238999998</v>
      </c>
      <c r="N94" s="67">
        <f t="shared" si="55"/>
        <v>12.585206112999998</v>
      </c>
      <c r="O94" s="67">
        <f t="shared" si="55"/>
        <v>14.496474419000002</v>
      </c>
      <c r="P94" s="67">
        <f t="shared" si="55"/>
        <v>14.819696113999992</v>
      </c>
      <c r="Q94" s="67">
        <f t="shared" si="55"/>
        <v>16.033502952000006</v>
      </c>
      <c r="R94" s="67">
        <f t="shared" ref="R94:X94" si="56">R5+R27</f>
        <v>15.255344949999994</v>
      </c>
      <c r="S94" s="67">
        <f t="shared" si="56"/>
        <v>15.380825657999996</v>
      </c>
      <c r="T94" s="67">
        <f t="shared" si="56"/>
        <v>14.490053559999996</v>
      </c>
      <c r="U94" s="67">
        <f t="shared" si="56"/>
        <v>15.007073004999999</v>
      </c>
      <c r="V94" s="67">
        <f t="shared" si="56"/>
        <v>17.215901505000005</v>
      </c>
      <c r="W94" s="67">
        <f t="shared" si="56"/>
        <v>19.959033840999989</v>
      </c>
      <c r="X94" s="67">
        <f t="shared" si="56"/>
        <v>21.003405677</v>
      </c>
      <c r="Y94" s="67"/>
      <c r="Z94" s="67"/>
      <c r="AA94" s="67"/>
      <c r="AB94" s="67"/>
      <c r="AD94" t="str">
        <f>A94</f>
        <v>RM+PM Total Inventory</v>
      </c>
      <c r="AE94" s="67">
        <f>D94</f>
        <v>17.355232212999994</v>
      </c>
      <c r="AF94" s="67">
        <f>G94</f>
        <v>14.858424928000002</v>
      </c>
      <c r="AG94" s="67">
        <f>J94</f>
        <v>13.837365760000004</v>
      </c>
      <c r="AH94" s="67">
        <f>M94</f>
        <v>14.044713238999998</v>
      </c>
      <c r="AI94" s="67">
        <f t="shared" si="54"/>
        <v>14.819696113999992</v>
      </c>
      <c r="AJ94" s="67">
        <f t="shared" si="54"/>
        <v>16.033502952000006</v>
      </c>
      <c r="AK94" s="67">
        <f>S94</f>
        <v>15.380825657999996</v>
      </c>
      <c r="AL94" s="67">
        <f t="shared" ref="AL94:AO96" si="57">U94</f>
        <v>15.007073004999999</v>
      </c>
      <c r="AM94" s="67">
        <f t="shared" si="57"/>
        <v>17.215901505000005</v>
      </c>
      <c r="AN94" s="67">
        <f t="shared" si="57"/>
        <v>19.959033840999989</v>
      </c>
      <c r="AO94" s="67">
        <f t="shared" si="57"/>
        <v>21.003405677</v>
      </c>
      <c r="AP94" s="67"/>
      <c r="AQ94" s="67"/>
      <c r="AR94" s="67"/>
      <c r="AS94" s="67"/>
    </row>
    <row r="95" spans="1:45" x14ac:dyDescent="0.2">
      <c r="A95" t="s">
        <v>93</v>
      </c>
      <c r="B95" s="67"/>
      <c r="C95" s="67"/>
      <c r="D95" s="67">
        <f>AVERAGE(B97:D97)</f>
        <v>14.732762444198171</v>
      </c>
      <c r="E95" s="67">
        <f t="shared" ref="E95:Q95" si="58">AVERAGE(C97:E97)</f>
        <v>13.900290354045268</v>
      </c>
      <c r="F95" s="67">
        <f t="shared" si="58"/>
        <v>16.016637987905082</v>
      </c>
      <c r="G95" s="67">
        <f t="shared" si="58"/>
        <v>17.502900256856883</v>
      </c>
      <c r="H95" s="67">
        <f t="shared" si="58"/>
        <v>18.294808741505715</v>
      </c>
      <c r="I95" s="67">
        <f t="shared" si="58"/>
        <v>16.415317033975573</v>
      </c>
      <c r="J95" s="67">
        <f t="shared" si="58"/>
        <v>13.987074970299593</v>
      </c>
      <c r="K95" s="67">
        <f t="shared" si="58"/>
        <v>13.446492018402921</v>
      </c>
      <c r="L95" s="67">
        <f t="shared" si="58"/>
        <v>13.951433912284608</v>
      </c>
      <c r="M95" s="67">
        <f t="shared" si="58"/>
        <v>15.136126787542016</v>
      </c>
      <c r="N95" s="67">
        <f t="shared" si="58"/>
        <v>14.317623295609252</v>
      </c>
      <c r="O95" s="67">
        <f t="shared" si="58"/>
        <v>13.925610126436689</v>
      </c>
      <c r="P95" s="67">
        <f t="shared" si="58"/>
        <v>14.542438319780914</v>
      </c>
      <c r="Q95" s="67">
        <f t="shared" si="58"/>
        <v>14.764516189280608</v>
      </c>
      <c r="R95" s="67">
        <f t="shared" ref="R95:X95" si="59">AVERAGE(P97:R97)</f>
        <v>15.63972694577545</v>
      </c>
      <c r="S95" s="67">
        <f t="shared" si="59"/>
        <v>15.027234207800115</v>
      </c>
      <c r="T95" s="67">
        <f t="shared" si="59"/>
        <v>14.600641163927842</v>
      </c>
      <c r="U95" s="67">
        <f t="shared" si="59"/>
        <v>14.232798435229496</v>
      </c>
      <c r="V95" s="67">
        <f t="shared" si="59"/>
        <v>13.244939822809144</v>
      </c>
      <c r="W95" s="67">
        <f t="shared" si="59"/>
        <v>13.277317867421894</v>
      </c>
      <c r="X95" s="67">
        <f t="shared" si="59"/>
        <v>13.222906229008332</v>
      </c>
      <c r="Y95" s="67"/>
      <c r="Z95" s="67"/>
      <c r="AA95" s="67"/>
      <c r="AB95" s="67"/>
      <c r="AD95" t="str">
        <f>A95</f>
        <v>Avg RM+PM Consum</v>
      </c>
      <c r="AE95" s="67">
        <f>D95</f>
        <v>14.732762444198171</v>
      </c>
      <c r="AF95" s="67">
        <f>G95</f>
        <v>17.502900256856883</v>
      </c>
      <c r="AG95" s="67">
        <f>J95</f>
        <v>13.987074970299593</v>
      </c>
      <c r="AH95" s="67">
        <f>M95</f>
        <v>15.136126787542016</v>
      </c>
      <c r="AI95" s="67">
        <f t="shared" si="54"/>
        <v>14.542438319780914</v>
      </c>
      <c r="AJ95" s="67">
        <f t="shared" si="54"/>
        <v>14.764516189280608</v>
      </c>
      <c r="AK95" s="67">
        <f>S95</f>
        <v>15.027234207800115</v>
      </c>
      <c r="AL95" s="67">
        <f t="shared" si="57"/>
        <v>14.232798435229496</v>
      </c>
      <c r="AM95" s="67">
        <f t="shared" si="57"/>
        <v>13.244939822809144</v>
      </c>
      <c r="AN95" s="67">
        <f t="shared" si="57"/>
        <v>13.277317867421894</v>
      </c>
      <c r="AO95" s="67">
        <f t="shared" si="57"/>
        <v>13.222906229008332</v>
      </c>
      <c r="AP95" s="67"/>
      <c r="AQ95" s="67"/>
      <c r="AR95" s="67"/>
      <c r="AS95" s="67"/>
    </row>
    <row r="96" spans="1:45" x14ac:dyDescent="0.2">
      <c r="A96" t="s">
        <v>39</v>
      </c>
      <c r="B96" s="67"/>
      <c r="C96" s="67"/>
      <c r="D96" s="67">
        <f>D94*30/D95</f>
        <v>35.340077487982363</v>
      </c>
      <c r="E96" s="67">
        <f t="shared" ref="E96:P96" si="60">E94*30/E95</f>
        <v>31.703680614250633</v>
      </c>
      <c r="F96" s="67">
        <f t="shared" si="60"/>
        <v>27.030122235198608</v>
      </c>
      <c r="G96" s="67">
        <f t="shared" si="60"/>
        <v>25.467364910873744</v>
      </c>
      <c r="H96" s="67">
        <f t="shared" si="60"/>
        <v>22.924310351411879</v>
      </c>
      <c r="I96" s="67">
        <f t="shared" si="60"/>
        <v>27.834107085737074</v>
      </c>
      <c r="J96" s="67">
        <f t="shared" si="60"/>
        <v>29.67889810281817</v>
      </c>
      <c r="K96" s="67">
        <f t="shared" si="60"/>
        <v>30.882614197195061</v>
      </c>
      <c r="L96" s="67">
        <f t="shared" si="60"/>
        <v>33.682713810242895</v>
      </c>
      <c r="M96" s="67">
        <f t="shared" si="60"/>
        <v>27.83680416292432</v>
      </c>
      <c r="N96" s="67">
        <f t="shared" si="60"/>
        <v>26.37003192462705</v>
      </c>
      <c r="O96" s="67">
        <f t="shared" si="60"/>
        <v>31.229815327400779</v>
      </c>
      <c r="P96" s="67">
        <f t="shared" si="60"/>
        <v>30.5719628059387</v>
      </c>
      <c r="Q96" s="67">
        <f t="shared" ref="Q96:X96" si="61">Q94*30/Q95</f>
        <v>32.578452445954269</v>
      </c>
      <c r="R96" s="67">
        <f t="shared" si="61"/>
        <v>29.262681508875158</v>
      </c>
      <c r="S96" s="67">
        <f t="shared" si="61"/>
        <v>30.705901256299732</v>
      </c>
      <c r="T96" s="67">
        <f t="shared" si="61"/>
        <v>29.772775176063373</v>
      </c>
      <c r="U96" s="67">
        <f t="shared" si="61"/>
        <v>31.632021783967641</v>
      </c>
      <c r="V96" s="67">
        <f t="shared" si="61"/>
        <v>38.994291560356785</v>
      </c>
      <c r="W96" s="67">
        <f t="shared" si="61"/>
        <v>45.097287058192968</v>
      </c>
      <c r="X96" s="67">
        <f t="shared" si="61"/>
        <v>47.652320858759907</v>
      </c>
      <c r="Y96" s="67"/>
      <c r="Z96" s="67"/>
      <c r="AA96" s="67"/>
      <c r="AB96" s="67"/>
      <c r="AD96" t="str">
        <f>A96</f>
        <v>DIOH</v>
      </c>
      <c r="AE96" s="67">
        <f>D96</f>
        <v>35.340077487982363</v>
      </c>
      <c r="AF96" s="67">
        <f>G96</f>
        <v>25.467364910873744</v>
      </c>
      <c r="AG96" s="67">
        <f>J96</f>
        <v>29.67889810281817</v>
      </c>
      <c r="AH96" s="67">
        <f>M96</f>
        <v>27.83680416292432</v>
      </c>
      <c r="AI96" s="67">
        <f t="shared" si="54"/>
        <v>30.5719628059387</v>
      </c>
      <c r="AJ96" s="67">
        <f t="shared" si="54"/>
        <v>32.578452445954269</v>
      </c>
      <c r="AK96" s="67">
        <f>S96</f>
        <v>30.705901256299732</v>
      </c>
      <c r="AL96" s="67">
        <f t="shared" si="57"/>
        <v>31.632021783967641</v>
      </c>
      <c r="AM96" s="67">
        <f t="shared" si="57"/>
        <v>38.994291560356785</v>
      </c>
      <c r="AN96" s="67">
        <f t="shared" si="57"/>
        <v>45.097287058192968</v>
      </c>
      <c r="AO96" s="67">
        <f t="shared" si="57"/>
        <v>47.652320858759907</v>
      </c>
      <c r="AP96" s="67"/>
      <c r="AQ96" s="67"/>
      <c r="AR96" s="67"/>
      <c r="AS96" s="67"/>
    </row>
    <row r="97" spans="1:45" x14ac:dyDescent="0.2">
      <c r="A97" t="s">
        <v>94</v>
      </c>
      <c r="B97" s="67">
        <f t="shared" ref="B97:O97" si="62">B8+B30</f>
        <v>17.897771309680003</v>
      </c>
      <c r="C97" s="67">
        <f t="shared" si="62"/>
        <v>11.705200793359818</v>
      </c>
      <c r="D97" s="67">
        <f t="shared" si="62"/>
        <v>14.595315229554689</v>
      </c>
      <c r="E97" s="67">
        <f t="shared" si="62"/>
        <v>15.400355039221299</v>
      </c>
      <c r="F97" s="67">
        <f t="shared" si="62"/>
        <v>18.054243694939252</v>
      </c>
      <c r="G97" s="67">
        <f t="shared" si="62"/>
        <v>19.054102036410093</v>
      </c>
      <c r="H97" s="67">
        <f t="shared" si="62"/>
        <v>17.776080493167804</v>
      </c>
      <c r="I97" s="67">
        <f t="shared" si="62"/>
        <v>12.415768572348821</v>
      </c>
      <c r="J97" s="67">
        <f t="shared" si="62"/>
        <v>11.769375845382152</v>
      </c>
      <c r="K97" s="67">
        <f t="shared" si="62"/>
        <v>16.154331637477789</v>
      </c>
      <c r="L97" s="67">
        <f t="shared" si="62"/>
        <v>13.930594253993885</v>
      </c>
      <c r="M97" s="67">
        <f t="shared" si="62"/>
        <v>15.323454471154378</v>
      </c>
      <c r="N97" s="67">
        <f t="shared" si="62"/>
        <v>13.698821161679493</v>
      </c>
      <c r="O97" s="67">
        <f t="shared" si="62"/>
        <v>12.754554746476199</v>
      </c>
      <c r="P97" s="67">
        <f t="shared" ref="P97:X97" si="63">P8+P30</f>
        <v>17.173939051187052</v>
      </c>
      <c r="Q97" s="67">
        <f t="shared" si="63"/>
        <v>14.365054770178574</v>
      </c>
      <c r="R97" s="67">
        <f t="shared" si="63"/>
        <v>15.380187015960722</v>
      </c>
      <c r="S97" s="67">
        <f t="shared" si="63"/>
        <v>15.33646083726105</v>
      </c>
      <c r="T97" s="67">
        <f t="shared" si="63"/>
        <v>13.08527563856175</v>
      </c>
      <c r="U97" s="67">
        <f t="shared" si="63"/>
        <v>14.276658829865687</v>
      </c>
      <c r="V97" s="67">
        <f t="shared" si="63"/>
        <v>12.372885</v>
      </c>
      <c r="W97" s="67">
        <f t="shared" si="63"/>
        <v>13.1824097724</v>
      </c>
      <c r="X97" s="67">
        <f t="shared" si="63"/>
        <v>14.113423914625001</v>
      </c>
      <c r="Y97" s="67"/>
      <c r="Z97" s="67"/>
      <c r="AA97" s="67"/>
      <c r="AB97" s="67"/>
      <c r="AD97" s="70" t="str">
        <f>A98</f>
        <v>Target</v>
      </c>
      <c r="AE97" s="68">
        <v>25</v>
      </c>
      <c r="AF97" s="68">
        <v>25</v>
      </c>
      <c r="AG97" s="68">
        <v>25</v>
      </c>
      <c r="AH97" s="68">
        <v>25</v>
      </c>
      <c r="AI97" s="69">
        <f>P98</f>
        <v>25</v>
      </c>
      <c r="AJ97" s="69">
        <f>Q98</f>
        <v>25</v>
      </c>
      <c r="AK97" s="69">
        <f>R98</f>
        <v>25</v>
      </c>
      <c r="AL97" s="67">
        <f>U98</f>
        <v>25</v>
      </c>
      <c r="AM97" s="67">
        <f>V98</f>
        <v>25</v>
      </c>
      <c r="AN97" s="67">
        <f>W98</f>
        <v>25</v>
      </c>
      <c r="AO97" s="67">
        <f>X98</f>
        <v>25</v>
      </c>
      <c r="AP97" s="68"/>
      <c r="AQ97" s="68"/>
      <c r="AR97" s="68"/>
      <c r="AS97" s="68"/>
    </row>
    <row r="98" spans="1:45" x14ac:dyDescent="0.2">
      <c r="A98" t="s">
        <v>26</v>
      </c>
      <c r="B98" s="67"/>
      <c r="C98" s="69"/>
      <c r="D98" s="67">
        <v>25</v>
      </c>
      <c r="E98" s="67">
        <v>25</v>
      </c>
      <c r="F98" s="67">
        <v>25</v>
      </c>
      <c r="G98" s="67">
        <v>25</v>
      </c>
      <c r="H98" s="67">
        <v>25</v>
      </c>
      <c r="I98" s="67">
        <v>25</v>
      </c>
      <c r="J98" s="67">
        <v>25</v>
      </c>
      <c r="K98" s="67">
        <v>25</v>
      </c>
      <c r="L98" s="67">
        <v>25</v>
      </c>
      <c r="M98" s="67">
        <v>25</v>
      </c>
      <c r="N98" s="67">
        <v>25</v>
      </c>
      <c r="O98" s="67">
        <v>25</v>
      </c>
      <c r="P98" s="67">
        <v>25</v>
      </c>
      <c r="Q98" s="67">
        <v>25</v>
      </c>
      <c r="R98" s="67">
        <v>25</v>
      </c>
      <c r="S98" s="67">
        <v>25</v>
      </c>
      <c r="T98" s="67">
        <v>25</v>
      </c>
      <c r="U98" s="67">
        <v>25</v>
      </c>
      <c r="V98" s="67">
        <v>25</v>
      </c>
      <c r="W98" s="67">
        <v>25</v>
      </c>
      <c r="X98" s="67">
        <v>25</v>
      </c>
      <c r="Y98" s="67"/>
      <c r="Z98" s="67"/>
      <c r="AA98" s="67"/>
      <c r="AB98" s="6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</row>
    <row r="99" spans="1:45" x14ac:dyDescent="0.2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</row>
    <row r="100" spans="1:45" x14ac:dyDescent="0.2">
      <c r="A100" t="s">
        <v>76</v>
      </c>
      <c r="B100" s="69" t="s">
        <v>32</v>
      </c>
      <c r="C100" s="69" t="s">
        <v>33</v>
      </c>
      <c r="D100" s="69" t="s">
        <v>34</v>
      </c>
      <c r="E100" s="69" t="s">
        <v>9</v>
      </c>
      <c r="F100" s="69" t="s">
        <v>10</v>
      </c>
      <c r="G100" s="69" t="s">
        <v>11</v>
      </c>
      <c r="H100" s="69" t="s">
        <v>12</v>
      </c>
      <c r="I100" s="69" t="s">
        <v>13</v>
      </c>
      <c r="J100" s="69" t="s">
        <v>38</v>
      </c>
      <c r="K100" s="69" t="s">
        <v>15</v>
      </c>
      <c r="L100" s="69" t="s">
        <v>16</v>
      </c>
      <c r="M100" s="69" t="s">
        <v>17</v>
      </c>
      <c r="N100" s="69" t="s">
        <v>18</v>
      </c>
      <c r="O100" s="69" t="s">
        <v>19</v>
      </c>
      <c r="P100" s="69" t="s">
        <v>20</v>
      </c>
      <c r="Q100" s="69" t="s">
        <v>336</v>
      </c>
      <c r="R100" s="69" t="s">
        <v>337</v>
      </c>
      <c r="S100" s="69" t="s">
        <v>338</v>
      </c>
      <c r="T100" s="69" t="s">
        <v>339</v>
      </c>
      <c r="U100" s="69" t="str">
        <f>U93</f>
        <v>Aug' 16</v>
      </c>
      <c r="V100" s="69" t="str">
        <f>V93</f>
        <v>Sept' 16</v>
      </c>
      <c r="W100" s="69" t="str">
        <f>W93</f>
        <v>Oct' 16</v>
      </c>
      <c r="X100" s="69" t="str">
        <f>X93</f>
        <v>Nov' 16</v>
      </c>
      <c r="Y100" s="69"/>
      <c r="Z100" s="69"/>
      <c r="AA100" s="69"/>
      <c r="AB100" s="69"/>
      <c r="AD100" t="str">
        <f>A100</f>
        <v>Moving Inventory</v>
      </c>
      <c r="AE100" s="67" t="str">
        <f>D100</f>
        <v>Mar' 15</v>
      </c>
      <c r="AF100" s="67" t="str">
        <f>G100</f>
        <v>Jun' 15</v>
      </c>
      <c r="AG100" s="67" t="str">
        <f>J100</f>
        <v>Sept' 15</v>
      </c>
      <c r="AH100" s="67" t="str">
        <f>M100</f>
        <v>Dec' 15</v>
      </c>
      <c r="AI100" s="69" t="str">
        <f t="shared" ref="AI100:AJ103" si="64">P100</f>
        <v>Mar' 16</v>
      </c>
      <c r="AJ100" s="69" t="str">
        <f t="shared" si="64"/>
        <v>Apr' 16</v>
      </c>
      <c r="AK100" s="69" t="str">
        <f>S100</f>
        <v>Jun' 16</v>
      </c>
      <c r="AL100" s="69" t="str">
        <f>U100</f>
        <v>Aug' 16</v>
      </c>
      <c r="AM100" s="69" t="str">
        <f>V100</f>
        <v>Sept' 16</v>
      </c>
      <c r="AN100" s="69" t="str">
        <f>W100</f>
        <v>Oct' 16</v>
      </c>
      <c r="AO100" s="69" t="str">
        <f>X100</f>
        <v>Nov' 16</v>
      </c>
      <c r="AP100" s="67"/>
      <c r="AQ100" s="67"/>
      <c r="AR100" s="67"/>
      <c r="AS100" s="67"/>
    </row>
    <row r="101" spans="1:45" x14ac:dyDescent="0.2">
      <c r="A101" t="s">
        <v>95</v>
      </c>
      <c r="B101" s="67"/>
      <c r="C101" s="67"/>
      <c r="D101" s="67">
        <f t="shared" ref="D101:P101" si="65">D11+D33</f>
        <v>9.4752031639999963</v>
      </c>
      <c r="E101" s="67">
        <f t="shared" si="65"/>
        <v>8.8920402409999966</v>
      </c>
      <c r="F101" s="67">
        <f t="shared" si="65"/>
        <v>9.2888936199999961</v>
      </c>
      <c r="G101" s="67">
        <f t="shared" si="65"/>
        <v>9.6354179990000048</v>
      </c>
      <c r="H101" s="67">
        <f t="shared" si="65"/>
        <v>8.0680513269999992</v>
      </c>
      <c r="I101" s="67">
        <f t="shared" si="65"/>
        <v>8.1197668059999994</v>
      </c>
      <c r="J101" s="67">
        <f t="shared" si="65"/>
        <v>7.7187302419999995</v>
      </c>
      <c r="K101" s="67">
        <f t="shared" si="65"/>
        <v>8.1091733070000025</v>
      </c>
      <c r="L101" s="67">
        <f t="shared" si="65"/>
        <v>10.502552002999995</v>
      </c>
      <c r="M101" s="67">
        <f t="shared" si="65"/>
        <v>9.8592545940000011</v>
      </c>
      <c r="N101" s="67">
        <f t="shared" si="65"/>
        <v>8.4885407759999989</v>
      </c>
      <c r="O101" s="67">
        <f t="shared" si="65"/>
        <v>10.168837142000003</v>
      </c>
      <c r="P101" s="67">
        <f t="shared" si="65"/>
        <v>10.535650850999993</v>
      </c>
      <c r="Q101" s="67">
        <f t="shared" ref="Q101:X101" si="66">Q11+Q33</f>
        <v>11.339659417000004</v>
      </c>
      <c r="R101" s="67">
        <f t="shared" si="66"/>
        <v>10.518087824999993</v>
      </c>
      <c r="S101" s="67">
        <f t="shared" si="66"/>
        <v>10.494855316999997</v>
      </c>
      <c r="T101" s="67">
        <f t="shared" si="66"/>
        <v>9.7981443369999965</v>
      </c>
      <c r="U101" s="67">
        <f t="shared" si="66"/>
        <v>10.529550695999999</v>
      </c>
      <c r="V101" s="67">
        <f t="shared" si="66"/>
        <v>12.167633068000001</v>
      </c>
      <c r="W101" s="67">
        <f t="shared" si="66"/>
        <v>15.12324111499999</v>
      </c>
      <c r="X101" s="67">
        <f t="shared" si="66"/>
        <v>16.038559991</v>
      </c>
      <c r="Y101" s="67"/>
      <c r="Z101" s="67"/>
      <c r="AA101" s="67"/>
      <c r="AB101" s="67"/>
      <c r="AD101" t="str">
        <f>A101</f>
        <v>RM+PM Moving Inventory</v>
      </c>
      <c r="AE101" s="67">
        <f>D101</f>
        <v>9.4752031639999963</v>
      </c>
      <c r="AF101" s="67">
        <f>G101</f>
        <v>9.6354179990000048</v>
      </c>
      <c r="AG101" s="67">
        <f>J101</f>
        <v>7.7187302419999995</v>
      </c>
      <c r="AH101" s="67">
        <f>M101</f>
        <v>9.8592545940000011</v>
      </c>
      <c r="AI101" s="67">
        <f t="shared" si="64"/>
        <v>10.535650850999993</v>
      </c>
      <c r="AJ101" s="67">
        <f t="shared" si="64"/>
        <v>11.339659417000004</v>
      </c>
      <c r="AK101" s="67">
        <f>S101</f>
        <v>10.494855316999997</v>
      </c>
      <c r="AL101" s="67">
        <f t="shared" ref="AL101:AO103" si="67">U101</f>
        <v>10.529550695999999</v>
      </c>
      <c r="AM101" s="67">
        <f t="shared" si="67"/>
        <v>12.167633068000001</v>
      </c>
      <c r="AN101" s="67">
        <f t="shared" si="67"/>
        <v>15.12324111499999</v>
      </c>
      <c r="AO101" s="67">
        <f t="shared" si="67"/>
        <v>16.038559991</v>
      </c>
      <c r="AP101" s="67"/>
      <c r="AQ101" s="67"/>
      <c r="AR101" s="67"/>
      <c r="AS101" s="67"/>
    </row>
    <row r="102" spans="1:45" x14ac:dyDescent="0.2">
      <c r="A102" t="s">
        <v>93</v>
      </c>
      <c r="B102" s="67"/>
      <c r="C102" s="67"/>
      <c r="D102" s="67">
        <f>AVERAGE(B104:D104)</f>
        <v>14.732762444198171</v>
      </c>
      <c r="E102" s="67">
        <f t="shared" ref="E102:Q102" si="68">AVERAGE(C104:E104)</f>
        <v>13.900290354045268</v>
      </c>
      <c r="F102" s="67">
        <f t="shared" si="68"/>
        <v>16.016637987905082</v>
      </c>
      <c r="G102" s="67">
        <f t="shared" si="68"/>
        <v>17.502900256856883</v>
      </c>
      <c r="H102" s="67">
        <f t="shared" si="68"/>
        <v>18.294808741505715</v>
      </c>
      <c r="I102" s="67">
        <f t="shared" si="68"/>
        <v>16.415317033975573</v>
      </c>
      <c r="J102" s="67">
        <f t="shared" si="68"/>
        <v>13.987074970299593</v>
      </c>
      <c r="K102" s="67">
        <f t="shared" si="68"/>
        <v>13.446492018402921</v>
      </c>
      <c r="L102" s="67">
        <f t="shared" si="68"/>
        <v>13.951433912284608</v>
      </c>
      <c r="M102" s="67">
        <f t="shared" si="68"/>
        <v>15.136126787542016</v>
      </c>
      <c r="N102" s="67">
        <f t="shared" si="68"/>
        <v>14.317623295609252</v>
      </c>
      <c r="O102" s="67">
        <f t="shared" si="68"/>
        <v>13.925610126436689</v>
      </c>
      <c r="P102" s="67">
        <f t="shared" si="68"/>
        <v>14.639563319780914</v>
      </c>
      <c r="Q102" s="67">
        <f t="shared" si="68"/>
        <v>14.86164118928061</v>
      </c>
      <c r="R102" s="67">
        <f t="shared" ref="R102:X102" si="69">AVERAGE(P104:R104)</f>
        <v>15.736851945775449</v>
      </c>
      <c r="S102" s="67">
        <f t="shared" si="69"/>
        <v>15.027234207800115</v>
      </c>
      <c r="T102" s="67">
        <f t="shared" si="69"/>
        <v>14.600641163927842</v>
      </c>
      <c r="U102" s="67">
        <f t="shared" si="69"/>
        <v>14.232798435229496</v>
      </c>
      <c r="V102" s="67">
        <f t="shared" si="69"/>
        <v>13.244939822809144</v>
      </c>
      <c r="W102" s="67">
        <f t="shared" si="69"/>
        <v>13.277317867421894</v>
      </c>
      <c r="X102" s="67">
        <f t="shared" si="69"/>
        <v>13.222906229008332</v>
      </c>
      <c r="Y102" s="67"/>
      <c r="Z102" s="67"/>
      <c r="AA102" s="67"/>
      <c r="AB102" s="67"/>
      <c r="AD102" t="str">
        <f>A102</f>
        <v>Avg RM+PM Consum</v>
      </c>
      <c r="AE102" s="67">
        <f>D102</f>
        <v>14.732762444198171</v>
      </c>
      <c r="AF102" s="67">
        <f>G102</f>
        <v>17.502900256856883</v>
      </c>
      <c r="AG102" s="67">
        <f>J102</f>
        <v>13.987074970299593</v>
      </c>
      <c r="AH102" s="67">
        <f>M102</f>
        <v>15.136126787542016</v>
      </c>
      <c r="AI102" s="67">
        <f t="shared" si="64"/>
        <v>14.639563319780914</v>
      </c>
      <c r="AJ102" s="67">
        <f t="shared" si="64"/>
        <v>14.86164118928061</v>
      </c>
      <c r="AK102" s="67">
        <f>S102</f>
        <v>15.027234207800115</v>
      </c>
      <c r="AL102" s="67">
        <f t="shared" si="67"/>
        <v>14.232798435229496</v>
      </c>
      <c r="AM102" s="67">
        <f t="shared" si="67"/>
        <v>13.244939822809144</v>
      </c>
      <c r="AN102" s="67">
        <f t="shared" si="67"/>
        <v>13.277317867421894</v>
      </c>
      <c r="AO102" s="67">
        <f t="shared" si="67"/>
        <v>13.222906229008332</v>
      </c>
      <c r="AP102" s="67"/>
      <c r="AQ102" s="67"/>
      <c r="AR102" s="67"/>
      <c r="AS102" s="67"/>
    </row>
    <row r="103" spans="1:45" x14ac:dyDescent="0.2">
      <c r="A103" t="s">
        <v>39</v>
      </c>
      <c r="B103" s="67"/>
      <c r="C103" s="67"/>
      <c r="D103" s="67">
        <f>D101*30/D102</f>
        <v>19.294147719862355</v>
      </c>
      <c r="E103" s="67">
        <f t="shared" ref="E103:P103" si="70">E101*30/E102</f>
        <v>19.191052879867861</v>
      </c>
      <c r="F103" s="67">
        <f t="shared" si="70"/>
        <v>17.398583198948138</v>
      </c>
      <c r="G103" s="67">
        <f t="shared" si="70"/>
        <v>16.515122392745049</v>
      </c>
      <c r="H103" s="67">
        <f t="shared" si="70"/>
        <v>13.230066694322776</v>
      </c>
      <c r="I103" s="67">
        <f t="shared" si="70"/>
        <v>14.839372500441131</v>
      </c>
      <c r="J103" s="67">
        <f t="shared" si="70"/>
        <v>16.555420468661442</v>
      </c>
      <c r="K103" s="67">
        <f t="shared" si="70"/>
        <v>18.092094122173478</v>
      </c>
      <c r="L103" s="67">
        <f t="shared" si="70"/>
        <v>22.58381196305324</v>
      </c>
      <c r="M103" s="67">
        <f t="shared" si="70"/>
        <v>19.541170734870143</v>
      </c>
      <c r="N103" s="67">
        <f t="shared" si="70"/>
        <v>17.78620780992993</v>
      </c>
      <c r="O103" s="67">
        <f t="shared" si="70"/>
        <v>21.90676828449029</v>
      </c>
      <c r="P103" s="67">
        <f t="shared" si="70"/>
        <v>21.590092451933184</v>
      </c>
      <c r="Q103" s="67">
        <f t="shared" ref="Q103:X103" si="71">Q101*30/Q102</f>
        <v>22.890458609333933</v>
      </c>
      <c r="R103" s="67">
        <f t="shared" si="71"/>
        <v>20.051191676535225</v>
      </c>
      <c r="S103" s="67">
        <f t="shared" si="71"/>
        <v>20.951670490806251</v>
      </c>
      <c r="T103" s="67">
        <f t="shared" si="71"/>
        <v>20.13228917893106</v>
      </c>
      <c r="U103" s="67">
        <f t="shared" si="71"/>
        <v>22.194266455576802</v>
      </c>
      <c r="V103" s="67">
        <f t="shared" si="71"/>
        <v>27.559883013691213</v>
      </c>
      <c r="W103" s="67">
        <f t="shared" si="71"/>
        <v>34.170849713798091</v>
      </c>
      <c r="X103" s="67">
        <f t="shared" si="71"/>
        <v>36.388127647342841</v>
      </c>
      <c r="Y103" s="67"/>
      <c r="Z103" s="67"/>
      <c r="AA103" s="67"/>
      <c r="AB103" s="67"/>
      <c r="AD103" t="str">
        <f>A103</f>
        <v>DIOH</v>
      </c>
      <c r="AE103" s="67">
        <f>D103</f>
        <v>19.294147719862355</v>
      </c>
      <c r="AF103" s="67">
        <f>G103</f>
        <v>16.515122392745049</v>
      </c>
      <c r="AG103" s="67">
        <f>J103</f>
        <v>16.555420468661442</v>
      </c>
      <c r="AH103" s="67">
        <f>M103</f>
        <v>19.541170734870143</v>
      </c>
      <c r="AI103" s="67">
        <f t="shared" si="64"/>
        <v>21.590092451933184</v>
      </c>
      <c r="AJ103" s="67">
        <f t="shared" si="64"/>
        <v>22.890458609333933</v>
      </c>
      <c r="AK103" s="67">
        <f>S103</f>
        <v>20.951670490806251</v>
      </c>
      <c r="AL103" s="67">
        <f t="shared" si="67"/>
        <v>22.194266455576802</v>
      </c>
      <c r="AM103" s="67">
        <f t="shared" si="67"/>
        <v>27.559883013691213</v>
      </c>
      <c r="AN103" s="67">
        <f t="shared" si="67"/>
        <v>34.170849713798091</v>
      </c>
      <c r="AO103" s="67">
        <f t="shared" si="67"/>
        <v>36.388127647342841</v>
      </c>
      <c r="AP103" s="67"/>
      <c r="AQ103" s="67"/>
      <c r="AR103" s="67"/>
      <c r="AS103" s="67"/>
    </row>
    <row r="104" spans="1:45" x14ac:dyDescent="0.2">
      <c r="A104" t="s">
        <v>94</v>
      </c>
      <c r="B104" s="67">
        <f t="shared" ref="B104:P104" si="72">B14+B36</f>
        <v>17.897771309680003</v>
      </c>
      <c r="C104" s="67">
        <f t="shared" si="72"/>
        <v>11.705200793359818</v>
      </c>
      <c r="D104" s="67">
        <f t="shared" si="72"/>
        <v>14.595315229554689</v>
      </c>
      <c r="E104" s="67">
        <f t="shared" si="72"/>
        <v>15.400355039221299</v>
      </c>
      <c r="F104" s="67">
        <f t="shared" si="72"/>
        <v>18.054243694939252</v>
      </c>
      <c r="G104" s="67">
        <f t="shared" si="72"/>
        <v>19.054102036410093</v>
      </c>
      <c r="H104" s="67">
        <f t="shared" si="72"/>
        <v>17.776080493167804</v>
      </c>
      <c r="I104" s="67">
        <f t="shared" si="72"/>
        <v>12.415768572348821</v>
      </c>
      <c r="J104" s="67">
        <f t="shared" si="72"/>
        <v>11.769375845382152</v>
      </c>
      <c r="K104" s="67">
        <f t="shared" si="72"/>
        <v>16.154331637477789</v>
      </c>
      <c r="L104" s="67">
        <f t="shared" si="72"/>
        <v>13.930594253993885</v>
      </c>
      <c r="M104" s="67">
        <f t="shared" si="72"/>
        <v>15.323454471154378</v>
      </c>
      <c r="N104" s="67">
        <f t="shared" si="72"/>
        <v>13.698821161679493</v>
      </c>
      <c r="O104" s="67">
        <f t="shared" si="72"/>
        <v>12.754554746476199</v>
      </c>
      <c r="P104" s="67">
        <f t="shared" si="72"/>
        <v>17.46531405118705</v>
      </c>
      <c r="Q104" s="67">
        <f t="shared" ref="Q104:X104" si="73">Q14+Q36</f>
        <v>14.365054770178574</v>
      </c>
      <c r="R104" s="67">
        <f t="shared" si="73"/>
        <v>15.380187015960722</v>
      </c>
      <c r="S104" s="67">
        <f t="shared" si="73"/>
        <v>15.33646083726105</v>
      </c>
      <c r="T104" s="67">
        <f t="shared" si="73"/>
        <v>13.08527563856175</v>
      </c>
      <c r="U104" s="67">
        <f t="shared" si="73"/>
        <v>14.276658829865687</v>
      </c>
      <c r="V104" s="67">
        <f t="shared" si="73"/>
        <v>12.372885</v>
      </c>
      <c r="W104" s="67">
        <f t="shared" si="73"/>
        <v>13.1824097724</v>
      </c>
      <c r="X104" s="67">
        <f t="shared" si="73"/>
        <v>14.113423914625001</v>
      </c>
      <c r="Y104" s="67"/>
      <c r="Z104" s="67"/>
      <c r="AA104" s="67"/>
      <c r="AB104" s="67"/>
      <c r="AD104" s="70" t="str">
        <f>A105</f>
        <v>Target</v>
      </c>
      <c r="AE104" s="67">
        <f>D105</f>
        <v>18</v>
      </c>
      <c r="AF104" s="67">
        <f>E105</f>
        <v>18</v>
      </c>
      <c r="AG104" s="67">
        <f>F105</f>
        <v>18</v>
      </c>
      <c r="AH104" s="67">
        <f>G105</f>
        <v>18</v>
      </c>
      <c r="AI104" s="69">
        <f>P105</f>
        <v>18</v>
      </c>
      <c r="AJ104" s="69">
        <f>Q105</f>
        <v>18</v>
      </c>
      <c r="AK104" s="69">
        <f>R105</f>
        <v>18</v>
      </c>
      <c r="AL104" s="67">
        <f>U105</f>
        <v>18</v>
      </c>
      <c r="AM104" s="67">
        <f>V105</f>
        <v>18</v>
      </c>
      <c r="AN104" s="67">
        <f>W105</f>
        <v>18</v>
      </c>
      <c r="AO104" s="67">
        <f>X105</f>
        <v>18</v>
      </c>
      <c r="AP104" s="67"/>
      <c r="AQ104" s="67"/>
      <c r="AR104" s="67"/>
      <c r="AS104" s="67"/>
    </row>
    <row r="105" spans="1:45" x14ac:dyDescent="0.2">
      <c r="A105" t="s">
        <v>26</v>
      </c>
      <c r="B105" s="69"/>
      <c r="C105" s="69"/>
      <c r="D105" s="69">
        <v>18</v>
      </c>
      <c r="E105" s="69">
        <v>18</v>
      </c>
      <c r="F105" s="69">
        <v>18</v>
      </c>
      <c r="G105" s="69">
        <v>18</v>
      </c>
      <c r="H105" s="69">
        <v>18</v>
      </c>
      <c r="I105" s="69">
        <v>18</v>
      </c>
      <c r="J105" s="69">
        <v>18</v>
      </c>
      <c r="K105" s="69">
        <v>18</v>
      </c>
      <c r="L105" s="69">
        <v>18</v>
      </c>
      <c r="M105" s="69">
        <v>18</v>
      </c>
      <c r="N105" s="69">
        <v>18</v>
      </c>
      <c r="O105" s="69">
        <v>18</v>
      </c>
      <c r="P105" s="69">
        <v>18</v>
      </c>
      <c r="Q105" s="69">
        <v>18</v>
      </c>
      <c r="R105" s="69">
        <v>18</v>
      </c>
      <c r="S105" s="69">
        <v>18</v>
      </c>
      <c r="T105" s="69">
        <v>18</v>
      </c>
      <c r="U105" s="69">
        <v>18</v>
      </c>
      <c r="V105" s="69">
        <v>18</v>
      </c>
      <c r="W105" s="69">
        <v>18</v>
      </c>
      <c r="X105" s="69">
        <v>18</v>
      </c>
      <c r="Y105" s="69"/>
      <c r="Z105" s="69"/>
      <c r="AA105" s="69"/>
      <c r="AB105" s="69"/>
    </row>
    <row r="106" spans="1:45" x14ac:dyDescent="0.2"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</row>
    <row r="107" spans="1:45" x14ac:dyDescent="0.2"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</row>
    <row r="108" spans="1:45" x14ac:dyDescent="0.2"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</row>
    <row r="109" spans="1:45" x14ac:dyDescent="0.2"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</row>
    <row r="110" spans="1:45" x14ac:dyDescent="0.2"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</row>
    <row r="111" spans="1:45" x14ac:dyDescent="0.2"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</row>
    <row r="112" spans="1:45" x14ac:dyDescent="0.2"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</row>
    <row r="113" spans="1:45" x14ac:dyDescent="0.2"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</row>
    <row r="114" spans="1:45" x14ac:dyDescent="0.2"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</row>
    <row r="115" spans="1:45" x14ac:dyDescent="0.2"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</row>
    <row r="116" spans="1:45" x14ac:dyDescent="0.2"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</row>
    <row r="117" spans="1:45" x14ac:dyDescent="0.2">
      <c r="A117" t="s">
        <v>96</v>
      </c>
      <c r="B117" s="69" t="s">
        <v>32</v>
      </c>
      <c r="C117" s="69" t="s">
        <v>33</v>
      </c>
      <c r="D117" s="69" t="s">
        <v>34</v>
      </c>
      <c r="E117" s="69" t="s">
        <v>9</v>
      </c>
      <c r="F117" s="69" t="s">
        <v>10</v>
      </c>
      <c r="G117" s="69" t="s">
        <v>11</v>
      </c>
      <c r="H117" s="69" t="s">
        <v>12</v>
      </c>
      <c r="I117" s="69" t="s">
        <v>13</v>
      </c>
      <c r="J117" s="69" t="s">
        <v>38</v>
      </c>
      <c r="K117" s="69" t="s">
        <v>15</v>
      </c>
      <c r="L117" s="69" t="s">
        <v>16</v>
      </c>
      <c r="M117" s="69" t="s">
        <v>17</v>
      </c>
      <c r="N117" s="69" t="s">
        <v>18</v>
      </c>
      <c r="O117" s="69" t="s">
        <v>19</v>
      </c>
      <c r="P117" s="69" t="s">
        <v>20</v>
      </c>
      <c r="Q117" s="69" t="s">
        <v>336</v>
      </c>
      <c r="R117" s="69" t="s">
        <v>337</v>
      </c>
      <c r="S117" s="69" t="s">
        <v>338</v>
      </c>
      <c r="T117" s="69" t="s">
        <v>339</v>
      </c>
      <c r="U117" s="69" t="str">
        <f>U100</f>
        <v>Aug' 16</v>
      </c>
      <c r="V117" s="69" t="str">
        <f>V100</f>
        <v>Sept' 16</v>
      </c>
      <c r="W117" s="69" t="str">
        <f>W100</f>
        <v>Oct' 16</v>
      </c>
      <c r="X117" s="69" t="str">
        <f>X100</f>
        <v>Nov' 16</v>
      </c>
      <c r="Y117" s="69"/>
      <c r="Z117" s="69"/>
      <c r="AA117" s="69"/>
      <c r="AB117" s="69"/>
      <c r="AD117" t="str">
        <f>A117</f>
        <v>SFG+FG Inventory</v>
      </c>
      <c r="AE117" s="67" t="str">
        <f>D117</f>
        <v>Mar' 15</v>
      </c>
      <c r="AF117" s="67" t="str">
        <f>G117</f>
        <v>Jun' 15</v>
      </c>
      <c r="AG117" s="67" t="str">
        <f>J117</f>
        <v>Sept' 15</v>
      </c>
      <c r="AH117" s="67" t="str">
        <f>M117</f>
        <v>Dec' 15</v>
      </c>
      <c r="AI117" s="69" t="str">
        <f t="shared" ref="AI117:AJ120" si="74">P117</f>
        <v>Mar' 16</v>
      </c>
      <c r="AJ117" s="69" t="str">
        <f t="shared" si="74"/>
        <v>Apr' 16</v>
      </c>
      <c r="AK117" s="69" t="str">
        <f>S117</f>
        <v>Jun' 16</v>
      </c>
      <c r="AL117" s="69" t="str">
        <f>U117</f>
        <v>Aug' 16</v>
      </c>
      <c r="AM117" s="69" t="str">
        <f>V117</f>
        <v>Sept' 16</v>
      </c>
      <c r="AN117" s="69" t="str">
        <f>W117</f>
        <v>Oct' 16</v>
      </c>
      <c r="AO117" s="69" t="str">
        <f>X117</f>
        <v>Nov' 16</v>
      </c>
      <c r="AP117" s="67"/>
      <c r="AQ117" s="67"/>
      <c r="AR117" s="67"/>
      <c r="AS117" s="67"/>
    </row>
    <row r="118" spans="1:45" x14ac:dyDescent="0.2">
      <c r="A118" t="s">
        <v>97</v>
      </c>
      <c r="B118" s="67"/>
      <c r="C118" s="67"/>
      <c r="D118" s="67">
        <f>D49+D73</f>
        <v>9.7514148029999994</v>
      </c>
      <c r="E118" s="67">
        <f t="shared" ref="E118:P118" si="75">E49+E73</f>
        <v>10.642252963000001</v>
      </c>
      <c r="F118" s="67">
        <f t="shared" si="75"/>
        <v>10.489999194999999</v>
      </c>
      <c r="G118" s="67">
        <f t="shared" si="75"/>
        <v>14.264143598000002</v>
      </c>
      <c r="H118" s="67">
        <f t="shared" si="75"/>
        <v>8.546659413999997</v>
      </c>
      <c r="I118" s="67">
        <f t="shared" si="75"/>
        <v>7.701282549000001</v>
      </c>
      <c r="J118" s="67">
        <f t="shared" si="75"/>
        <v>10.542437995</v>
      </c>
      <c r="K118" s="67">
        <f t="shared" si="75"/>
        <v>9.8458373770000023</v>
      </c>
      <c r="L118" s="67">
        <f t="shared" si="75"/>
        <v>9.3064198009999988</v>
      </c>
      <c r="M118" s="67">
        <f t="shared" si="75"/>
        <v>14.087502625000003</v>
      </c>
      <c r="N118" s="67">
        <f t="shared" si="75"/>
        <v>13.489896843999993</v>
      </c>
      <c r="O118" s="67">
        <f t="shared" si="75"/>
        <v>10.485561259000004</v>
      </c>
      <c r="P118" s="67">
        <f t="shared" si="75"/>
        <v>10.845614641999996</v>
      </c>
      <c r="Q118" s="67">
        <f t="shared" ref="Q118:X118" si="76">Q49+Q73</f>
        <v>12.001363552000001</v>
      </c>
      <c r="R118" s="67">
        <f t="shared" si="76"/>
        <v>16.909910270999994</v>
      </c>
      <c r="S118" s="67">
        <f t="shared" si="76"/>
        <v>17.773168513999998</v>
      </c>
      <c r="T118" s="67">
        <f t="shared" si="76"/>
        <v>11.683545324999995</v>
      </c>
      <c r="U118" s="67">
        <f t="shared" si="76"/>
        <v>9.2463020579999995</v>
      </c>
      <c r="V118" s="67">
        <f t="shared" si="76"/>
        <v>7.1785822200000009</v>
      </c>
      <c r="W118" s="67">
        <f t="shared" si="76"/>
        <v>10.55411381</v>
      </c>
      <c r="X118" s="67">
        <f t="shared" si="76"/>
        <v>10.842866919999999</v>
      </c>
      <c r="Y118" s="67"/>
      <c r="Z118" s="67"/>
      <c r="AA118" s="67"/>
      <c r="AB118" s="67"/>
      <c r="AD118" t="str">
        <f>A118</f>
        <v>SFG+FG Total Inventory</v>
      </c>
      <c r="AE118" s="67">
        <f>D118</f>
        <v>9.7514148029999994</v>
      </c>
      <c r="AF118" s="67">
        <f>G118</f>
        <v>14.264143598000002</v>
      </c>
      <c r="AG118" s="67">
        <f>J118</f>
        <v>10.542437995</v>
      </c>
      <c r="AH118" s="67">
        <f>M118</f>
        <v>14.087502625000003</v>
      </c>
      <c r="AI118" s="67">
        <f t="shared" si="74"/>
        <v>10.845614641999996</v>
      </c>
      <c r="AJ118" s="67">
        <f t="shared" si="74"/>
        <v>12.001363552000001</v>
      </c>
      <c r="AK118" s="67">
        <f>S118</f>
        <v>17.773168513999998</v>
      </c>
      <c r="AL118" s="67">
        <f t="shared" ref="AL118:AO120" si="77">U118</f>
        <v>9.2463020579999995</v>
      </c>
      <c r="AM118" s="67">
        <f t="shared" si="77"/>
        <v>7.1785822200000009</v>
      </c>
      <c r="AN118" s="67">
        <f t="shared" si="77"/>
        <v>10.55411381</v>
      </c>
      <c r="AO118" s="67">
        <f t="shared" si="77"/>
        <v>10.842866919999999</v>
      </c>
      <c r="AP118" s="67"/>
      <c r="AQ118" s="67"/>
      <c r="AR118" s="67"/>
      <c r="AS118" s="67"/>
    </row>
    <row r="119" spans="1:45" x14ac:dyDescent="0.2">
      <c r="A119" t="s">
        <v>73</v>
      </c>
      <c r="B119" s="67"/>
      <c r="C119" s="67"/>
      <c r="D119" s="67">
        <f>AVERAGE(B121:D121)</f>
        <v>35.799152531604612</v>
      </c>
      <c r="E119" s="67">
        <f t="shared" ref="E119:X119" si="78">AVERAGE(C121:E121)</f>
        <v>35.522884232828005</v>
      </c>
      <c r="F119" s="67">
        <f t="shared" si="78"/>
        <v>38.794725127475722</v>
      </c>
      <c r="G119" s="67">
        <f t="shared" si="78"/>
        <v>42.01244357139165</v>
      </c>
      <c r="H119" s="67">
        <f t="shared" si="78"/>
        <v>43.164172678302783</v>
      </c>
      <c r="I119" s="67">
        <f t="shared" si="78"/>
        <v>40.251442974749686</v>
      </c>
      <c r="J119" s="67">
        <f t="shared" si="78"/>
        <v>33.717078839232165</v>
      </c>
      <c r="K119" s="67">
        <f t="shared" si="78"/>
        <v>30.060716772072158</v>
      </c>
      <c r="L119" s="67">
        <f t="shared" si="78"/>
        <v>28.520996290855674</v>
      </c>
      <c r="M119" s="67">
        <f t="shared" si="78"/>
        <v>33.069679257156857</v>
      </c>
      <c r="N119" s="67">
        <f t="shared" si="78"/>
        <v>32.731436918999897</v>
      </c>
      <c r="O119" s="67">
        <f t="shared" si="78"/>
        <v>34.204684996585144</v>
      </c>
      <c r="P119" s="67">
        <f t="shared" si="78"/>
        <v>32.982865914332088</v>
      </c>
      <c r="Q119" s="67">
        <f t="shared" si="78"/>
        <v>34.829299349354088</v>
      </c>
      <c r="R119" s="67">
        <f t="shared" si="78"/>
        <v>34.497098432569715</v>
      </c>
      <c r="S119" s="67">
        <f t="shared" si="78"/>
        <v>36.130393942489263</v>
      </c>
      <c r="T119" s="67">
        <f t="shared" si="78"/>
        <v>36.020300943609463</v>
      </c>
      <c r="U119" s="67">
        <f t="shared" si="78"/>
        <v>36.554308469548211</v>
      </c>
      <c r="V119" s="67">
        <f t="shared" si="78"/>
        <v>33.922962139112848</v>
      </c>
      <c r="W119" s="67">
        <f t="shared" si="78"/>
        <v>31.896524096336858</v>
      </c>
      <c r="X119" s="67">
        <f t="shared" si="78"/>
        <v>31.580000000000002</v>
      </c>
      <c r="Y119" s="67"/>
      <c r="Z119" s="67"/>
      <c r="AA119" s="67"/>
      <c r="AB119" s="67"/>
      <c r="AD119" t="str">
        <f>A119</f>
        <v>Avg CoGS</v>
      </c>
      <c r="AE119" s="67">
        <f>D119</f>
        <v>35.799152531604612</v>
      </c>
      <c r="AF119" s="67">
        <f>G119</f>
        <v>42.01244357139165</v>
      </c>
      <c r="AG119" s="67">
        <f>J119</f>
        <v>33.717078839232165</v>
      </c>
      <c r="AH119" s="67">
        <f>M119</f>
        <v>33.069679257156857</v>
      </c>
      <c r="AI119" s="67">
        <f t="shared" si="74"/>
        <v>32.982865914332088</v>
      </c>
      <c r="AJ119" s="67">
        <f t="shared" si="74"/>
        <v>34.829299349354088</v>
      </c>
      <c r="AK119" s="67">
        <f>S119</f>
        <v>36.130393942489263</v>
      </c>
      <c r="AL119" s="67">
        <f t="shared" si="77"/>
        <v>36.554308469548211</v>
      </c>
      <c r="AM119" s="67">
        <f t="shared" si="77"/>
        <v>33.922962139112848</v>
      </c>
      <c r="AN119" s="67">
        <f t="shared" si="77"/>
        <v>31.896524096336858</v>
      </c>
      <c r="AO119" s="67">
        <f t="shared" si="77"/>
        <v>31.580000000000002</v>
      </c>
      <c r="AP119" s="67"/>
      <c r="AQ119" s="67"/>
      <c r="AR119" s="67"/>
      <c r="AS119" s="67"/>
    </row>
    <row r="120" spans="1:45" x14ac:dyDescent="0.2">
      <c r="A120" t="s">
        <v>39</v>
      </c>
      <c r="B120" s="67"/>
      <c r="C120" s="67"/>
      <c r="D120" s="67">
        <f>D118*30/D119</f>
        <v>8.1717700951645256</v>
      </c>
      <c r="E120" s="67">
        <f t="shared" ref="E120:P120" si="79">E118*30/E119</f>
        <v>8.9876595266707842</v>
      </c>
      <c r="F120" s="67">
        <f t="shared" si="79"/>
        <v>8.1119269389311626</v>
      </c>
      <c r="G120" s="67">
        <f t="shared" si="79"/>
        <v>10.185656238081684</v>
      </c>
      <c r="H120" s="67">
        <f t="shared" si="79"/>
        <v>5.9401064936635208</v>
      </c>
      <c r="I120" s="67">
        <f t="shared" si="79"/>
        <v>5.739880595459244</v>
      </c>
      <c r="J120" s="67">
        <f t="shared" si="79"/>
        <v>9.3802058404298716</v>
      </c>
      <c r="K120" s="67">
        <f t="shared" si="79"/>
        <v>9.8259507100116004</v>
      </c>
      <c r="L120" s="67">
        <f t="shared" si="79"/>
        <v>9.7890196815990596</v>
      </c>
      <c r="M120" s="67">
        <f t="shared" si="79"/>
        <v>12.779836038431991</v>
      </c>
      <c r="N120" s="67">
        <f t="shared" si="79"/>
        <v>12.364165567234291</v>
      </c>
      <c r="O120" s="67">
        <f t="shared" si="79"/>
        <v>9.196600927662546</v>
      </c>
      <c r="P120" s="67">
        <f t="shared" si="79"/>
        <v>9.86477160914683</v>
      </c>
      <c r="Q120" s="67">
        <f t="shared" ref="Q120:X120" si="80">Q118*30/Q119</f>
        <v>10.33729972425291</v>
      </c>
      <c r="R120" s="67">
        <f t="shared" si="80"/>
        <v>14.705506584027532</v>
      </c>
      <c r="S120" s="67">
        <f t="shared" si="80"/>
        <v>14.757521223508268</v>
      </c>
      <c r="T120" s="67">
        <f t="shared" si="80"/>
        <v>9.7308004255357261</v>
      </c>
      <c r="U120" s="67">
        <f t="shared" si="80"/>
        <v>7.5884095022911087</v>
      </c>
      <c r="V120" s="67">
        <f t="shared" si="80"/>
        <v>6.3484275257818643</v>
      </c>
      <c r="W120" s="67">
        <f t="shared" si="80"/>
        <v>9.9265805058790875</v>
      </c>
      <c r="X120" s="67">
        <f t="shared" si="80"/>
        <v>10.300380227992399</v>
      </c>
      <c r="Y120" s="67"/>
      <c r="Z120" s="67"/>
      <c r="AA120" s="67"/>
      <c r="AB120" s="67"/>
      <c r="AD120" t="str">
        <f>A120</f>
        <v>DIOH</v>
      </c>
      <c r="AE120" s="67">
        <f>D120</f>
        <v>8.1717700951645256</v>
      </c>
      <c r="AF120" s="67">
        <f>G120</f>
        <v>10.185656238081684</v>
      </c>
      <c r="AG120" s="67">
        <f>J120</f>
        <v>9.3802058404298716</v>
      </c>
      <c r="AH120" s="67">
        <f>M120</f>
        <v>12.779836038431991</v>
      </c>
      <c r="AI120" s="67">
        <f t="shared" si="74"/>
        <v>9.86477160914683</v>
      </c>
      <c r="AJ120" s="67">
        <f t="shared" si="74"/>
        <v>10.33729972425291</v>
      </c>
      <c r="AK120" s="67">
        <f>S120</f>
        <v>14.757521223508268</v>
      </c>
      <c r="AL120" s="67">
        <f t="shared" si="77"/>
        <v>7.5884095022911087</v>
      </c>
      <c r="AM120" s="67">
        <f t="shared" si="77"/>
        <v>6.3484275257818643</v>
      </c>
      <c r="AN120" s="67">
        <f t="shared" si="77"/>
        <v>9.9265805058790875</v>
      </c>
      <c r="AO120" s="67">
        <f t="shared" si="77"/>
        <v>10.300380227992399</v>
      </c>
      <c r="AP120" s="67"/>
      <c r="AQ120" s="67"/>
      <c r="AR120" s="67"/>
      <c r="AS120" s="67"/>
    </row>
    <row r="121" spans="1:45" x14ac:dyDescent="0.2">
      <c r="A121" t="s">
        <v>59</v>
      </c>
      <c r="B121" s="67">
        <v>39.97772361144871</v>
      </c>
      <c r="C121" s="67">
        <v>33.286236099157279</v>
      </c>
      <c r="D121" s="67">
        <v>34.133497884207834</v>
      </c>
      <c r="E121" s="67">
        <v>39.148918715118896</v>
      </c>
      <c r="F121" s="67">
        <v>43.101758783100458</v>
      </c>
      <c r="G121" s="67">
        <v>43.786653215955596</v>
      </c>
      <c r="H121" s="67">
        <v>42.604106035852304</v>
      </c>
      <c r="I121" s="67">
        <v>34.363569672441159</v>
      </c>
      <c r="J121" s="67">
        <v>24.183560809403041</v>
      </c>
      <c r="K121" s="67">
        <v>31.635019834372287</v>
      </c>
      <c r="L121" s="67">
        <v>29.744408228791688</v>
      </c>
      <c r="M121" s="67">
        <f t="shared" ref="M121:X121" si="81">M76</f>
        <v>37.829609708306599</v>
      </c>
      <c r="N121" s="67">
        <f t="shared" si="81"/>
        <v>30.620292819901401</v>
      </c>
      <c r="O121" s="67">
        <f t="shared" si="81"/>
        <v>34.164152461547431</v>
      </c>
      <c r="P121" s="67">
        <f t="shared" si="81"/>
        <v>34.164152461547431</v>
      </c>
      <c r="Q121" s="67">
        <f t="shared" si="81"/>
        <v>36.159593124967401</v>
      </c>
      <c r="R121" s="67">
        <f t="shared" si="81"/>
        <v>33.167549711194305</v>
      </c>
      <c r="S121" s="67">
        <f t="shared" si="81"/>
        <v>39.064038991306091</v>
      </c>
      <c r="T121" s="67">
        <f t="shared" si="81"/>
        <v>35.829314128327987</v>
      </c>
      <c r="U121" s="67">
        <f t="shared" si="81"/>
        <v>34.769572289010569</v>
      </c>
      <c r="V121" s="67">
        <f t="shared" si="81"/>
        <v>31.17</v>
      </c>
      <c r="W121" s="67">
        <f t="shared" si="81"/>
        <v>29.75</v>
      </c>
      <c r="X121" s="67">
        <f t="shared" si="81"/>
        <v>33.82</v>
      </c>
      <c r="Y121" s="67"/>
      <c r="Z121" s="67"/>
      <c r="AA121" s="67"/>
      <c r="AB121" s="67"/>
      <c r="AD121" s="70" t="str">
        <f>A122</f>
        <v>Target</v>
      </c>
      <c r="AE121" s="67">
        <f>D122</f>
        <v>6</v>
      </c>
      <c r="AF121" s="67">
        <f>E122</f>
        <v>6</v>
      </c>
      <c r="AG121" s="67">
        <f>F122</f>
        <v>6</v>
      </c>
      <c r="AH121" s="67">
        <f>G122</f>
        <v>6</v>
      </c>
      <c r="AI121" s="69">
        <f>P122</f>
        <v>6</v>
      </c>
      <c r="AJ121" s="69">
        <f>Q122</f>
        <v>6</v>
      </c>
      <c r="AK121" s="69">
        <f>R122</f>
        <v>6</v>
      </c>
      <c r="AL121" s="67">
        <f>U122</f>
        <v>6</v>
      </c>
      <c r="AM121" s="67">
        <f>V122</f>
        <v>6</v>
      </c>
      <c r="AN121" s="67">
        <f>W122</f>
        <v>6</v>
      </c>
      <c r="AO121" s="67">
        <f>X122</f>
        <v>6</v>
      </c>
      <c r="AP121" s="67"/>
      <c r="AQ121" s="67"/>
      <c r="AR121" s="67"/>
      <c r="AS121" s="67"/>
    </row>
    <row r="122" spans="1:45" x14ac:dyDescent="0.2">
      <c r="A122" t="s">
        <v>26</v>
      </c>
      <c r="B122" s="69"/>
      <c r="C122" s="69"/>
      <c r="D122" s="67">
        <f>D53+D77</f>
        <v>6</v>
      </c>
      <c r="E122" s="67">
        <f>E53+E77</f>
        <v>6</v>
      </c>
      <c r="F122" s="67">
        <f t="shared" ref="F122:P122" si="82">F53+F77</f>
        <v>6</v>
      </c>
      <c r="G122" s="67">
        <f t="shared" si="82"/>
        <v>6</v>
      </c>
      <c r="H122" s="67">
        <f t="shared" si="82"/>
        <v>6</v>
      </c>
      <c r="I122" s="67">
        <f t="shared" si="82"/>
        <v>6</v>
      </c>
      <c r="J122" s="67">
        <f t="shared" si="82"/>
        <v>6</v>
      </c>
      <c r="K122" s="67">
        <f t="shared" si="82"/>
        <v>6</v>
      </c>
      <c r="L122" s="67">
        <f t="shared" si="82"/>
        <v>6</v>
      </c>
      <c r="M122" s="67">
        <f t="shared" si="82"/>
        <v>6</v>
      </c>
      <c r="N122" s="67">
        <f t="shared" si="82"/>
        <v>6</v>
      </c>
      <c r="O122" s="67">
        <f t="shared" si="82"/>
        <v>6</v>
      </c>
      <c r="P122" s="67">
        <f t="shared" si="82"/>
        <v>6</v>
      </c>
      <c r="Q122" s="67">
        <f t="shared" ref="Q122:X122" si="83">Q53+Q77</f>
        <v>6</v>
      </c>
      <c r="R122" s="67">
        <f t="shared" si="83"/>
        <v>6</v>
      </c>
      <c r="S122" s="67">
        <f t="shared" si="83"/>
        <v>6</v>
      </c>
      <c r="T122" s="67">
        <f t="shared" si="83"/>
        <v>6</v>
      </c>
      <c r="U122" s="67">
        <f t="shared" si="83"/>
        <v>6</v>
      </c>
      <c r="V122" s="67">
        <f t="shared" si="83"/>
        <v>6</v>
      </c>
      <c r="W122" s="67">
        <f t="shared" si="83"/>
        <v>6</v>
      </c>
      <c r="X122" s="67">
        <f t="shared" si="83"/>
        <v>6</v>
      </c>
      <c r="Y122" s="67"/>
      <c r="Z122" s="67"/>
      <c r="AA122" s="67"/>
      <c r="AB122" s="67"/>
      <c r="AL122" s="47"/>
      <c r="AM122" s="47"/>
      <c r="AN122" s="47"/>
      <c r="AO122" s="47"/>
    </row>
    <row r="123" spans="1:45" x14ac:dyDescent="0.2"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L123" s="47"/>
      <c r="AM123" s="47"/>
      <c r="AN123" s="47"/>
      <c r="AO123" s="47"/>
    </row>
    <row r="124" spans="1:45" x14ac:dyDescent="0.2">
      <c r="A124" t="s">
        <v>96</v>
      </c>
      <c r="B124" s="69" t="s">
        <v>32</v>
      </c>
      <c r="C124" s="69" t="s">
        <v>33</v>
      </c>
      <c r="D124" s="69" t="s">
        <v>34</v>
      </c>
      <c r="E124" s="69" t="s">
        <v>9</v>
      </c>
      <c r="F124" s="69" t="s">
        <v>10</v>
      </c>
      <c r="G124" s="69" t="s">
        <v>11</v>
      </c>
      <c r="H124" s="69" t="s">
        <v>12</v>
      </c>
      <c r="I124" s="69" t="s">
        <v>13</v>
      </c>
      <c r="J124" s="69" t="s">
        <v>38</v>
      </c>
      <c r="K124" s="69" t="s">
        <v>15</v>
      </c>
      <c r="L124" s="69" t="s">
        <v>16</v>
      </c>
      <c r="M124" s="69" t="s">
        <v>17</v>
      </c>
      <c r="N124" s="69" t="s">
        <v>18</v>
      </c>
      <c r="O124" s="69" t="s">
        <v>19</v>
      </c>
      <c r="P124" s="69" t="s">
        <v>20</v>
      </c>
      <c r="Q124" s="69" t="s">
        <v>336</v>
      </c>
      <c r="R124" s="69" t="s">
        <v>337</v>
      </c>
      <c r="S124" s="69" t="s">
        <v>338</v>
      </c>
      <c r="T124" s="69" t="s">
        <v>339</v>
      </c>
      <c r="U124" s="69" t="str">
        <f>U117</f>
        <v>Aug' 16</v>
      </c>
      <c r="V124" s="69" t="str">
        <f>V117</f>
        <v>Sept' 16</v>
      </c>
      <c r="W124" s="69" t="str">
        <f>W117</f>
        <v>Oct' 16</v>
      </c>
      <c r="X124" s="69" t="str">
        <f>X117</f>
        <v>Nov' 16</v>
      </c>
      <c r="Y124" s="69"/>
      <c r="Z124" s="69"/>
      <c r="AA124" s="69"/>
      <c r="AB124" s="69"/>
      <c r="AD124" t="str">
        <f>A124</f>
        <v>SFG+FG Inventory</v>
      </c>
      <c r="AE124" s="67" t="str">
        <f>D124</f>
        <v>Mar' 15</v>
      </c>
      <c r="AF124" s="67" t="str">
        <f>G124</f>
        <v>Jun' 15</v>
      </c>
      <c r="AG124" s="67" t="str">
        <f>J124</f>
        <v>Sept' 15</v>
      </c>
      <c r="AH124" s="67" t="str">
        <f>M124</f>
        <v>Dec' 15</v>
      </c>
      <c r="AI124" s="69" t="str">
        <f t="shared" ref="AI124:AJ127" si="84">P124</f>
        <v>Mar' 16</v>
      </c>
      <c r="AJ124" s="69" t="str">
        <f t="shared" si="84"/>
        <v>Apr' 16</v>
      </c>
      <c r="AK124" s="69" t="str">
        <f>S124</f>
        <v>Jun' 16</v>
      </c>
      <c r="AL124" s="67" t="str">
        <f>U124</f>
        <v>Aug' 16</v>
      </c>
      <c r="AM124" s="67" t="str">
        <f>V124</f>
        <v>Sept' 16</v>
      </c>
      <c r="AN124" s="67" t="str">
        <f>W124</f>
        <v>Oct' 16</v>
      </c>
      <c r="AO124" s="67" t="str">
        <f>X124</f>
        <v>Nov' 16</v>
      </c>
      <c r="AP124" s="67"/>
      <c r="AQ124" s="67"/>
      <c r="AR124" s="67"/>
      <c r="AS124" s="67"/>
    </row>
    <row r="125" spans="1:45" x14ac:dyDescent="0.2">
      <c r="A125" t="s">
        <v>98</v>
      </c>
      <c r="B125" s="69"/>
      <c r="C125" s="69"/>
      <c r="D125" s="67">
        <f>D55+D79</f>
        <v>6.105664044000001</v>
      </c>
      <c r="E125" s="67">
        <f t="shared" ref="E125:P125" si="85">E55+E79</f>
        <v>4.9785220769999992</v>
      </c>
      <c r="F125" s="67">
        <f t="shared" si="85"/>
        <v>5.9502126209999986</v>
      </c>
      <c r="G125" s="67">
        <f t="shared" si="85"/>
        <v>5.9963323970000024</v>
      </c>
      <c r="H125" s="67">
        <f t="shared" si="85"/>
        <v>4.1037779159999994</v>
      </c>
      <c r="I125" s="67">
        <f t="shared" si="85"/>
        <v>4.1536364579999994</v>
      </c>
      <c r="J125" s="67">
        <f t="shared" si="85"/>
        <v>6.3160084320000003</v>
      </c>
      <c r="K125" s="67">
        <f t="shared" si="85"/>
        <v>5.9377489330000017</v>
      </c>
      <c r="L125" s="67">
        <f t="shared" si="85"/>
        <v>7.2440724840000019</v>
      </c>
      <c r="M125" s="67">
        <f t="shared" si="85"/>
        <v>11.766224701000002</v>
      </c>
      <c r="N125" s="67">
        <f t="shared" si="85"/>
        <v>11.505194991999991</v>
      </c>
      <c r="O125" s="67">
        <f t="shared" si="85"/>
        <v>8.5732302950000037</v>
      </c>
      <c r="P125" s="67">
        <f t="shared" si="85"/>
        <v>8.9044232039999933</v>
      </c>
      <c r="Q125" s="67">
        <f t="shared" ref="Q125:X125" si="86">Q55+Q79</f>
        <v>9.8398995479999982</v>
      </c>
      <c r="R125" s="67">
        <f t="shared" si="86"/>
        <v>14.795892184999991</v>
      </c>
      <c r="S125" s="67">
        <f t="shared" si="86"/>
        <v>15.264364816999993</v>
      </c>
      <c r="T125" s="67">
        <f t="shared" si="86"/>
        <v>8.6440479609999894</v>
      </c>
      <c r="U125" s="67">
        <f t="shared" si="86"/>
        <v>7.2757629120000038</v>
      </c>
      <c r="V125" s="67">
        <f t="shared" si="86"/>
        <v>5.7913069220000022</v>
      </c>
      <c r="W125" s="67">
        <f t="shared" si="86"/>
        <v>8.9796415950000004</v>
      </c>
      <c r="X125" s="67">
        <f t="shared" si="86"/>
        <v>9.476675942</v>
      </c>
      <c r="Y125" s="67"/>
      <c r="Z125" s="67"/>
      <c r="AA125" s="67"/>
      <c r="AB125" s="67"/>
      <c r="AD125" t="str">
        <f>A125</f>
        <v>SFG+FG Moving Inventory</v>
      </c>
      <c r="AE125" s="67">
        <f>D125</f>
        <v>6.105664044000001</v>
      </c>
      <c r="AF125" s="67">
        <f>G125</f>
        <v>5.9963323970000024</v>
      </c>
      <c r="AG125" s="67">
        <f>J125</f>
        <v>6.3160084320000003</v>
      </c>
      <c r="AH125" s="67">
        <f>M125</f>
        <v>11.766224701000002</v>
      </c>
      <c r="AI125" s="67">
        <f t="shared" si="84"/>
        <v>8.9044232039999933</v>
      </c>
      <c r="AJ125" s="67">
        <f t="shared" si="84"/>
        <v>9.8398995479999982</v>
      </c>
      <c r="AK125" s="67">
        <f>S125</f>
        <v>15.264364816999993</v>
      </c>
      <c r="AL125" s="67">
        <f t="shared" ref="AL125:AO127" si="87">U125</f>
        <v>7.2757629120000038</v>
      </c>
      <c r="AM125" s="67">
        <f t="shared" si="87"/>
        <v>5.7913069220000022</v>
      </c>
      <c r="AN125" s="67">
        <f t="shared" si="87"/>
        <v>8.9796415950000004</v>
      </c>
      <c r="AO125" s="67">
        <f t="shared" si="87"/>
        <v>9.476675942</v>
      </c>
      <c r="AP125" s="67"/>
      <c r="AQ125" s="67"/>
      <c r="AR125" s="67"/>
      <c r="AS125" s="67"/>
    </row>
    <row r="126" spans="1:45" x14ac:dyDescent="0.2">
      <c r="A126" t="s">
        <v>73</v>
      </c>
      <c r="B126" s="69"/>
      <c r="C126" s="69"/>
      <c r="D126" s="67">
        <f>AVERAGE(B128:D128)</f>
        <v>35.799152531604612</v>
      </c>
      <c r="E126" s="67">
        <f t="shared" ref="E126:X126" si="88">AVERAGE(C128:E128)</f>
        <v>35.522884232828005</v>
      </c>
      <c r="F126" s="67">
        <f t="shared" si="88"/>
        <v>38.794725127475722</v>
      </c>
      <c r="G126" s="67">
        <f t="shared" si="88"/>
        <v>42.01244357139165</v>
      </c>
      <c r="H126" s="67">
        <f t="shared" si="88"/>
        <v>43.164172678302783</v>
      </c>
      <c r="I126" s="67">
        <f t="shared" si="88"/>
        <v>40.251442974749686</v>
      </c>
      <c r="J126" s="67">
        <f t="shared" si="88"/>
        <v>33.717078839232165</v>
      </c>
      <c r="K126" s="67">
        <f t="shared" si="88"/>
        <v>30.060716772072158</v>
      </c>
      <c r="L126" s="67">
        <f t="shared" si="88"/>
        <v>28.520996290855674</v>
      </c>
      <c r="M126" s="67">
        <f>AVERAGE(K128:M128)</f>
        <v>33.069679257156857</v>
      </c>
      <c r="N126" s="67">
        <f>AVERAGE(L128:N128)</f>
        <v>32.731436918999897</v>
      </c>
      <c r="O126" s="67">
        <f t="shared" si="88"/>
        <v>34.204684996585144</v>
      </c>
      <c r="P126" s="67">
        <f t="shared" si="88"/>
        <v>36.072236818817714</v>
      </c>
      <c r="Q126" s="67">
        <f t="shared" si="88"/>
        <v>37.918670253839714</v>
      </c>
      <c r="R126" s="67">
        <f t="shared" si="88"/>
        <v>37.586469337055341</v>
      </c>
      <c r="S126" s="67">
        <f t="shared" si="88"/>
        <v>36.130393942489263</v>
      </c>
      <c r="T126" s="67">
        <f t="shared" si="88"/>
        <v>36.020300943609463</v>
      </c>
      <c r="U126" s="67">
        <f t="shared" si="88"/>
        <v>36.554308469548211</v>
      </c>
      <c r="V126" s="67">
        <f t="shared" si="88"/>
        <v>33.922962139112848</v>
      </c>
      <c r="W126" s="67">
        <f t="shared" si="88"/>
        <v>31.896524096336858</v>
      </c>
      <c r="X126" s="67">
        <f t="shared" si="88"/>
        <v>31.580000000000002</v>
      </c>
      <c r="Y126" s="67"/>
      <c r="Z126" s="67"/>
      <c r="AA126" s="67"/>
      <c r="AB126" s="67"/>
      <c r="AD126" t="str">
        <f>A126</f>
        <v>Avg CoGS</v>
      </c>
      <c r="AE126" s="67">
        <f>D126</f>
        <v>35.799152531604612</v>
      </c>
      <c r="AF126" s="67">
        <f>G126</f>
        <v>42.01244357139165</v>
      </c>
      <c r="AG126" s="67">
        <f>J126</f>
        <v>33.717078839232165</v>
      </c>
      <c r="AH126" s="67">
        <f>M126</f>
        <v>33.069679257156857</v>
      </c>
      <c r="AI126" s="67">
        <f t="shared" si="84"/>
        <v>36.072236818817714</v>
      </c>
      <c r="AJ126" s="67">
        <f t="shared" si="84"/>
        <v>37.918670253839714</v>
      </c>
      <c r="AK126" s="67">
        <f>S126</f>
        <v>36.130393942489263</v>
      </c>
      <c r="AL126" s="67">
        <f t="shared" si="87"/>
        <v>36.554308469548211</v>
      </c>
      <c r="AM126" s="67">
        <f t="shared" si="87"/>
        <v>33.922962139112848</v>
      </c>
      <c r="AN126" s="67">
        <f t="shared" si="87"/>
        <v>31.896524096336858</v>
      </c>
      <c r="AO126" s="67">
        <f t="shared" si="87"/>
        <v>31.580000000000002</v>
      </c>
      <c r="AP126" s="67"/>
      <c r="AQ126" s="67"/>
      <c r="AR126" s="67"/>
      <c r="AS126" s="67"/>
    </row>
    <row r="127" spans="1:45" x14ac:dyDescent="0.2">
      <c r="A127" t="s">
        <v>39</v>
      </c>
      <c r="B127" s="69"/>
      <c r="C127" s="69"/>
      <c r="D127" s="67">
        <f>D125*30/D126</f>
        <v>5.116599370845214</v>
      </c>
      <c r="E127" s="67">
        <f t="shared" ref="E127:P127" si="89">E125*30/E126</f>
        <v>4.2044914295550058</v>
      </c>
      <c r="F127" s="67">
        <f t="shared" si="89"/>
        <v>4.6013054105537607</v>
      </c>
      <c r="G127" s="67">
        <f t="shared" si="89"/>
        <v>4.2818259691158751</v>
      </c>
      <c r="H127" s="67">
        <f t="shared" si="89"/>
        <v>2.8522112168707228</v>
      </c>
      <c r="I127" s="67">
        <f t="shared" si="89"/>
        <v>3.0957671211481554</v>
      </c>
      <c r="J127" s="67">
        <f t="shared" si="89"/>
        <v>5.6197114187580972</v>
      </c>
      <c r="K127" s="67">
        <f t="shared" si="89"/>
        <v>5.9257558407753486</v>
      </c>
      <c r="L127" s="67">
        <f t="shared" si="89"/>
        <v>7.61972591363077</v>
      </c>
      <c r="M127" s="67">
        <f t="shared" si="89"/>
        <v>10.674029774679704</v>
      </c>
      <c r="N127" s="67">
        <f>N125*30/N126</f>
        <v>10.54508699432148</v>
      </c>
      <c r="O127" s="67">
        <f t="shared" si="89"/>
        <v>7.5193473898583658</v>
      </c>
      <c r="P127" s="67">
        <f t="shared" si="89"/>
        <v>7.4054929685049462</v>
      </c>
      <c r="Q127" s="67">
        <f t="shared" ref="Q127:X127" si="90">Q125*30/Q126</f>
        <v>7.7850036529197046</v>
      </c>
      <c r="R127" s="67">
        <f t="shared" si="90"/>
        <v>11.809482863887812</v>
      </c>
      <c r="S127" s="67">
        <f t="shared" si="90"/>
        <v>12.674396665558469</v>
      </c>
      <c r="T127" s="67">
        <f t="shared" si="90"/>
        <v>7.1993134992395769</v>
      </c>
      <c r="U127" s="67">
        <f t="shared" si="90"/>
        <v>5.9711945458312714</v>
      </c>
      <c r="V127" s="67">
        <f t="shared" si="90"/>
        <v>5.121581274286199</v>
      </c>
      <c r="W127" s="67">
        <f t="shared" si="90"/>
        <v>8.4457242750453148</v>
      </c>
      <c r="X127" s="67">
        <f t="shared" si="90"/>
        <v>9.0025420601646609</v>
      </c>
      <c r="Y127" s="67"/>
      <c r="Z127" s="67"/>
      <c r="AA127" s="67"/>
      <c r="AB127" s="67"/>
      <c r="AD127" t="str">
        <f>A127</f>
        <v>DIOH</v>
      </c>
      <c r="AE127" s="67">
        <f>D127</f>
        <v>5.116599370845214</v>
      </c>
      <c r="AF127" s="67">
        <f>G127</f>
        <v>4.2818259691158751</v>
      </c>
      <c r="AG127" s="67">
        <f>J127</f>
        <v>5.6197114187580972</v>
      </c>
      <c r="AH127" s="67">
        <f>M127</f>
        <v>10.674029774679704</v>
      </c>
      <c r="AI127" s="67">
        <f t="shared" si="84"/>
        <v>7.4054929685049462</v>
      </c>
      <c r="AJ127" s="67">
        <f t="shared" si="84"/>
        <v>7.7850036529197046</v>
      </c>
      <c r="AK127" s="67">
        <f>S127</f>
        <v>12.674396665558469</v>
      </c>
      <c r="AL127" s="67">
        <f t="shared" si="87"/>
        <v>5.9711945458312714</v>
      </c>
      <c r="AM127" s="67">
        <f t="shared" si="87"/>
        <v>5.121581274286199</v>
      </c>
      <c r="AN127" s="67">
        <f t="shared" si="87"/>
        <v>8.4457242750453148</v>
      </c>
      <c r="AO127" s="67">
        <f t="shared" si="87"/>
        <v>9.0025420601646609</v>
      </c>
      <c r="AP127" s="67"/>
      <c r="AQ127" s="67"/>
      <c r="AR127" s="67"/>
      <c r="AS127" s="67"/>
    </row>
    <row r="128" spans="1:45" x14ac:dyDescent="0.2">
      <c r="A128" t="s">
        <v>59</v>
      </c>
      <c r="B128" s="67">
        <v>39.97772361144871</v>
      </c>
      <c r="C128" s="67">
        <v>33.286236099157279</v>
      </c>
      <c r="D128" s="67">
        <v>34.133497884207834</v>
      </c>
      <c r="E128" s="67">
        <v>39.148918715118896</v>
      </c>
      <c r="F128" s="67">
        <v>43.101758783100458</v>
      </c>
      <c r="G128" s="67">
        <v>43.786653215955596</v>
      </c>
      <c r="H128" s="67">
        <v>42.604106035852304</v>
      </c>
      <c r="I128" s="67">
        <v>34.363569672441159</v>
      </c>
      <c r="J128" s="67">
        <v>24.183560809403041</v>
      </c>
      <c r="K128" s="67">
        <v>31.635019834372287</v>
      </c>
      <c r="L128" s="67">
        <v>29.744408228791688</v>
      </c>
      <c r="M128" s="67">
        <v>37.829609708306599</v>
      </c>
      <c r="N128" s="67">
        <v>30.620292819901401</v>
      </c>
      <c r="O128" s="67">
        <v>34.164152461547431</v>
      </c>
      <c r="P128" s="67">
        <v>43.432265175004318</v>
      </c>
      <c r="Q128" s="67">
        <v>36.159593124967401</v>
      </c>
      <c r="R128" s="67">
        <v>33.167549711194305</v>
      </c>
      <c r="S128" s="67">
        <v>39.064038991306091</v>
      </c>
      <c r="T128" s="67">
        <v>35.829314128327987</v>
      </c>
      <c r="U128" s="67">
        <v>34.769572289010569</v>
      </c>
      <c r="V128" s="67">
        <v>31.17</v>
      </c>
      <c r="W128" s="67">
        <v>29.75</v>
      </c>
      <c r="X128" s="67">
        <v>33.82</v>
      </c>
      <c r="Y128" s="69"/>
      <c r="Z128" s="69"/>
      <c r="AA128" s="69"/>
      <c r="AB128" s="69"/>
      <c r="AD128" t="str">
        <f>A129</f>
        <v>Target</v>
      </c>
      <c r="AE128" s="67">
        <f>D129</f>
        <v>6</v>
      </c>
      <c r="AF128" s="67">
        <f>E129</f>
        <v>6</v>
      </c>
      <c r="AG128" s="67">
        <f>F129</f>
        <v>6</v>
      </c>
      <c r="AH128" s="67">
        <f>G129</f>
        <v>6</v>
      </c>
      <c r="AI128" s="69">
        <f>P129</f>
        <v>6</v>
      </c>
      <c r="AJ128" s="69">
        <f>Q129</f>
        <v>6</v>
      </c>
      <c r="AK128" s="69">
        <f>R129</f>
        <v>6</v>
      </c>
      <c r="AL128" s="67">
        <f>U129</f>
        <v>6</v>
      </c>
      <c r="AM128" s="67">
        <f>V129</f>
        <v>6</v>
      </c>
      <c r="AN128" s="67">
        <f>W129</f>
        <v>6</v>
      </c>
      <c r="AO128" s="67">
        <f>X129</f>
        <v>6</v>
      </c>
      <c r="AP128" s="67"/>
      <c r="AQ128" s="67"/>
      <c r="AR128" s="67"/>
      <c r="AS128" s="67"/>
    </row>
    <row r="129" spans="1:28" x14ac:dyDescent="0.2">
      <c r="A129" t="s">
        <v>26</v>
      </c>
      <c r="B129" s="69"/>
      <c r="C129" s="69"/>
      <c r="D129" s="67">
        <f>D59+D83</f>
        <v>6</v>
      </c>
      <c r="E129" s="67">
        <f t="shared" ref="E129:P129" si="91">E59+E83</f>
        <v>6</v>
      </c>
      <c r="F129" s="67">
        <f t="shared" si="91"/>
        <v>6</v>
      </c>
      <c r="G129" s="67">
        <f t="shared" si="91"/>
        <v>6</v>
      </c>
      <c r="H129" s="67">
        <f t="shared" si="91"/>
        <v>6</v>
      </c>
      <c r="I129" s="67">
        <f t="shared" si="91"/>
        <v>6</v>
      </c>
      <c r="J129" s="67">
        <f t="shared" si="91"/>
        <v>6</v>
      </c>
      <c r="K129" s="67">
        <f t="shared" si="91"/>
        <v>6</v>
      </c>
      <c r="L129" s="67">
        <f t="shared" si="91"/>
        <v>6</v>
      </c>
      <c r="M129" s="67">
        <f t="shared" si="91"/>
        <v>6</v>
      </c>
      <c r="N129" s="67">
        <f t="shared" si="91"/>
        <v>6</v>
      </c>
      <c r="O129" s="67">
        <f t="shared" si="91"/>
        <v>6</v>
      </c>
      <c r="P129" s="67">
        <f t="shared" si="91"/>
        <v>6</v>
      </c>
      <c r="Q129" s="67">
        <v>6</v>
      </c>
      <c r="R129" s="67">
        <v>6</v>
      </c>
      <c r="S129" s="67">
        <v>6</v>
      </c>
      <c r="T129" s="67">
        <v>6</v>
      </c>
      <c r="U129" s="67">
        <v>6</v>
      </c>
      <c r="V129" s="67">
        <v>6</v>
      </c>
      <c r="W129" s="67">
        <v>6</v>
      </c>
      <c r="X129" s="67">
        <v>6</v>
      </c>
      <c r="Y129" s="67"/>
      <c r="Z129" s="67"/>
      <c r="AA129" s="67"/>
      <c r="AB129" s="67"/>
    </row>
    <row r="130" spans="1:28" x14ac:dyDescent="0.2"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</row>
    <row r="131" spans="1:28" x14ac:dyDescent="0.2"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</row>
    <row r="132" spans="1:28" x14ac:dyDescent="0.2"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</row>
    <row r="133" spans="1:28" x14ac:dyDescent="0.2"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</row>
    <row r="134" spans="1:28" x14ac:dyDescent="0.2"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</row>
    <row r="135" spans="1:28" x14ac:dyDescent="0.2"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</row>
    <row r="136" spans="1:28" x14ac:dyDescent="0.2"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</row>
    <row r="137" spans="1:28" x14ac:dyDescent="0.2"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</row>
    <row r="138" spans="1:28" x14ac:dyDescent="0.2"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</row>
    <row r="139" spans="1:28" x14ac:dyDescent="0.2"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</row>
    <row r="140" spans="1:28" x14ac:dyDescent="0.2"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</row>
    <row r="141" spans="1:28" x14ac:dyDescent="0.2"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</row>
    <row r="142" spans="1:28" x14ac:dyDescent="0.2"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</row>
    <row r="143" spans="1:28" x14ac:dyDescent="0.2"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</row>
    <row r="144" spans="1:28" x14ac:dyDescent="0.2"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</row>
    <row r="145" spans="2:28" x14ac:dyDescent="0.2"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</row>
    <row r="146" spans="2:28" x14ac:dyDescent="0.2"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</row>
    <row r="147" spans="2:28" x14ac:dyDescent="0.2"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</row>
    <row r="148" spans="2:28" x14ac:dyDescent="0.2"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</row>
    <row r="149" spans="2:28" x14ac:dyDescent="0.2"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FY 2016-17</vt:lpstr>
      <vt:lpstr>FY 2015-16</vt:lpstr>
      <vt:lpstr>OTIF</vt:lpstr>
      <vt:lpstr>Total Inventory</vt:lpstr>
      <vt:lpstr>SMOG-60</vt:lpstr>
      <vt:lpstr>SMOG-90</vt:lpstr>
      <vt:lpstr>SMOG-180</vt:lpstr>
      <vt:lpstr>SMOG-360</vt:lpstr>
      <vt:lpstr>RM-PM_DIOH_60</vt:lpstr>
      <vt:lpstr>RM-PM_DIOH_90</vt:lpstr>
      <vt:lpstr>Inventoy-DIOH</vt:lpstr>
      <vt:lpstr>CoGS data</vt:lpstr>
      <vt:lpstr>Plan cancellation summary</vt:lpstr>
      <vt:lpstr>Plan Cancellation data</vt:lpstr>
      <vt:lpstr>CCC</vt:lpstr>
      <vt:lpstr>Inventory Slides</vt:lpstr>
      <vt:lpstr>RM_PM DIOH</vt:lpstr>
    </vt:vector>
  </TitlesOfParts>
  <Company>Clariant International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Gosavi</dc:creator>
  <cp:lastModifiedBy>Nilesh Gosavi</cp:lastModifiedBy>
  <cp:lastPrinted>2014-02-12T07:23:10Z</cp:lastPrinted>
  <dcterms:created xsi:type="dcterms:W3CDTF">2014-01-31T15:46:40Z</dcterms:created>
  <dcterms:modified xsi:type="dcterms:W3CDTF">2017-04-12T20:29:41Z</dcterms:modified>
</cp:coreProperties>
</file>