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75" windowWidth="20115" windowHeight="6135" tabRatio="665"/>
  </bookViews>
  <sheets>
    <sheet name="Summary" sheetId="11" r:id="rId1"/>
    <sheet name="Sales Order Position" sheetId="1" r:id="rId2"/>
    <sheet name="SNOP vs Actual" sheetId="2" r:id="rId3"/>
    <sheet name="Inventory Sum" sheetId="4" r:id="rId4"/>
    <sheet name="Transit Losses" sheetId="6" state="hidden" r:id="rId5"/>
    <sheet name="Capacity Utilisation" sheetId="8" r:id="rId6"/>
    <sheet name="Detailed Capacity Utilisation" sheetId="13" r:id="rId7"/>
    <sheet name="Inventory Trend" sheetId="3" r:id="rId8"/>
    <sheet name="Dummerage &amp; Detention Chgs" sheetId="5" state="hidden" r:id="rId9"/>
    <sheet name="Sheet1" sheetId="14" r:id="rId10"/>
  </sheets>
  <calcPr calcId="145621" iterate="1"/>
</workbook>
</file>

<file path=xl/calcChain.xml><?xml version="1.0" encoding="utf-8"?>
<calcChain xmlns="http://schemas.openxmlformats.org/spreadsheetml/2006/main">
  <c r="H52" i="11" l="1"/>
  <c r="O25" i="2" l="1"/>
  <c r="O24" i="2"/>
  <c r="AV18" i="3" l="1"/>
  <c r="AD19" i="4" l="1"/>
  <c r="E4" i="11"/>
  <c r="E3" i="11"/>
  <c r="U10" i="1"/>
  <c r="U11" i="1"/>
  <c r="U135" i="8"/>
  <c r="U136" i="8"/>
  <c r="U134" i="8"/>
  <c r="U133" i="8"/>
  <c r="U130" i="8"/>
  <c r="U129" i="8"/>
  <c r="U127" i="8"/>
  <c r="U126" i="8"/>
  <c r="U125" i="8"/>
  <c r="U122" i="8"/>
  <c r="U123" i="8"/>
  <c r="U121" i="8"/>
  <c r="U120" i="8"/>
  <c r="U117" i="8"/>
  <c r="U116" i="8"/>
  <c r="U114" i="8"/>
  <c r="U113" i="8"/>
  <c r="U112" i="8"/>
  <c r="U109" i="8"/>
  <c r="U110" i="8"/>
  <c r="U108" i="8"/>
  <c r="U104" i="8"/>
  <c r="U107" i="8"/>
  <c r="U103" i="8"/>
  <c r="U100" i="8"/>
  <c r="U99" i="8"/>
  <c r="G1626" i="13"/>
  <c r="U95" i="8" s="1"/>
  <c r="U97" i="8" s="1"/>
  <c r="U96" i="8"/>
  <c r="U94" i="8"/>
  <c r="U91" i="8"/>
  <c r="U90" i="8"/>
  <c r="U88" i="8"/>
  <c r="U87" i="8"/>
  <c r="U86" i="8"/>
  <c r="U83" i="8"/>
  <c r="U84" i="8"/>
  <c r="U82" i="8"/>
  <c r="U81" i="8"/>
  <c r="U78" i="8"/>
  <c r="U77" i="8"/>
  <c r="F1607" i="13"/>
  <c r="U73" i="8"/>
  <c r="U70" i="8"/>
  <c r="U71" i="8"/>
  <c r="U69" i="8"/>
  <c r="U68" i="8"/>
  <c r="U65" i="8"/>
  <c r="U64" i="8"/>
  <c r="G1604" i="13"/>
  <c r="D1604" i="13"/>
  <c r="U62" i="8"/>
  <c r="U61" i="8"/>
  <c r="U60" i="8"/>
  <c r="U57" i="8"/>
  <c r="U58" i="8"/>
  <c r="U56" i="8"/>
  <c r="U55" i="8"/>
  <c r="U52" i="8"/>
  <c r="U51" i="8"/>
  <c r="U49" i="8"/>
  <c r="U48" i="8"/>
  <c r="U47" i="8"/>
  <c r="T49" i="8"/>
  <c r="U44" i="8"/>
  <c r="U45" i="8"/>
  <c r="G1591" i="13"/>
  <c r="D1591" i="13"/>
  <c r="D1574" i="13"/>
  <c r="U42" i="8" s="1"/>
  <c r="U43" i="8"/>
  <c r="G1567" i="13"/>
  <c r="F1567" i="13"/>
  <c r="F1562" i="13"/>
  <c r="U38" i="8"/>
  <c r="U34" i="8"/>
  <c r="U30" i="8"/>
  <c r="U29" i="8"/>
  <c r="U28" i="8"/>
  <c r="U27" i="8"/>
  <c r="U24" i="8"/>
  <c r="U23" i="8"/>
  <c r="U22" i="8"/>
  <c r="U21" i="8"/>
  <c r="U18" i="8"/>
  <c r="U17" i="8"/>
  <c r="U16" i="8"/>
  <c r="U15" i="8"/>
  <c r="U13" i="8"/>
  <c r="U12" i="8"/>
  <c r="U9" i="8"/>
  <c r="U8" i="8"/>
  <c r="U6" i="8"/>
  <c r="U5" i="8"/>
  <c r="U4" i="8"/>
  <c r="G1622" i="13"/>
  <c r="G1636" i="13"/>
  <c r="H1636" i="13"/>
  <c r="G1635" i="13"/>
  <c r="I1641" i="13"/>
  <c r="I1642" i="13"/>
  <c r="H1641" i="13"/>
  <c r="F1602" i="13"/>
  <c r="F1596" i="13"/>
  <c r="U101" i="8" l="1"/>
  <c r="E1586" i="13"/>
  <c r="I1568" i="13" l="1"/>
  <c r="F1561" i="13"/>
  <c r="F1565" i="13"/>
  <c r="D1645" i="13" l="1"/>
  <c r="E1641" i="13"/>
  <c r="D1641" i="13"/>
  <c r="D1642" i="13"/>
  <c r="E1642" i="13" s="1"/>
  <c r="G1632" i="13"/>
  <c r="D1632" i="13"/>
  <c r="D1639" i="13"/>
  <c r="D1626" i="13" l="1"/>
  <c r="D1635" i="13"/>
  <c r="D1636" i="13"/>
  <c r="E1621" i="13"/>
  <c r="D1613" i="13"/>
  <c r="E1601" i="13"/>
  <c r="C1578" i="13"/>
  <c r="C1561" i="13"/>
  <c r="C1567" i="13"/>
  <c r="C1552" i="13" l="1"/>
  <c r="C1550" i="13" l="1"/>
  <c r="E1588" i="13" l="1"/>
  <c r="F1646" i="13"/>
  <c r="C1646" i="13"/>
  <c r="D1644" i="13"/>
  <c r="D1646" i="13" s="1"/>
  <c r="H1643" i="13"/>
  <c r="I1643" i="13" s="1"/>
  <c r="H1642" i="13"/>
  <c r="F1640" i="13"/>
  <c r="C1640" i="13"/>
  <c r="I1640" i="13" s="1"/>
  <c r="G1638" i="13"/>
  <c r="D1638" i="13"/>
  <c r="D1640" i="13" s="1"/>
  <c r="H1635" i="13"/>
  <c r="E1635" i="13"/>
  <c r="F1633" i="13"/>
  <c r="D1633" i="13"/>
  <c r="C1633" i="13"/>
  <c r="G1633" i="13"/>
  <c r="H1631" i="13"/>
  <c r="E1631" i="13"/>
  <c r="H1630" i="13"/>
  <c r="I1630" i="13" s="1"/>
  <c r="E1630" i="13"/>
  <c r="H1629" i="13"/>
  <c r="E1629" i="13"/>
  <c r="H1628" i="13"/>
  <c r="E1628" i="13"/>
  <c r="F1627" i="13"/>
  <c r="C1627" i="13"/>
  <c r="G1624" i="13"/>
  <c r="G1627" i="13" s="1"/>
  <c r="D1624" i="13"/>
  <c r="D1627" i="13" s="1"/>
  <c r="H1623" i="13"/>
  <c r="E1623" i="13"/>
  <c r="H1622" i="13"/>
  <c r="E1622" i="13"/>
  <c r="H1621" i="13"/>
  <c r="I1621" i="13" s="1"/>
  <c r="H1620" i="13"/>
  <c r="I1620" i="13" s="1"/>
  <c r="H1619" i="13"/>
  <c r="H1618" i="13"/>
  <c r="E1618" i="13"/>
  <c r="H1617" i="13"/>
  <c r="E1617" i="13"/>
  <c r="H1616" i="13"/>
  <c r="E1616" i="13"/>
  <c r="H1615" i="13"/>
  <c r="E1615" i="13"/>
  <c r="F1614" i="13"/>
  <c r="U74" i="8" s="1"/>
  <c r="U75" i="8" s="1"/>
  <c r="C1614" i="13"/>
  <c r="G1612" i="13"/>
  <c r="G1613" i="13" s="1"/>
  <c r="G1614" i="13" s="1"/>
  <c r="D1612" i="13"/>
  <c r="D1614" i="13" s="1"/>
  <c r="H1611" i="13"/>
  <c r="E1611" i="13"/>
  <c r="H1610" i="13"/>
  <c r="E1610" i="13"/>
  <c r="H1609" i="13"/>
  <c r="E1609" i="13"/>
  <c r="I1609" i="13" s="1"/>
  <c r="H1608" i="13"/>
  <c r="E1608" i="13"/>
  <c r="H1607" i="13"/>
  <c r="I1607" i="13" s="1"/>
  <c r="E1607" i="13"/>
  <c r="H1606" i="13"/>
  <c r="E1606" i="13"/>
  <c r="F1605" i="13"/>
  <c r="C1605" i="13"/>
  <c r="G1603" i="13"/>
  <c r="D1603" i="13"/>
  <c r="C1603" i="13"/>
  <c r="H1602" i="13"/>
  <c r="E1602" i="13"/>
  <c r="H1601" i="13"/>
  <c r="I1601" i="13" s="1"/>
  <c r="H1600" i="13"/>
  <c r="E1600" i="13"/>
  <c r="H1599" i="13"/>
  <c r="E1599" i="13"/>
  <c r="I1599" i="13" s="1"/>
  <c r="H1598" i="13"/>
  <c r="E1598" i="13"/>
  <c r="H1597" i="13"/>
  <c r="I1597" i="13" s="1"/>
  <c r="E1597" i="13"/>
  <c r="H1596" i="13"/>
  <c r="E1596" i="13"/>
  <c r="H1595" i="13"/>
  <c r="E1595" i="13"/>
  <c r="I1595" i="13" s="1"/>
  <c r="H1594" i="13"/>
  <c r="E1594" i="13"/>
  <c r="H1593" i="13"/>
  <c r="F1603" i="13"/>
  <c r="E1593" i="13"/>
  <c r="F1592" i="13"/>
  <c r="C1592" i="13"/>
  <c r="G1590" i="13"/>
  <c r="G1592" i="13" s="1"/>
  <c r="F1590" i="13"/>
  <c r="D1590" i="13"/>
  <c r="H1589" i="13"/>
  <c r="I1589" i="13" s="1"/>
  <c r="E1589" i="13"/>
  <c r="H1588" i="13"/>
  <c r="H1587" i="13"/>
  <c r="E1587" i="13"/>
  <c r="H1586" i="13"/>
  <c r="I1586" i="13" s="1"/>
  <c r="H1585" i="13"/>
  <c r="E1585" i="13"/>
  <c r="H1584" i="13"/>
  <c r="E1584" i="13"/>
  <c r="H1583" i="13"/>
  <c r="E1583" i="13"/>
  <c r="I1583" i="13" s="1"/>
  <c r="H1582" i="13"/>
  <c r="E1582" i="13"/>
  <c r="H1581" i="13"/>
  <c r="E1581" i="13"/>
  <c r="H1580" i="13"/>
  <c r="I1580" i="13" s="1"/>
  <c r="E1580" i="13"/>
  <c r="H1579" i="13"/>
  <c r="E1579" i="13"/>
  <c r="H1578" i="13"/>
  <c r="E1578" i="13"/>
  <c r="I1578" i="13" s="1"/>
  <c r="H1577" i="13"/>
  <c r="E1577" i="13"/>
  <c r="H1576" i="13"/>
  <c r="E1576" i="13"/>
  <c r="F1575" i="13"/>
  <c r="U35" i="8" s="1"/>
  <c r="U36" i="8" s="1"/>
  <c r="E1575" i="13"/>
  <c r="C1575" i="13"/>
  <c r="G1573" i="13"/>
  <c r="D1573" i="13"/>
  <c r="I1572" i="13"/>
  <c r="H1572" i="13"/>
  <c r="H1571" i="13"/>
  <c r="H1569" i="13"/>
  <c r="H1568" i="13"/>
  <c r="E1568" i="13"/>
  <c r="H1567" i="13"/>
  <c r="I1567" i="13" s="1"/>
  <c r="E1567" i="13"/>
  <c r="H1566" i="13"/>
  <c r="E1566" i="13"/>
  <c r="H1565" i="13"/>
  <c r="E1565" i="13"/>
  <c r="H1564" i="13"/>
  <c r="E1564" i="13"/>
  <c r="I1563" i="13"/>
  <c r="H1563" i="13"/>
  <c r="H1562" i="13"/>
  <c r="E1562" i="13"/>
  <c r="H1561" i="13"/>
  <c r="E1561" i="13"/>
  <c r="F1560" i="13"/>
  <c r="E1560" i="13"/>
  <c r="C1560" i="13"/>
  <c r="G1557" i="13"/>
  <c r="G1559" i="13" s="1"/>
  <c r="D1557" i="13"/>
  <c r="H1555" i="13"/>
  <c r="I1555" i="13" s="1"/>
  <c r="E1555" i="13"/>
  <c r="H1554" i="13"/>
  <c r="I1554" i="13" s="1"/>
  <c r="E1554" i="13"/>
  <c r="H1553" i="13"/>
  <c r="E1553" i="13"/>
  <c r="H1552" i="13"/>
  <c r="E1552" i="13"/>
  <c r="H1551" i="13"/>
  <c r="E1551" i="13"/>
  <c r="H1550" i="13"/>
  <c r="E1550" i="13"/>
  <c r="I1566" i="13" l="1"/>
  <c r="G1574" i="13"/>
  <c r="G1575" i="13" s="1"/>
  <c r="U39" i="8"/>
  <c r="I1633" i="13"/>
  <c r="I1623" i="13"/>
  <c r="G1639" i="13"/>
  <c r="G1640" i="13" s="1"/>
  <c r="I1553" i="13"/>
  <c r="I1552" i="13"/>
  <c r="I1646" i="13"/>
  <c r="I1616" i="13"/>
  <c r="I1618" i="13"/>
  <c r="I1622" i="13"/>
  <c r="I1605" i="13"/>
  <c r="I1577" i="13"/>
  <c r="I1587" i="13"/>
  <c r="I1575" i="13"/>
  <c r="I1551" i="13"/>
  <c r="G1644" i="13"/>
  <c r="I1635" i="13"/>
  <c r="I1628" i="13"/>
  <c r="I1629" i="13"/>
  <c r="I1631" i="13"/>
  <c r="I1617" i="13"/>
  <c r="I1627" i="13"/>
  <c r="I1615" i="13"/>
  <c r="I1619" i="13"/>
  <c r="I1608" i="13"/>
  <c r="I1611" i="13"/>
  <c r="I1606" i="13"/>
  <c r="I1610" i="13"/>
  <c r="I1614" i="13"/>
  <c r="I1594" i="13"/>
  <c r="I1598" i="13"/>
  <c r="I1602" i="13"/>
  <c r="D1605" i="13"/>
  <c r="I1596" i="13"/>
  <c r="I1593" i="13"/>
  <c r="I1600" i="13"/>
  <c r="I1592" i="13"/>
  <c r="I1588" i="13"/>
  <c r="I1576" i="13"/>
  <c r="I1562" i="13"/>
  <c r="I1564" i="13"/>
  <c r="I1561" i="13"/>
  <c r="I1565" i="13"/>
  <c r="G1560" i="13"/>
  <c r="D1560" i="13"/>
  <c r="I1550" i="13"/>
  <c r="I1560" i="13"/>
  <c r="E1636" i="13"/>
  <c r="I1636" i="13" s="1"/>
  <c r="D1575" i="13"/>
  <c r="D1592" i="13"/>
  <c r="G1605" i="13"/>
  <c r="O17" i="11"/>
  <c r="R17" i="11"/>
  <c r="Q17" i="11"/>
  <c r="T17" i="11"/>
  <c r="U17" i="11"/>
  <c r="V17" i="11"/>
  <c r="AC52" i="2"/>
  <c r="AC51" i="2"/>
  <c r="AC50" i="2"/>
  <c r="AC49" i="2"/>
  <c r="AC48" i="2"/>
  <c r="AC47" i="2"/>
  <c r="AC46" i="2"/>
  <c r="AC44" i="2"/>
  <c r="AC43" i="2"/>
  <c r="AC42" i="2"/>
  <c r="AC41" i="2"/>
  <c r="AC40" i="2"/>
  <c r="AC39" i="2"/>
  <c r="AC38" i="2"/>
  <c r="AC36" i="2"/>
  <c r="AC35" i="2"/>
  <c r="AC34" i="2"/>
  <c r="AC33" i="2"/>
  <c r="AC32" i="2"/>
  <c r="AC31" i="2"/>
  <c r="AC19" i="2"/>
  <c r="AC18" i="2"/>
  <c r="AC14" i="2"/>
  <c r="AC13" i="2"/>
  <c r="AC9" i="2"/>
  <c r="AC8" i="2"/>
  <c r="AC4" i="2"/>
  <c r="AC3" i="2"/>
  <c r="G1645" i="13" l="1"/>
  <c r="G1646" i="13" s="1"/>
  <c r="Z55" i="2"/>
  <c r="Z56" i="2"/>
  <c r="Z57" i="2"/>
  <c r="Z46" i="2"/>
  <c r="Z38" i="2"/>
  <c r="Z30" i="2"/>
  <c r="Z25" i="2"/>
  <c r="Z18" i="2" l="1"/>
  <c r="AD31" i="4"/>
  <c r="AD30" i="4"/>
  <c r="AD28" i="4"/>
  <c r="AD27" i="4"/>
  <c r="AD26" i="4"/>
  <c r="AD25" i="4"/>
  <c r="AD24" i="4"/>
  <c r="AD23" i="4"/>
  <c r="AD22" i="4"/>
  <c r="AD18" i="4"/>
  <c r="AD17" i="4"/>
  <c r="AD16" i="4"/>
  <c r="AD15" i="4"/>
  <c r="AD14" i="4"/>
  <c r="AD13" i="4"/>
  <c r="AD11" i="4"/>
  <c r="AD10" i="4"/>
  <c r="AD8" i="4"/>
  <c r="AD7" i="4"/>
  <c r="AA23" i="4"/>
  <c r="AA22" i="4" s="1"/>
  <c r="AA24" i="4"/>
  <c r="AA25" i="4"/>
  <c r="AA26" i="4"/>
  <c r="AA27" i="4"/>
  <c r="AA28" i="4"/>
  <c r="AA13" i="4"/>
  <c r="AA14" i="4"/>
  <c r="AA15" i="4"/>
  <c r="AA16" i="4"/>
  <c r="AA17" i="4"/>
  <c r="AA18" i="4"/>
  <c r="AA19" i="4"/>
  <c r="AA6" i="4"/>
  <c r="AA7" i="4"/>
  <c r="AA8" i="4"/>
  <c r="AA10" i="4"/>
  <c r="AA11" i="4"/>
  <c r="Z24" i="2"/>
  <c r="Z26" i="2" l="1"/>
  <c r="U8" i="1" s="1"/>
  <c r="AA4" i="4"/>
  <c r="AA21" i="4" s="1"/>
  <c r="Z27" i="2"/>
  <c r="Z15" i="2"/>
  <c r="Z16" i="2"/>
  <c r="Z5" i="2"/>
  <c r="U9" i="1" s="1"/>
  <c r="Z6" i="2"/>
  <c r="Z10" i="2"/>
  <c r="Z11" i="2"/>
  <c r="W134" i="8"/>
  <c r="W133" i="8"/>
  <c r="W130" i="8"/>
  <c r="W129" i="8"/>
  <c r="W126" i="8"/>
  <c r="W125" i="8"/>
  <c r="W121" i="8"/>
  <c r="W120" i="8"/>
  <c r="W117" i="8"/>
  <c r="W116" i="8"/>
  <c r="W113" i="8"/>
  <c r="W112" i="8"/>
  <c r="W108" i="8"/>
  <c r="W107" i="8"/>
  <c r="W104" i="8"/>
  <c r="W103" i="8"/>
  <c r="W100" i="8"/>
  <c r="W99" i="8"/>
  <c r="W95" i="8"/>
  <c r="W94" i="8"/>
  <c r="W91" i="8"/>
  <c r="W90" i="8"/>
  <c r="W87" i="8"/>
  <c r="W86" i="8"/>
  <c r="W82" i="8"/>
  <c r="W81" i="8"/>
  <c r="W78" i="8"/>
  <c r="W77" i="8"/>
  <c r="W74" i="8"/>
  <c r="W73" i="8"/>
  <c r="W69" i="8"/>
  <c r="W68" i="8"/>
  <c r="W65" i="8"/>
  <c r="W64" i="8"/>
  <c r="W61" i="8"/>
  <c r="W60" i="8"/>
  <c r="W56" i="8"/>
  <c r="W55" i="8"/>
  <c r="W52" i="8"/>
  <c r="W51" i="8"/>
  <c r="W48" i="8"/>
  <c r="W47" i="8"/>
  <c r="W43" i="8"/>
  <c r="W42" i="8"/>
  <c r="W39" i="8"/>
  <c r="W38" i="8"/>
  <c r="W35" i="8"/>
  <c r="W34" i="8"/>
  <c r="W31" i="8"/>
  <c r="W30" i="8"/>
  <c r="W29" i="8"/>
  <c r="W28" i="8"/>
  <c r="W27" i="8"/>
  <c r="W25" i="8"/>
  <c r="W24" i="8"/>
  <c r="W23" i="8"/>
  <c r="W22" i="8"/>
  <c r="W21" i="8"/>
  <c r="W19" i="8"/>
  <c r="W18" i="8"/>
  <c r="W17" i="8"/>
  <c r="W16" i="8"/>
  <c r="W15" i="8"/>
  <c r="W13" i="8"/>
  <c r="W12" i="8"/>
  <c r="W11" i="8"/>
  <c r="W10" i="8"/>
  <c r="W9" i="8"/>
  <c r="W8" i="8"/>
  <c r="W5" i="8"/>
  <c r="W4" i="8"/>
  <c r="AV63" i="3"/>
  <c r="AV52" i="3"/>
  <c r="AV47" i="3" l="1"/>
  <c r="AV38" i="3"/>
  <c r="AC22" i="2" l="1"/>
  <c r="AC21" i="2"/>
  <c r="T135" i="8"/>
  <c r="T130" i="8"/>
  <c r="T136" i="8" s="1"/>
  <c r="T129" i="8"/>
  <c r="T127" i="8"/>
  <c r="T126" i="8"/>
  <c r="T125" i="8"/>
  <c r="T121" i="8"/>
  <c r="T120" i="8"/>
  <c r="I1534" i="13"/>
  <c r="G1534" i="13"/>
  <c r="H1534" i="13" s="1"/>
  <c r="D1534" i="13"/>
  <c r="T113" i="8"/>
  <c r="T112" i="8"/>
  <c r="T114" i="8" s="1"/>
  <c r="T110" i="8"/>
  <c r="T108" i="8"/>
  <c r="T107" i="8"/>
  <c r="T109" i="8" s="1"/>
  <c r="T104" i="8"/>
  <c r="T103" i="8"/>
  <c r="G1530" i="13"/>
  <c r="T100" i="8"/>
  <c r="T99" i="8"/>
  <c r="T101" i="8" s="1"/>
  <c r="T97" i="8"/>
  <c r="T95" i="8"/>
  <c r="T94" i="8"/>
  <c r="T96" i="8" s="1"/>
  <c r="T91" i="8"/>
  <c r="T90" i="8"/>
  <c r="G1524" i="13"/>
  <c r="T87" i="8"/>
  <c r="T88" i="8" s="1"/>
  <c r="T86" i="8"/>
  <c r="T84" i="8"/>
  <c r="T82" i="8"/>
  <c r="T81" i="8"/>
  <c r="T83" i="8" s="1"/>
  <c r="T78" i="8"/>
  <c r="T77" i="8"/>
  <c r="T74" i="8"/>
  <c r="T75" i="8" s="1"/>
  <c r="T73" i="8"/>
  <c r="T70" i="8"/>
  <c r="T69" i="8"/>
  <c r="T71" i="8" s="1"/>
  <c r="T68" i="8"/>
  <c r="T65" i="8"/>
  <c r="T64" i="8"/>
  <c r="G1502" i="13"/>
  <c r="D1502" i="13"/>
  <c r="T61" i="8"/>
  <c r="T60" i="8"/>
  <c r="T62" i="8" s="1"/>
  <c r="T58" i="8"/>
  <c r="T56" i="8"/>
  <c r="T55" i="8"/>
  <c r="T57" i="8" s="1"/>
  <c r="T52" i="8"/>
  <c r="T51" i="8"/>
  <c r="G1489" i="13"/>
  <c r="T48" i="8"/>
  <c r="T47" i="8"/>
  <c r="T44" i="8"/>
  <c r="T43" i="8"/>
  <c r="T42" i="8"/>
  <c r="T39" i="8"/>
  <c r="T45" i="8" s="1"/>
  <c r="T38" i="8"/>
  <c r="G1472" i="13"/>
  <c r="D1472" i="13"/>
  <c r="T35" i="8"/>
  <c r="T34" i="8"/>
  <c r="T36" i="8" s="1"/>
  <c r="T30" i="8"/>
  <c r="T29" i="8"/>
  <c r="T28" i="8"/>
  <c r="T27" i="8"/>
  <c r="T24" i="8"/>
  <c r="T23" i="8"/>
  <c r="T22" i="8"/>
  <c r="T21" i="8"/>
  <c r="T18" i="8"/>
  <c r="T17" i="8"/>
  <c r="T16" i="8"/>
  <c r="T15" i="8"/>
  <c r="T13" i="8"/>
  <c r="T12" i="8"/>
  <c r="T9" i="8"/>
  <c r="T8" i="8"/>
  <c r="T5" i="8"/>
  <c r="T6" i="8" s="1"/>
  <c r="T4" i="8"/>
  <c r="G1541" i="13"/>
  <c r="G1511" i="13"/>
  <c r="D1511" i="13"/>
  <c r="I1499" i="13"/>
  <c r="H1499" i="13"/>
  <c r="F1500" i="13"/>
  <c r="F1491" i="13"/>
  <c r="H1478" i="13"/>
  <c r="H1466" i="13"/>
  <c r="F1450" i="13" l="1"/>
  <c r="D1543" i="13"/>
  <c r="E1534" i="13"/>
  <c r="D1530" i="13"/>
  <c r="D1524" i="13"/>
  <c r="D1489" i="13" l="1"/>
  <c r="E1465" i="13"/>
  <c r="D1457" i="13" l="1"/>
  <c r="E1533" i="13" l="1"/>
  <c r="F1544" i="13"/>
  <c r="C1544" i="13"/>
  <c r="G1542" i="13"/>
  <c r="D1542" i="13"/>
  <c r="D1544" i="13" s="1"/>
  <c r="H1541" i="13"/>
  <c r="I1541" i="13" s="1"/>
  <c r="H1540" i="13"/>
  <c r="I1540" i="13"/>
  <c r="F1538" i="13"/>
  <c r="C1538" i="13"/>
  <c r="G1536" i="13"/>
  <c r="T117" i="8" s="1"/>
  <c r="T123" i="8" s="1"/>
  <c r="D1536" i="13"/>
  <c r="H1533" i="13"/>
  <c r="F1531" i="13"/>
  <c r="C1531" i="13"/>
  <c r="G1531" i="13"/>
  <c r="D1531" i="13"/>
  <c r="H1529" i="13"/>
  <c r="E1529" i="13"/>
  <c r="H1528" i="13"/>
  <c r="I1528" i="13" s="1"/>
  <c r="E1528" i="13"/>
  <c r="H1527" i="13"/>
  <c r="E1527" i="13"/>
  <c r="H1526" i="13"/>
  <c r="E1526" i="13"/>
  <c r="F1525" i="13"/>
  <c r="C1525" i="13"/>
  <c r="G1525" i="13"/>
  <c r="G1522" i="13"/>
  <c r="D1522" i="13"/>
  <c r="D1525" i="13" s="1"/>
  <c r="H1521" i="13"/>
  <c r="E1521" i="13"/>
  <c r="I1521" i="13" s="1"/>
  <c r="H1520" i="13"/>
  <c r="E1520" i="13"/>
  <c r="H1519" i="13"/>
  <c r="I1519" i="13" s="1"/>
  <c r="H1518" i="13"/>
  <c r="E1518" i="13"/>
  <c r="I1518" i="13" s="1"/>
  <c r="H1517" i="13"/>
  <c r="E1517" i="13"/>
  <c r="H1516" i="13"/>
  <c r="E1516" i="13"/>
  <c r="H1515" i="13"/>
  <c r="E1515" i="13"/>
  <c r="H1514" i="13"/>
  <c r="E1514" i="13"/>
  <c r="I1514" i="13" s="1"/>
  <c r="H1513" i="13"/>
  <c r="I1513" i="13" s="1"/>
  <c r="E1513" i="13"/>
  <c r="F1512" i="13"/>
  <c r="C1512" i="13"/>
  <c r="G1510" i="13"/>
  <c r="G1512" i="13" s="1"/>
  <c r="D1510" i="13"/>
  <c r="D1512" i="13" s="1"/>
  <c r="H1509" i="13"/>
  <c r="I1509" i="13" s="1"/>
  <c r="E1509" i="13"/>
  <c r="H1508" i="13"/>
  <c r="E1508" i="13"/>
  <c r="H1507" i="13"/>
  <c r="E1507" i="13"/>
  <c r="H1506" i="13"/>
  <c r="E1506" i="13"/>
  <c r="I1506" i="13" s="1"/>
  <c r="H1505" i="13"/>
  <c r="E1505" i="13"/>
  <c r="H1504" i="13"/>
  <c r="E1504" i="13"/>
  <c r="C1503" i="13"/>
  <c r="G1501" i="13"/>
  <c r="D1501" i="13"/>
  <c r="C1501" i="13"/>
  <c r="H1500" i="13"/>
  <c r="E1500" i="13"/>
  <c r="H1498" i="13"/>
  <c r="I1498" i="13" s="1"/>
  <c r="E1498" i="13"/>
  <c r="H1497" i="13"/>
  <c r="I1497" i="13" s="1"/>
  <c r="E1497" i="13"/>
  <c r="H1496" i="13"/>
  <c r="E1496" i="13"/>
  <c r="F1501" i="13"/>
  <c r="E1495" i="13"/>
  <c r="H1494" i="13"/>
  <c r="E1494" i="13"/>
  <c r="H1493" i="13"/>
  <c r="E1493" i="13"/>
  <c r="H1492" i="13"/>
  <c r="I1492" i="13" s="1"/>
  <c r="E1492" i="13"/>
  <c r="H1491" i="13"/>
  <c r="E1491" i="13"/>
  <c r="F1490" i="13"/>
  <c r="C1490" i="13"/>
  <c r="G1488" i="13"/>
  <c r="G1490" i="13" s="1"/>
  <c r="F1488" i="13"/>
  <c r="D1488" i="13"/>
  <c r="C1488" i="13"/>
  <c r="H1487" i="13"/>
  <c r="I1487" i="13" s="1"/>
  <c r="E1487" i="13"/>
  <c r="H1486" i="13"/>
  <c r="I1486" i="13" s="1"/>
  <c r="E1486" i="13"/>
  <c r="H1485" i="13"/>
  <c r="E1485" i="13"/>
  <c r="H1484" i="13"/>
  <c r="I1484" i="13" s="1"/>
  <c r="H1483" i="13"/>
  <c r="E1483" i="13"/>
  <c r="H1482" i="13"/>
  <c r="E1482" i="13"/>
  <c r="H1481" i="13"/>
  <c r="E1481" i="13"/>
  <c r="H1480" i="13"/>
  <c r="E1480" i="13"/>
  <c r="H1479" i="13"/>
  <c r="E1479" i="13"/>
  <c r="E1478" i="13"/>
  <c r="I1478" i="13" s="1"/>
  <c r="H1477" i="13"/>
  <c r="E1477" i="13"/>
  <c r="H1476" i="13"/>
  <c r="E1476" i="13"/>
  <c r="H1475" i="13"/>
  <c r="E1475" i="13"/>
  <c r="H1474" i="13"/>
  <c r="I1474" i="13" s="1"/>
  <c r="E1474" i="13"/>
  <c r="E1473" i="13"/>
  <c r="C1473" i="13"/>
  <c r="G1471" i="13"/>
  <c r="G1473" i="13" s="1"/>
  <c r="D1471" i="13"/>
  <c r="I1470" i="13"/>
  <c r="H1470" i="13"/>
  <c r="H1469" i="13"/>
  <c r="H1467" i="13"/>
  <c r="E1466" i="13"/>
  <c r="H1465" i="13"/>
  <c r="H1464" i="13"/>
  <c r="E1464" i="13"/>
  <c r="H1463" i="13"/>
  <c r="E1463" i="13"/>
  <c r="H1462" i="13"/>
  <c r="I1462" i="13" s="1"/>
  <c r="E1462" i="13"/>
  <c r="H1461" i="13"/>
  <c r="I1461" i="13" s="1"/>
  <c r="H1460" i="13"/>
  <c r="I1460" i="13" s="1"/>
  <c r="E1460" i="13"/>
  <c r="F1473" i="13"/>
  <c r="E1459" i="13"/>
  <c r="F1458" i="13"/>
  <c r="E1458" i="13"/>
  <c r="G1455" i="13"/>
  <c r="D1455" i="13"/>
  <c r="H1453" i="13"/>
  <c r="C1458" i="13"/>
  <c r="H1452" i="13"/>
  <c r="E1452" i="13"/>
  <c r="I1452" i="13" s="1"/>
  <c r="H1451" i="13"/>
  <c r="E1451" i="13"/>
  <c r="I1451" i="13" s="1"/>
  <c r="H1450" i="13"/>
  <c r="E1450" i="13"/>
  <c r="H1449" i="13"/>
  <c r="E1449" i="13"/>
  <c r="H1448" i="13"/>
  <c r="E1448" i="13"/>
  <c r="T9" i="1"/>
  <c r="Y55" i="2"/>
  <c r="Y56" i="2"/>
  <c r="Y57" i="2"/>
  <c r="Y49" i="2"/>
  <c r="Y16" i="2" s="1"/>
  <c r="Y46" i="2"/>
  <c r="Y38" i="2"/>
  <c r="Y30" i="2"/>
  <c r="Y24" i="2"/>
  <c r="Y25" i="2"/>
  <c r="Y19" i="2"/>
  <c r="Y15" i="2"/>
  <c r="T11" i="1" s="1"/>
  <c r="Y10" i="2"/>
  <c r="T10" i="1" s="1"/>
  <c r="Y11" i="2"/>
  <c r="Y5" i="2"/>
  <c r="Y6" i="2"/>
  <c r="Y26" i="2" l="1"/>
  <c r="T8" i="1" s="1"/>
  <c r="Y27" i="2"/>
  <c r="T116" i="8"/>
  <c r="T122" i="8" s="1"/>
  <c r="D1537" i="13"/>
  <c r="D1538" i="13" s="1"/>
  <c r="G1537" i="13"/>
  <c r="G1538" i="13" s="1"/>
  <c r="G1543" i="13"/>
  <c r="G1544" i="13" s="1"/>
  <c r="I1531" i="13"/>
  <c r="I1525" i="13"/>
  <c r="I1448" i="13"/>
  <c r="G1457" i="13"/>
  <c r="G1458" i="13" s="1"/>
  <c r="I1526" i="13"/>
  <c r="I1508" i="13"/>
  <c r="I1512" i="13"/>
  <c r="D1503" i="13"/>
  <c r="I1491" i="13"/>
  <c r="D1490" i="13"/>
  <c r="I1533" i="13"/>
  <c r="I1538" i="13"/>
  <c r="I1544" i="13"/>
  <c r="I1527" i="13"/>
  <c r="I1529" i="13"/>
  <c r="I1515" i="13"/>
  <c r="I1516" i="13"/>
  <c r="I1520" i="13"/>
  <c r="I1517" i="13"/>
  <c r="I1507" i="13"/>
  <c r="I1505" i="13"/>
  <c r="I1504" i="13"/>
  <c r="I1494" i="13"/>
  <c r="I1496" i="13"/>
  <c r="I1493" i="13"/>
  <c r="I1500" i="13"/>
  <c r="I1481" i="13"/>
  <c r="I1475" i="13"/>
  <c r="I1476" i="13"/>
  <c r="I1485" i="13"/>
  <c r="I1490" i="13"/>
  <c r="I1464" i="13"/>
  <c r="I1463" i="13"/>
  <c r="I1473" i="13"/>
  <c r="I1450" i="13"/>
  <c r="I1449" i="13"/>
  <c r="I1458" i="13"/>
  <c r="D1458" i="13"/>
  <c r="D1473" i="13"/>
  <c r="G1503" i="13"/>
  <c r="E1453" i="13"/>
  <c r="I1453" i="13" s="1"/>
  <c r="H1459" i="13"/>
  <c r="I1459" i="13" s="1"/>
  <c r="F1503" i="13"/>
  <c r="I1503" i="13" s="1"/>
  <c r="H1495" i="13"/>
  <c r="I1495" i="13" s="1"/>
  <c r="Z23" i="4" l="1"/>
  <c r="Z24" i="4"/>
  <c r="Z25" i="4"/>
  <c r="Z26" i="4"/>
  <c r="Z22" i="4" s="1"/>
  <c r="Z27" i="4"/>
  <c r="AU63" i="3"/>
  <c r="AU72" i="3"/>
  <c r="Z13" i="4"/>
  <c r="Z14" i="4"/>
  <c r="Z15" i="4"/>
  <c r="Z16" i="4"/>
  <c r="Z17" i="4"/>
  <c r="Z18" i="4"/>
  <c r="Z19" i="4"/>
  <c r="Z28" i="4" s="1"/>
  <c r="Z10" i="4"/>
  <c r="Z11" i="4"/>
  <c r="Z7" i="4"/>
  <c r="AU69" i="3"/>
  <c r="AU58" i="3"/>
  <c r="AU52" i="3"/>
  <c r="AU47" i="3" l="1"/>
  <c r="Z8" i="4" s="1"/>
  <c r="AU38" i="3"/>
  <c r="AU18" i="3" l="1"/>
  <c r="Z6" i="4" s="1"/>
  <c r="AD6" i="4" s="1"/>
  <c r="AU17" i="3"/>
  <c r="Z4" i="4" l="1"/>
  <c r="Z21" i="4" s="1"/>
  <c r="S134" i="8"/>
  <c r="S133" i="8"/>
  <c r="S130" i="8"/>
  <c r="S129" i="8"/>
  <c r="S135" i="8" s="1"/>
  <c r="S126" i="8"/>
  <c r="S127" i="8" s="1"/>
  <c r="S125" i="8"/>
  <c r="S121" i="8"/>
  <c r="S120" i="8"/>
  <c r="S122" i="8" s="1"/>
  <c r="S117" i="8"/>
  <c r="S116" i="8"/>
  <c r="S113" i="8"/>
  <c r="S112" i="8"/>
  <c r="S108" i="8"/>
  <c r="S107" i="8"/>
  <c r="S109" i="8" s="1"/>
  <c r="S110" i="8"/>
  <c r="S100" i="8"/>
  <c r="S99" i="8"/>
  <c r="S95" i="8"/>
  <c r="S94" i="8"/>
  <c r="S91" i="8"/>
  <c r="S90" i="8"/>
  <c r="S87" i="8"/>
  <c r="S86" i="8"/>
  <c r="S82" i="8"/>
  <c r="S81" i="8"/>
  <c r="S78" i="8"/>
  <c r="S77" i="8"/>
  <c r="S74" i="8"/>
  <c r="S73" i="8"/>
  <c r="S69" i="8"/>
  <c r="S68" i="8"/>
  <c r="S65" i="8"/>
  <c r="S64" i="8"/>
  <c r="S61" i="8"/>
  <c r="S60" i="8"/>
  <c r="S56" i="8"/>
  <c r="S55" i="8"/>
  <c r="S52" i="8"/>
  <c r="S51" i="8"/>
  <c r="S48" i="8"/>
  <c r="S47" i="8"/>
  <c r="S101" i="8" l="1"/>
  <c r="S70" i="8"/>
  <c r="S96" i="8"/>
  <c r="S123" i="8"/>
  <c r="S71" i="8"/>
  <c r="S97" i="8"/>
  <c r="S49" i="8"/>
  <c r="S88" i="8"/>
  <c r="S57" i="8"/>
  <c r="S83" i="8"/>
  <c r="S114" i="8"/>
  <c r="S58" i="8"/>
  <c r="S75" i="8"/>
  <c r="S84" i="8"/>
  <c r="S136" i="8"/>
  <c r="S62" i="8"/>
  <c r="S43" i="8" l="1"/>
  <c r="S42" i="8"/>
  <c r="S39" i="8"/>
  <c r="S38" i="8"/>
  <c r="S35" i="8"/>
  <c r="S34" i="8"/>
  <c r="S30" i="8"/>
  <c r="S29" i="8"/>
  <c r="S28" i="8"/>
  <c r="S27" i="8"/>
  <c r="S24" i="8"/>
  <c r="S23" i="8"/>
  <c r="S22" i="8"/>
  <c r="S21" i="8"/>
  <c r="S18" i="8"/>
  <c r="S17" i="8"/>
  <c r="S16" i="8"/>
  <c r="S15" i="8"/>
  <c r="S13" i="8"/>
  <c r="S12" i="8"/>
  <c r="S8" i="8"/>
  <c r="S36" i="8" l="1"/>
  <c r="S45" i="8"/>
  <c r="S44" i="8"/>
  <c r="S5" i="8"/>
  <c r="S4" i="8"/>
  <c r="E1419" i="13"/>
  <c r="S6" i="8" l="1"/>
  <c r="G1395" i="13"/>
  <c r="F1395" i="13"/>
  <c r="E1386" i="13" l="1"/>
  <c r="C1386" i="13"/>
  <c r="H1365" i="13"/>
  <c r="F1359" i="13"/>
  <c r="F1363" i="13"/>
  <c r="H1361" i="13"/>
  <c r="I1361" i="13" s="1"/>
  <c r="F1353" i="13" l="1"/>
  <c r="F1350" i="13"/>
  <c r="E1382" i="13"/>
  <c r="E1383" i="13"/>
  <c r="E1378" i="13"/>
  <c r="E1366" i="13" l="1"/>
  <c r="C1353" i="13" l="1"/>
  <c r="F1442" i="13" l="1"/>
  <c r="C1442" i="13"/>
  <c r="G1440" i="13"/>
  <c r="G1441" i="13" s="1"/>
  <c r="G1442" i="13" s="1"/>
  <c r="D1440" i="13"/>
  <c r="D1441" i="13" s="1"/>
  <c r="D1442" i="13" s="1"/>
  <c r="H1439" i="13"/>
  <c r="E1439" i="13"/>
  <c r="H1438" i="13"/>
  <c r="E1438" i="13"/>
  <c r="F1436" i="13"/>
  <c r="C1436" i="13"/>
  <c r="G1434" i="13"/>
  <c r="G1435" i="13" s="1"/>
  <c r="G1436" i="13" s="1"/>
  <c r="D1434" i="13"/>
  <c r="D1435" i="13" s="1"/>
  <c r="D1436" i="13" s="1"/>
  <c r="H1432" i="13"/>
  <c r="E1432" i="13"/>
  <c r="F1430" i="13"/>
  <c r="C1430" i="13"/>
  <c r="G1429" i="13"/>
  <c r="G1430" i="13" s="1"/>
  <c r="D1429" i="13"/>
  <c r="D1430" i="13" s="1"/>
  <c r="H1428" i="13"/>
  <c r="E1428" i="13"/>
  <c r="H1427" i="13"/>
  <c r="E1427" i="13"/>
  <c r="H1426" i="13"/>
  <c r="E1426" i="13"/>
  <c r="H1425" i="13"/>
  <c r="E1425" i="13"/>
  <c r="F1424" i="13"/>
  <c r="C1424" i="13"/>
  <c r="G1421" i="13"/>
  <c r="G1423" i="13" s="1"/>
  <c r="G1424" i="13" s="1"/>
  <c r="D1421" i="13"/>
  <c r="D1423" i="13" s="1"/>
  <c r="D1424" i="13" s="1"/>
  <c r="H1420" i="13"/>
  <c r="I1420" i="13" s="1"/>
  <c r="E1420" i="13"/>
  <c r="H1419" i="13"/>
  <c r="I1419" i="13" s="1"/>
  <c r="H1418" i="13"/>
  <c r="I1418" i="13" s="1"/>
  <c r="H1417" i="13"/>
  <c r="E1417" i="13"/>
  <c r="H1416" i="13"/>
  <c r="E1416" i="13"/>
  <c r="H1415" i="13"/>
  <c r="E1415" i="13"/>
  <c r="H1414" i="13"/>
  <c r="E1414" i="13"/>
  <c r="H1413" i="13"/>
  <c r="E1413" i="13"/>
  <c r="H1412" i="13"/>
  <c r="E1412" i="13"/>
  <c r="C1411" i="13"/>
  <c r="G1409" i="13"/>
  <c r="G1410" i="13" s="1"/>
  <c r="G1411" i="13" s="1"/>
  <c r="D1409" i="13"/>
  <c r="D1410" i="13" s="1"/>
  <c r="D1411" i="13" s="1"/>
  <c r="H1408" i="13"/>
  <c r="E1408" i="13"/>
  <c r="H1407" i="13"/>
  <c r="E1407" i="13"/>
  <c r="H1406" i="13"/>
  <c r="E1406" i="13"/>
  <c r="H1405" i="13"/>
  <c r="E1405" i="13"/>
  <c r="F1411" i="13"/>
  <c r="E1404" i="13"/>
  <c r="H1403" i="13"/>
  <c r="E1403" i="13"/>
  <c r="C1402" i="13"/>
  <c r="G1400" i="13"/>
  <c r="F1400" i="13"/>
  <c r="D1400" i="13"/>
  <c r="D1401" i="13" s="1"/>
  <c r="D1402" i="13" s="1"/>
  <c r="C1400" i="13"/>
  <c r="H1399" i="13"/>
  <c r="E1399" i="13"/>
  <c r="H1398" i="13"/>
  <c r="E1398" i="13"/>
  <c r="H1397" i="13"/>
  <c r="I1397" i="13" s="1"/>
  <c r="E1397" i="13"/>
  <c r="H1396" i="13"/>
  <c r="E1396" i="13"/>
  <c r="H1395" i="13"/>
  <c r="E1395" i="13"/>
  <c r="H1394" i="13"/>
  <c r="F1402" i="13"/>
  <c r="E1394" i="13"/>
  <c r="H1393" i="13"/>
  <c r="E1393" i="13"/>
  <c r="H1392" i="13"/>
  <c r="E1392" i="13"/>
  <c r="H1391" i="13"/>
  <c r="E1391" i="13"/>
  <c r="F1390" i="13"/>
  <c r="C1390" i="13"/>
  <c r="G1388" i="13"/>
  <c r="G1389" i="13" s="1"/>
  <c r="G1390" i="13" s="1"/>
  <c r="F1388" i="13"/>
  <c r="D1388" i="13"/>
  <c r="D1389" i="13" s="1"/>
  <c r="D1390" i="13" s="1"/>
  <c r="C1388" i="13"/>
  <c r="H1387" i="13"/>
  <c r="I1387" i="13" s="1"/>
  <c r="E1387" i="13"/>
  <c r="H1386" i="13"/>
  <c r="I1386" i="13" s="1"/>
  <c r="H1385" i="13"/>
  <c r="E1385" i="13"/>
  <c r="H1384" i="13"/>
  <c r="H1383" i="13"/>
  <c r="H1382" i="13"/>
  <c r="H1381" i="13"/>
  <c r="E1381" i="13"/>
  <c r="H1380" i="13"/>
  <c r="E1380" i="13"/>
  <c r="H1379" i="13"/>
  <c r="E1379" i="13"/>
  <c r="H1377" i="13"/>
  <c r="E1377" i="13"/>
  <c r="H1376" i="13"/>
  <c r="E1376" i="13"/>
  <c r="H1375" i="13"/>
  <c r="E1375" i="13"/>
  <c r="H1374" i="13"/>
  <c r="E1374" i="13"/>
  <c r="F1373" i="13"/>
  <c r="E1373" i="13"/>
  <c r="C1373" i="13"/>
  <c r="G1371" i="13"/>
  <c r="G1372" i="13" s="1"/>
  <c r="G1373" i="13" s="1"/>
  <c r="D1371" i="13"/>
  <c r="D1372" i="13" s="1"/>
  <c r="H1370" i="13"/>
  <c r="I1370" i="13" s="1"/>
  <c r="H1369" i="13"/>
  <c r="H1367" i="13"/>
  <c r="H1364" i="13"/>
  <c r="I1364" i="13" s="1"/>
  <c r="E1364" i="13"/>
  <c r="H1363" i="13"/>
  <c r="E1363" i="13"/>
  <c r="H1362" i="13"/>
  <c r="E1362" i="13"/>
  <c r="H1359" i="13"/>
  <c r="E1359" i="13"/>
  <c r="H1360" i="13"/>
  <c r="I1360" i="13" s="1"/>
  <c r="E1360" i="13"/>
  <c r="F1358" i="13"/>
  <c r="E1358" i="13"/>
  <c r="G1355" i="13"/>
  <c r="D1355" i="13"/>
  <c r="D1357" i="13" s="1"/>
  <c r="H1353" i="13"/>
  <c r="E1353" i="13"/>
  <c r="H1352" i="13"/>
  <c r="E1352" i="13"/>
  <c r="H1351" i="13"/>
  <c r="E1351" i="13"/>
  <c r="H1350" i="13"/>
  <c r="E1350" i="13"/>
  <c r="H1349" i="13"/>
  <c r="E1349" i="13"/>
  <c r="H1348" i="13"/>
  <c r="E1348" i="13"/>
  <c r="X55" i="2"/>
  <c r="X56" i="2"/>
  <c r="X57" i="2"/>
  <c r="X46" i="2"/>
  <c r="X38" i="2"/>
  <c r="X30" i="2"/>
  <c r="I1385" i="13" l="1"/>
  <c r="G1357" i="13"/>
  <c r="G1358" i="13" s="1"/>
  <c r="S9" i="8"/>
  <c r="I1390" i="13"/>
  <c r="I1381" i="13"/>
  <c r="I1352" i="13"/>
  <c r="I1408" i="13"/>
  <c r="I1396" i="13"/>
  <c r="I1398" i="13"/>
  <c r="I1427" i="13"/>
  <c r="I1436" i="13"/>
  <c r="I1393" i="13"/>
  <c r="I1395" i="13"/>
  <c r="I1426" i="13"/>
  <c r="I1430" i="13"/>
  <c r="I1438" i="13"/>
  <c r="I1432" i="13"/>
  <c r="I1415" i="13"/>
  <c r="I1413" i="13"/>
  <c r="I1416" i="13"/>
  <c r="I1424" i="13"/>
  <c r="I1406" i="13"/>
  <c r="I1411" i="13"/>
  <c r="I1391" i="13"/>
  <c r="I1374" i="13"/>
  <c r="I1359" i="13"/>
  <c r="I1350" i="13"/>
  <c r="I1442" i="13"/>
  <c r="I1439" i="13"/>
  <c r="I1428" i="13"/>
  <c r="I1425" i="13"/>
  <c r="I1417" i="13"/>
  <c r="I1412" i="13"/>
  <c r="I1414" i="13"/>
  <c r="I1407" i="13"/>
  <c r="I1403" i="13"/>
  <c r="I1405" i="13"/>
  <c r="I1399" i="13"/>
  <c r="I1392" i="13"/>
  <c r="I1402" i="13"/>
  <c r="I1394" i="13"/>
  <c r="I1375" i="13"/>
  <c r="I1384" i="13"/>
  <c r="I1376" i="13"/>
  <c r="I1362" i="13"/>
  <c r="I1363" i="13"/>
  <c r="I1373" i="13"/>
  <c r="I1348" i="13"/>
  <c r="I1353" i="13"/>
  <c r="I1349" i="13"/>
  <c r="I1351" i="13"/>
  <c r="C1358" i="13"/>
  <c r="I1358" i="13" s="1"/>
  <c r="D1358" i="13"/>
  <c r="D1373" i="13"/>
  <c r="H1404" i="13"/>
  <c r="I1404" i="13" s="1"/>
  <c r="G1401" i="13"/>
  <c r="G1402" i="13" s="1"/>
  <c r="X24" i="2" l="1"/>
  <c r="X25" i="2"/>
  <c r="X19" i="2"/>
  <c r="X15" i="2"/>
  <c r="S11" i="1" s="1"/>
  <c r="X16" i="2"/>
  <c r="X10" i="2"/>
  <c r="S10" i="1" s="1"/>
  <c r="X11" i="2"/>
  <c r="X5" i="2"/>
  <c r="S9" i="1" s="1"/>
  <c r="X6" i="2"/>
  <c r="X26" i="2" l="1"/>
  <c r="S8" i="1" s="1"/>
  <c r="X27" i="2"/>
  <c r="AT63" i="3"/>
  <c r="Y16" i="4" s="1"/>
  <c r="Y23" i="4"/>
  <c r="Y24" i="4"/>
  <c r="Y25" i="4"/>
  <c r="Y26" i="4"/>
  <c r="Y27" i="4"/>
  <c r="Y13" i="4"/>
  <c r="Y14" i="4"/>
  <c r="Y15" i="4"/>
  <c r="Y17" i="4"/>
  <c r="Y18" i="4"/>
  <c r="Y19" i="4"/>
  <c r="Y28" i="4" s="1"/>
  <c r="Y10" i="4"/>
  <c r="Y11" i="4"/>
  <c r="Y6" i="4"/>
  <c r="Y7" i="4"/>
  <c r="AT69" i="3"/>
  <c r="AT58" i="3"/>
  <c r="Y22" i="4" l="1"/>
  <c r="AT72" i="3"/>
  <c r="AT52" i="3"/>
  <c r="AT47" i="3"/>
  <c r="Y8" i="4" s="1"/>
  <c r="Y4" i="4" s="1"/>
  <c r="AT38" i="3"/>
  <c r="Y21" i="4" l="1"/>
  <c r="AT18" i="3"/>
  <c r="Q108" i="8" l="1"/>
  <c r="G1232" i="13"/>
  <c r="R30" i="8" l="1"/>
  <c r="R29" i="8" l="1"/>
  <c r="R28" i="8"/>
  <c r="R27" i="8"/>
  <c r="R24" i="8"/>
  <c r="R23" i="8"/>
  <c r="R22" i="8"/>
  <c r="R21" i="8"/>
  <c r="R18" i="8"/>
  <c r="R16" i="8"/>
  <c r="Q24" i="8"/>
  <c r="Q22" i="8"/>
  <c r="Q18" i="8" l="1"/>
  <c r="Q17" i="8" l="1"/>
  <c r="Q16" i="8"/>
  <c r="Q11" i="8"/>
  <c r="Q10" i="8"/>
  <c r="H1319" i="13"/>
  <c r="I1319" i="13" s="1"/>
  <c r="H1316" i="13"/>
  <c r="H1317" i="13"/>
  <c r="H1318" i="13"/>
  <c r="I1318" i="13" s="1"/>
  <c r="H1315" i="13"/>
  <c r="H1320" i="13"/>
  <c r="H1325" i="13"/>
  <c r="H1326" i="13"/>
  <c r="F1304" i="13"/>
  <c r="H1338" i="13"/>
  <c r="F1294" i="13"/>
  <c r="F1299" i="13"/>
  <c r="H1292" i="13"/>
  <c r="H1276" i="13" l="1"/>
  <c r="H1277" i="13"/>
  <c r="F1262" i="13"/>
  <c r="F1263" i="13"/>
  <c r="F1265" i="13"/>
  <c r="D1329" i="13" l="1"/>
  <c r="R107" i="8" s="1"/>
  <c r="E1326" i="13"/>
  <c r="I1326" i="13" s="1"/>
  <c r="E1315" i="13"/>
  <c r="I1315" i="13" s="1"/>
  <c r="E1292" i="13" l="1"/>
  <c r="I1292" i="13" s="1"/>
  <c r="E1277" i="13"/>
  <c r="I1277" i="13" s="1"/>
  <c r="E1278" i="13"/>
  <c r="E1279" i="13"/>
  <c r="D1251" i="13"/>
  <c r="R17" i="8" s="1"/>
  <c r="C1251" i="13"/>
  <c r="R15" i="8" s="1"/>
  <c r="H1241" i="13" l="1"/>
  <c r="G1235" i="13"/>
  <c r="F1209" i="13" l="1"/>
  <c r="F1190" i="13"/>
  <c r="F1168" i="13" l="1"/>
  <c r="F1170" i="13"/>
  <c r="F1167" i="13" l="1"/>
  <c r="F1342" i="13" l="1"/>
  <c r="R126" i="8" s="1"/>
  <c r="C1342" i="13"/>
  <c r="R125" i="8" s="1"/>
  <c r="G1340" i="13"/>
  <c r="D1340" i="13"/>
  <c r="H1339" i="13"/>
  <c r="E1339" i="13"/>
  <c r="E1338" i="13"/>
  <c r="I1338" i="13" s="1"/>
  <c r="F1336" i="13"/>
  <c r="R113" i="8" s="1"/>
  <c r="G1334" i="13"/>
  <c r="D1334" i="13"/>
  <c r="H1332" i="13"/>
  <c r="C1336" i="13"/>
  <c r="R112" i="8" s="1"/>
  <c r="F1330" i="13"/>
  <c r="R100" i="8" s="1"/>
  <c r="C1330" i="13"/>
  <c r="R99" i="8" s="1"/>
  <c r="G1329" i="13"/>
  <c r="D1330" i="13"/>
  <c r="R103" i="8" s="1"/>
  <c r="R109" i="8" s="1"/>
  <c r="H1328" i="13"/>
  <c r="E1328" i="13"/>
  <c r="H1327" i="13"/>
  <c r="E1327" i="13"/>
  <c r="E1325" i="13"/>
  <c r="I1325" i="13" s="1"/>
  <c r="F1324" i="13"/>
  <c r="R87" i="8" s="1"/>
  <c r="G1321" i="13"/>
  <c r="D1321" i="13"/>
  <c r="R90" i="8" s="1"/>
  <c r="E1320" i="13"/>
  <c r="I1320" i="13" s="1"/>
  <c r="E1317" i="13"/>
  <c r="I1317" i="13" s="1"/>
  <c r="E1316" i="13"/>
  <c r="I1316" i="13" s="1"/>
  <c r="H1314" i="13"/>
  <c r="E1314" i="13"/>
  <c r="H1313" i="13"/>
  <c r="E1313" i="13"/>
  <c r="H1312" i="13"/>
  <c r="C1324" i="13"/>
  <c r="R86" i="8" s="1"/>
  <c r="F1311" i="13"/>
  <c r="R74" i="8" s="1"/>
  <c r="G1309" i="13"/>
  <c r="D1309" i="13"/>
  <c r="H1308" i="13"/>
  <c r="E1308" i="13"/>
  <c r="H1307" i="13"/>
  <c r="E1307" i="13"/>
  <c r="C1311" i="13"/>
  <c r="R73" i="8" s="1"/>
  <c r="H1306" i="13"/>
  <c r="E1306" i="13"/>
  <c r="H1305" i="13"/>
  <c r="I1305" i="13" s="1"/>
  <c r="E1305" i="13"/>
  <c r="H1304" i="13"/>
  <c r="E1304" i="13"/>
  <c r="H1303" i="13"/>
  <c r="E1303" i="13"/>
  <c r="F1302" i="13"/>
  <c r="R61" i="8" s="1"/>
  <c r="C1302" i="13"/>
  <c r="R60" i="8" s="1"/>
  <c r="G1300" i="13"/>
  <c r="F1300" i="13"/>
  <c r="D1300" i="13"/>
  <c r="R64" i="8" s="1"/>
  <c r="C1300" i="13"/>
  <c r="H1299" i="13"/>
  <c r="E1299" i="13"/>
  <c r="H1298" i="13"/>
  <c r="E1298" i="13"/>
  <c r="I1298" i="13" s="1"/>
  <c r="H1297" i="13"/>
  <c r="E1297" i="13"/>
  <c r="H1296" i="13"/>
  <c r="E1296" i="13"/>
  <c r="H1295" i="13"/>
  <c r="E1295" i="13"/>
  <c r="H1294" i="13"/>
  <c r="E1294" i="13"/>
  <c r="H1293" i="13"/>
  <c r="E1293" i="13"/>
  <c r="H1291" i="13"/>
  <c r="E1291" i="13"/>
  <c r="F1290" i="13"/>
  <c r="R48" i="8" s="1"/>
  <c r="G1288" i="13"/>
  <c r="R52" i="8" s="1"/>
  <c r="F1288" i="13"/>
  <c r="D1288" i="13"/>
  <c r="H1287" i="13"/>
  <c r="E1287" i="13"/>
  <c r="H1286" i="13"/>
  <c r="I1286" i="13" s="1"/>
  <c r="H1285" i="13"/>
  <c r="E1285" i="13"/>
  <c r="H1284" i="13"/>
  <c r="C1290" i="13"/>
  <c r="R47" i="8" s="1"/>
  <c r="H1283" i="13"/>
  <c r="H1282" i="13"/>
  <c r="H1281" i="13"/>
  <c r="E1281" i="13"/>
  <c r="H1280" i="13"/>
  <c r="E1280" i="13"/>
  <c r="H1279" i="13"/>
  <c r="H1278" i="13"/>
  <c r="E1276" i="13"/>
  <c r="I1276" i="13" s="1"/>
  <c r="H1275" i="13"/>
  <c r="E1275" i="13"/>
  <c r="F1274" i="13"/>
  <c r="R35" i="8" s="1"/>
  <c r="E1274" i="13"/>
  <c r="G1272" i="13"/>
  <c r="R39" i="8" s="1"/>
  <c r="D1272" i="13"/>
  <c r="R38" i="8" s="1"/>
  <c r="H1271" i="13"/>
  <c r="E1271" i="13"/>
  <c r="H1270" i="13"/>
  <c r="H1268" i="13"/>
  <c r="H1266" i="13"/>
  <c r="E1266" i="13"/>
  <c r="H1265" i="13"/>
  <c r="E1265" i="13"/>
  <c r="H1264" i="13"/>
  <c r="E1264" i="13"/>
  <c r="H1263" i="13"/>
  <c r="E1263" i="13"/>
  <c r="H1262" i="13"/>
  <c r="E1262" i="13"/>
  <c r="F1261" i="13"/>
  <c r="R5" i="8" s="1"/>
  <c r="E1261" i="13"/>
  <c r="G1258" i="13"/>
  <c r="H1256" i="13"/>
  <c r="E1256" i="13"/>
  <c r="H1255" i="13"/>
  <c r="E1255" i="13"/>
  <c r="H1254" i="13"/>
  <c r="E1254" i="13"/>
  <c r="H1253" i="13"/>
  <c r="D1258" i="13"/>
  <c r="E1253" i="13"/>
  <c r="H1252" i="13"/>
  <c r="E1252" i="13"/>
  <c r="H1251" i="13"/>
  <c r="C1261" i="13"/>
  <c r="R4" i="8" s="1"/>
  <c r="D1232" i="13"/>
  <c r="Q107" i="8" s="1"/>
  <c r="R75" i="8" l="1"/>
  <c r="R88" i="8"/>
  <c r="R101" i="8"/>
  <c r="R62" i="8"/>
  <c r="G1301" i="13"/>
  <c r="R65" i="8"/>
  <c r="D1310" i="13"/>
  <c r="R77" i="8"/>
  <c r="R114" i="8"/>
  <c r="D1341" i="13"/>
  <c r="R129" i="8"/>
  <c r="D1260" i="13"/>
  <c r="R12" i="8" s="1"/>
  <c r="R8" i="8"/>
  <c r="G1260" i="13"/>
  <c r="R13" i="8" s="1"/>
  <c r="R9" i="8"/>
  <c r="I1266" i="13"/>
  <c r="I1271" i="13"/>
  <c r="I1296" i="13"/>
  <c r="G1310" i="13"/>
  <c r="R78" i="8"/>
  <c r="G1323" i="13"/>
  <c r="R91" i="8"/>
  <c r="I1327" i="13"/>
  <c r="G1330" i="13"/>
  <c r="R104" i="8" s="1"/>
  <c r="R108" i="8"/>
  <c r="G1341" i="13"/>
  <c r="R130" i="8"/>
  <c r="D1289" i="13"/>
  <c r="R51" i="8"/>
  <c r="R116" i="8"/>
  <c r="D1335" i="13"/>
  <c r="R120" i="8" s="1"/>
  <c r="R6" i="8"/>
  <c r="R49" i="8"/>
  <c r="I1308" i="13"/>
  <c r="G1335" i="13"/>
  <c r="R117" i="8"/>
  <c r="R127" i="8"/>
  <c r="I1330" i="13"/>
  <c r="D1323" i="13"/>
  <c r="I1324" i="13"/>
  <c r="I1255" i="13"/>
  <c r="I1287" i="13"/>
  <c r="I1336" i="13"/>
  <c r="I1294" i="13"/>
  <c r="G1302" i="13"/>
  <c r="I1254" i="13"/>
  <c r="I1252" i="13"/>
  <c r="I1313" i="13"/>
  <c r="I1303" i="13"/>
  <c r="I1304" i="13"/>
  <c r="I1311" i="13"/>
  <c r="I1293" i="13"/>
  <c r="I1281" i="13"/>
  <c r="I1295" i="13"/>
  <c r="I1261" i="13"/>
  <c r="I1256" i="13"/>
  <c r="G1273" i="13"/>
  <c r="I1275" i="13"/>
  <c r="I1285" i="13"/>
  <c r="G1289" i="13"/>
  <c r="G1290" i="13" s="1"/>
  <c r="I1291" i="13"/>
  <c r="I1299" i="13"/>
  <c r="I1306" i="13"/>
  <c r="E1312" i="13"/>
  <c r="I1312" i="13" s="1"/>
  <c r="I1328" i="13"/>
  <c r="D1301" i="13"/>
  <c r="I1297" i="13"/>
  <c r="I1302" i="13"/>
  <c r="I1307" i="13"/>
  <c r="I1339" i="13"/>
  <c r="D1290" i="13"/>
  <c r="I1314" i="13"/>
  <c r="I1342" i="13"/>
  <c r="D1273" i="13"/>
  <c r="I1262" i="13"/>
  <c r="I1265" i="13"/>
  <c r="I1264" i="13"/>
  <c r="I1263" i="13"/>
  <c r="D1261" i="13"/>
  <c r="I1253" i="13"/>
  <c r="I1290" i="13"/>
  <c r="C1274" i="13"/>
  <c r="E1284" i="13"/>
  <c r="I1284" i="13" s="1"/>
  <c r="E1332" i="13"/>
  <c r="I1332" i="13" s="1"/>
  <c r="C1288" i="13"/>
  <c r="E1251" i="13"/>
  <c r="I1251" i="13" s="1"/>
  <c r="E1241" i="13"/>
  <c r="I1241" i="13" s="1"/>
  <c r="C1235" i="13"/>
  <c r="E1228" i="13"/>
  <c r="C1217" i="13"/>
  <c r="H1222" i="13"/>
  <c r="I1222" i="13" s="1"/>
  <c r="E1222" i="13"/>
  <c r="C1212" i="13"/>
  <c r="C1189" i="13"/>
  <c r="C1168" i="13"/>
  <c r="R110" i="8" l="1"/>
  <c r="R122" i="8"/>
  <c r="I1274" i="13"/>
  <c r="R34" i="8"/>
  <c r="R36" i="8" s="1"/>
  <c r="D1324" i="13"/>
  <c r="R94" i="8"/>
  <c r="R96" i="8" s="1"/>
  <c r="G1342" i="13"/>
  <c r="R134" i="8"/>
  <c r="R136" i="8" s="1"/>
  <c r="D1342" i="13"/>
  <c r="R133" i="8"/>
  <c r="R135" i="8" s="1"/>
  <c r="G1324" i="13"/>
  <c r="R95" i="8"/>
  <c r="R97" i="8" s="1"/>
  <c r="D1311" i="13"/>
  <c r="R81" i="8"/>
  <c r="R83" i="8" s="1"/>
  <c r="G1274" i="13"/>
  <c r="R43" i="8"/>
  <c r="G1336" i="13"/>
  <c r="R121" i="8"/>
  <c r="R123" i="8" s="1"/>
  <c r="G1261" i="13"/>
  <c r="D1302" i="13"/>
  <c r="R68" i="8"/>
  <c r="R70" i="8" s="1"/>
  <c r="R55" i="8"/>
  <c r="R57" i="8" s="1"/>
  <c r="D1336" i="13"/>
  <c r="G1311" i="13"/>
  <c r="R82" i="8"/>
  <c r="R84" i="8" s="1"/>
  <c r="R69" i="8"/>
  <c r="R71" i="8" s="1"/>
  <c r="R56" i="8"/>
  <c r="R58" i="8" s="1"/>
  <c r="D1274" i="13"/>
  <c r="R42" i="8"/>
  <c r="C1156" i="13"/>
  <c r="Q15" i="8" s="1"/>
  <c r="D1158" i="13"/>
  <c r="Q23" i="8" s="1"/>
  <c r="C1158" i="13"/>
  <c r="Q21" i="8" s="1"/>
  <c r="V18" i="2" l="1"/>
  <c r="W49" i="2"/>
  <c r="V46" i="2"/>
  <c r="W46" i="2"/>
  <c r="V38" i="2"/>
  <c r="W38" i="2"/>
  <c r="V30" i="2"/>
  <c r="AC30" i="2" s="1"/>
  <c r="W30" i="2"/>
  <c r="V55" i="2"/>
  <c r="W55" i="2"/>
  <c r="V56" i="2"/>
  <c r="W56" i="2"/>
  <c r="V57" i="2"/>
  <c r="W57" i="2"/>
  <c r="V24" i="2"/>
  <c r="W24" i="2"/>
  <c r="V25" i="2"/>
  <c r="W25" i="2"/>
  <c r="V15" i="2"/>
  <c r="Q11" i="1" s="1"/>
  <c r="W15" i="2"/>
  <c r="R11" i="1" s="1"/>
  <c r="V16" i="2"/>
  <c r="W16" i="2"/>
  <c r="V10" i="2"/>
  <c r="Q10" i="1" s="1"/>
  <c r="W10" i="2"/>
  <c r="R10" i="1" s="1"/>
  <c r="V11" i="2"/>
  <c r="W11" i="2"/>
  <c r="V5" i="2"/>
  <c r="Q9" i="1" s="1"/>
  <c r="W5" i="2"/>
  <c r="R9" i="1" s="1"/>
  <c r="V6" i="2"/>
  <c r="W6" i="2"/>
  <c r="W27" i="2" l="1"/>
  <c r="V27" i="2"/>
  <c r="V26" i="2"/>
  <c r="Q8" i="1" s="1"/>
  <c r="W26" i="2"/>
  <c r="R8" i="1" s="1"/>
  <c r="W23" i="4" l="1"/>
  <c r="X23" i="4"/>
  <c r="W24" i="4"/>
  <c r="X24" i="4"/>
  <c r="W25" i="4"/>
  <c r="X25" i="4"/>
  <c r="W26" i="4"/>
  <c r="X26" i="4"/>
  <c r="W27" i="4"/>
  <c r="X27" i="4"/>
  <c r="W15" i="4"/>
  <c r="X15" i="4"/>
  <c r="W16" i="4"/>
  <c r="X16" i="4"/>
  <c r="W17" i="4"/>
  <c r="X17" i="4"/>
  <c r="W18" i="4"/>
  <c r="X18" i="4"/>
  <c r="W19" i="4"/>
  <c r="W28" i="4" s="1"/>
  <c r="X19" i="4"/>
  <c r="X28" i="4" s="1"/>
  <c r="W14" i="4"/>
  <c r="X14" i="4"/>
  <c r="W13" i="4"/>
  <c r="X13" i="4"/>
  <c r="W11" i="4"/>
  <c r="X11" i="4"/>
  <c r="W10" i="4"/>
  <c r="X10" i="4"/>
  <c r="X8" i="4"/>
  <c r="W7" i="4"/>
  <c r="X7" i="4"/>
  <c r="W6" i="4"/>
  <c r="X6" i="4"/>
  <c r="X4" i="4" s="1"/>
  <c r="X22" i="4" l="1"/>
  <c r="X21" i="4"/>
  <c r="W22" i="4"/>
  <c r="AS38" i="3"/>
  <c r="AR52" i="3" l="1"/>
  <c r="AQ47" i="3" l="1"/>
  <c r="V8" i="4" s="1"/>
  <c r="AR47" i="3"/>
  <c r="W8" i="4" s="1"/>
  <c r="W4" i="4" s="1"/>
  <c r="W21" i="4" s="1"/>
  <c r="AR38" i="3"/>
  <c r="AR18" i="3"/>
  <c r="F1245" i="13"/>
  <c r="Q126" i="8" s="1"/>
  <c r="C1245" i="13"/>
  <c r="Q125" i="8" s="1"/>
  <c r="G1243" i="13"/>
  <c r="D1243" i="13"/>
  <c r="H1242" i="13"/>
  <c r="E1242" i="13"/>
  <c r="I1242" i="13" s="1"/>
  <c r="E1240" i="13"/>
  <c r="F1239" i="13"/>
  <c r="Q113" i="8" s="1"/>
  <c r="Q114" i="8" s="1"/>
  <c r="C1239" i="13"/>
  <c r="Q112" i="8" s="1"/>
  <c r="I1239" i="13"/>
  <c r="G1237" i="13"/>
  <c r="D1237" i="13"/>
  <c r="Q116" i="8" s="1"/>
  <c r="H1235" i="13"/>
  <c r="E1235" i="13"/>
  <c r="F1233" i="13"/>
  <c r="C1233" i="13"/>
  <c r="Q99" i="8" s="1"/>
  <c r="G1233" i="13"/>
  <c r="Q104" i="8" s="1"/>
  <c r="Q110" i="8" s="1"/>
  <c r="D1233" i="13"/>
  <c r="Q103" i="8" s="1"/>
  <c r="Q109" i="8" s="1"/>
  <c r="H1231" i="13"/>
  <c r="E1231" i="13"/>
  <c r="H1230" i="13"/>
  <c r="E1230" i="13"/>
  <c r="I1230" i="13"/>
  <c r="H1228" i="13"/>
  <c r="F1227" i="13"/>
  <c r="Q87" i="8" s="1"/>
  <c r="C1227" i="13"/>
  <c r="G1224" i="13"/>
  <c r="D1224" i="13"/>
  <c r="Q90" i="8" s="1"/>
  <c r="H1223" i="13"/>
  <c r="E1223" i="13"/>
  <c r="H1221" i="13"/>
  <c r="I1221" i="13" s="1"/>
  <c r="E1221" i="13"/>
  <c r="H1219" i="13"/>
  <c r="E1219" i="13"/>
  <c r="H1218" i="13"/>
  <c r="E1218" i="13"/>
  <c r="H1217" i="13"/>
  <c r="E1217" i="13"/>
  <c r="F1216" i="13"/>
  <c r="Q74" i="8" s="1"/>
  <c r="C1216" i="13"/>
  <c r="Q73" i="8" s="1"/>
  <c r="G1214" i="13"/>
  <c r="Q78" i="8" s="1"/>
  <c r="D1214" i="13"/>
  <c r="Q77" i="8" s="1"/>
  <c r="H1213" i="13"/>
  <c r="E1213" i="13"/>
  <c r="H1212" i="13"/>
  <c r="E1212" i="13"/>
  <c r="H1211" i="13"/>
  <c r="E1211" i="13"/>
  <c r="H1210" i="13"/>
  <c r="E1210" i="13"/>
  <c r="H1209" i="13"/>
  <c r="E1209" i="13"/>
  <c r="H1208" i="13"/>
  <c r="E1208" i="13"/>
  <c r="F1207" i="13"/>
  <c r="C1207" i="13"/>
  <c r="Q60" i="8" s="1"/>
  <c r="G1205" i="13"/>
  <c r="D1205" i="13"/>
  <c r="F1205" i="13"/>
  <c r="C1205" i="13"/>
  <c r="H1204" i="13"/>
  <c r="E1204" i="13"/>
  <c r="I1204" i="13" s="1"/>
  <c r="H1203" i="13"/>
  <c r="E1203" i="13"/>
  <c r="H1202" i="13"/>
  <c r="E1202" i="13"/>
  <c r="H1201" i="13"/>
  <c r="E1201" i="13"/>
  <c r="H1200" i="13"/>
  <c r="E1200" i="13"/>
  <c r="H1199" i="13"/>
  <c r="E1199" i="13"/>
  <c r="H1198" i="13"/>
  <c r="E1198" i="13"/>
  <c r="H1196" i="13"/>
  <c r="I1196" i="13" s="1"/>
  <c r="E1196" i="13"/>
  <c r="F1195" i="13"/>
  <c r="Q48" i="8" s="1"/>
  <c r="C1195" i="13"/>
  <c r="Q47" i="8" s="1"/>
  <c r="G1193" i="13"/>
  <c r="D1193" i="13"/>
  <c r="F1193" i="13"/>
  <c r="C1193" i="13"/>
  <c r="H1192" i="13"/>
  <c r="E1192" i="13"/>
  <c r="H1191" i="13"/>
  <c r="I1191" i="13" s="1"/>
  <c r="H1190" i="13"/>
  <c r="E1190" i="13"/>
  <c r="H1189" i="13"/>
  <c r="E1189" i="13"/>
  <c r="H1188" i="13"/>
  <c r="H1187" i="13"/>
  <c r="H1186" i="13"/>
  <c r="E1186" i="13"/>
  <c r="H1185" i="13"/>
  <c r="E1185" i="13"/>
  <c r="H1184" i="13"/>
  <c r="H1183" i="13"/>
  <c r="E1181" i="13"/>
  <c r="H1180" i="13"/>
  <c r="E1180" i="13"/>
  <c r="F1179" i="13"/>
  <c r="Q35" i="8" s="1"/>
  <c r="C1179" i="13"/>
  <c r="Q34" i="8" s="1"/>
  <c r="G1177" i="13"/>
  <c r="E1179" i="13"/>
  <c r="D1177" i="13"/>
  <c r="H1176" i="13"/>
  <c r="I1176" i="13" s="1"/>
  <c r="E1176" i="13"/>
  <c r="H1175" i="13"/>
  <c r="H1173" i="13"/>
  <c r="H1171" i="13"/>
  <c r="E1171" i="13"/>
  <c r="H1170" i="13"/>
  <c r="E1170" i="13"/>
  <c r="H1169" i="13"/>
  <c r="E1169" i="13"/>
  <c r="I1169" i="13"/>
  <c r="H1168" i="13"/>
  <c r="E1168" i="13"/>
  <c r="H1167" i="13"/>
  <c r="I1167" i="13" s="1"/>
  <c r="F1166" i="13"/>
  <c r="Q5" i="8" s="1"/>
  <c r="Q6" i="8" s="1"/>
  <c r="C1166" i="13"/>
  <c r="Q4" i="8" s="1"/>
  <c r="G1163" i="13"/>
  <c r="E1166" i="13"/>
  <c r="D1163" i="13"/>
  <c r="H1161" i="13"/>
  <c r="E1161" i="13"/>
  <c r="H1160" i="13"/>
  <c r="E1160" i="13"/>
  <c r="H1159" i="13"/>
  <c r="E1159" i="13"/>
  <c r="H1158" i="13"/>
  <c r="E1158" i="13"/>
  <c r="H1157" i="13"/>
  <c r="E1157" i="13"/>
  <c r="H1156" i="13"/>
  <c r="E1156" i="13"/>
  <c r="P11" i="1"/>
  <c r="P129" i="8"/>
  <c r="P117" i="8"/>
  <c r="P64" i="8"/>
  <c r="P39" i="8"/>
  <c r="P30" i="8"/>
  <c r="P29" i="8"/>
  <c r="P28" i="8"/>
  <c r="P27" i="8"/>
  <c r="P23" i="8"/>
  <c r="P22" i="8"/>
  <c r="P21" i="8"/>
  <c r="P18" i="8"/>
  <c r="P17" i="8"/>
  <c r="P16" i="8"/>
  <c r="P15" i="8"/>
  <c r="P8" i="8"/>
  <c r="H1123" i="13"/>
  <c r="F1114" i="13"/>
  <c r="F1122" i="13" s="1"/>
  <c r="H1140" i="13"/>
  <c r="H1097" i="13"/>
  <c r="I1097" i="13" s="1"/>
  <c r="F1073" i="13"/>
  <c r="F1085" i="13" s="1"/>
  <c r="H1081" i="13"/>
  <c r="E1145" i="13"/>
  <c r="E1128" i="13"/>
  <c r="E1119" i="13"/>
  <c r="E1107" i="13"/>
  <c r="E1104" i="13"/>
  <c r="C1092" i="13"/>
  <c r="E1086" i="13"/>
  <c r="C1074" i="13"/>
  <c r="E1073" i="13"/>
  <c r="G1137" i="13"/>
  <c r="D1137" i="13"/>
  <c r="P103" i="8" s="1"/>
  <c r="P109" i="8" s="1"/>
  <c r="F1150" i="13"/>
  <c r="I1150" i="13" s="1"/>
  <c r="C1150" i="13"/>
  <c r="P125" i="8" s="1"/>
  <c r="P127" i="8" s="1"/>
  <c r="G1148" i="13"/>
  <c r="G1149" i="13" s="1"/>
  <c r="D1148" i="13"/>
  <c r="D1149" i="13" s="1"/>
  <c r="I1147" i="13"/>
  <c r="H1147" i="13"/>
  <c r="E1147" i="13"/>
  <c r="F1144" i="13"/>
  <c r="P113" i="8" s="1"/>
  <c r="C1144" i="13"/>
  <c r="G1142" i="13"/>
  <c r="G1143" i="13" s="1"/>
  <c r="P121" i="8" s="1"/>
  <c r="D1142" i="13"/>
  <c r="E1140" i="13"/>
  <c r="F1138" i="13"/>
  <c r="P100" i="8" s="1"/>
  <c r="C1138" i="13"/>
  <c r="H1136" i="13"/>
  <c r="I1136" i="13" s="1"/>
  <c r="E1136" i="13"/>
  <c r="H1135" i="13"/>
  <c r="E1135" i="13"/>
  <c r="H1133" i="13"/>
  <c r="F1132" i="13"/>
  <c r="P87" i="8" s="1"/>
  <c r="C1132" i="13"/>
  <c r="P86" i="8" s="1"/>
  <c r="G1129" i="13"/>
  <c r="P91" i="8" s="1"/>
  <c r="G1131" i="13"/>
  <c r="D1129" i="13"/>
  <c r="H1128" i="13"/>
  <c r="H1127" i="13"/>
  <c r="E1127" i="13"/>
  <c r="I1127" i="13" s="1"/>
  <c r="H1125" i="13"/>
  <c r="E1125" i="13"/>
  <c r="H1124" i="13"/>
  <c r="E1124" i="13"/>
  <c r="I1124" i="13" s="1"/>
  <c r="E1123" i="13"/>
  <c r="C1122" i="13"/>
  <c r="P73" i="8" s="1"/>
  <c r="G1120" i="13"/>
  <c r="D1120" i="13"/>
  <c r="P77" i="8" s="1"/>
  <c r="H1119" i="13"/>
  <c r="H1118" i="13"/>
  <c r="E1118" i="13"/>
  <c r="H1117" i="13"/>
  <c r="E1117" i="13"/>
  <c r="H1116" i="13"/>
  <c r="E1116" i="13"/>
  <c r="H1115" i="13"/>
  <c r="E1115" i="13"/>
  <c r="E1114" i="13"/>
  <c r="C1113" i="13"/>
  <c r="F1111" i="13"/>
  <c r="P61" i="8" s="1"/>
  <c r="D1111" i="13"/>
  <c r="C1111" i="13"/>
  <c r="P60" i="8" s="1"/>
  <c r="G1111" i="13"/>
  <c r="G1112" i="13" s="1"/>
  <c r="F1113" i="13"/>
  <c r="E1110" i="13"/>
  <c r="H1109" i="13"/>
  <c r="E1109" i="13"/>
  <c r="I1109" i="13" s="1"/>
  <c r="H1108" i="13"/>
  <c r="E1108" i="13"/>
  <c r="H1107" i="13"/>
  <c r="H1106" i="13"/>
  <c r="E1106" i="13"/>
  <c r="H1105" i="13"/>
  <c r="E1105" i="13"/>
  <c r="H1104" i="13"/>
  <c r="H1102" i="13"/>
  <c r="I1102" i="13" s="1"/>
  <c r="E1102" i="13"/>
  <c r="F1101" i="13"/>
  <c r="G1099" i="13"/>
  <c r="P52" i="8" s="1"/>
  <c r="F1099" i="13"/>
  <c r="P48" i="8" s="1"/>
  <c r="D1099" i="13"/>
  <c r="P51" i="8" s="1"/>
  <c r="D1100" i="13"/>
  <c r="P55" i="8" s="1"/>
  <c r="H1098" i="13"/>
  <c r="E1098" i="13"/>
  <c r="I1098" i="13"/>
  <c r="H1096" i="13"/>
  <c r="E1096" i="13"/>
  <c r="H1095" i="13"/>
  <c r="E1095" i="13"/>
  <c r="I1095" i="13" s="1"/>
  <c r="H1094" i="13"/>
  <c r="H1093" i="13"/>
  <c r="H1092" i="13"/>
  <c r="H1091" i="13"/>
  <c r="E1091" i="13"/>
  <c r="H1090" i="13"/>
  <c r="H1089" i="13"/>
  <c r="E1087" i="13"/>
  <c r="H1086" i="13"/>
  <c r="E1085" i="13"/>
  <c r="G1083" i="13"/>
  <c r="D1083" i="13"/>
  <c r="H1082" i="13"/>
  <c r="E1082" i="13"/>
  <c r="H1079" i="13"/>
  <c r="H1077" i="13"/>
  <c r="H1076" i="13"/>
  <c r="I1076" i="13" s="1"/>
  <c r="E1076" i="13"/>
  <c r="H1075" i="13"/>
  <c r="E1075" i="13"/>
  <c r="H1074" i="13"/>
  <c r="H1073" i="13"/>
  <c r="I1073" i="13" s="1"/>
  <c r="F1072" i="13"/>
  <c r="E1072" i="13"/>
  <c r="C1072" i="13"/>
  <c r="P4" i="8" s="1"/>
  <c r="G1069" i="13"/>
  <c r="P9" i="8" s="1"/>
  <c r="D1069" i="13"/>
  <c r="D1071" i="13" s="1"/>
  <c r="P12" i="8" s="1"/>
  <c r="H1067" i="13"/>
  <c r="E1067" i="13"/>
  <c r="I1067" i="13" s="1"/>
  <c r="H1066" i="13"/>
  <c r="E1066" i="13"/>
  <c r="H1065" i="13"/>
  <c r="E1065" i="13"/>
  <c r="H1064" i="13"/>
  <c r="E1064" i="13"/>
  <c r="H1063" i="13"/>
  <c r="E1063" i="13"/>
  <c r="H1062" i="13"/>
  <c r="E1062" i="13"/>
  <c r="G1100" i="13"/>
  <c r="I1132" i="13"/>
  <c r="D1101" i="13"/>
  <c r="E1077" i="13"/>
  <c r="I1077" i="13" s="1"/>
  <c r="H1110" i="13"/>
  <c r="U55" i="2"/>
  <c r="U56" i="2"/>
  <c r="U57" i="2"/>
  <c r="U46" i="2"/>
  <c r="U38" i="2"/>
  <c r="U30" i="2"/>
  <c r="U24" i="2"/>
  <c r="U25" i="2"/>
  <c r="U19" i="2"/>
  <c r="U18" i="2"/>
  <c r="U15" i="2"/>
  <c r="U16" i="2"/>
  <c r="U10" i="2"/>
  <c r="P10" i="1" s="1"/>
  <c r="U11" i="2"/>
  <c r="U5" i="2"/>
  <c r="P9" i="1" s="1"/>
  <c r="U6" i="2"/>
  <c r="V23" i="4"/>
  <c r="V24" i="4"/>
  <c r="V25" i="4"/>
  <c r="V26" i="4"/>
  <c r="V27" i="4"/>
  <c r="V13" i="4"/>
  <c r="V14" i="4"/>
  <c r="V15" i="4"/>
  <c r="V16" i="4"/>
  <c r="V17" i="4"/>
  <c r="V18" i="4"/>
  <c r="V19" i="4"/>
  <c r="V28" i="4" s="1"/>
  <c r="V10" i="4"/>
  <c r="V11" i="4"/>
  <c r="V6" i="4"/>
  <c r="V7" i="4"/>
  <c r="AQ52" i="3"/>
  <c r="AQ38" i="3"/>
  <c r="T56" i="2"/>
  <c r="T57" i="2"/>
  <c r="T55" i="2"/>
  <c r="T46" i="2"/>
  <c r="T38" i="2"/>
  <c r="T30" i="2"/>
  <c r="T24" i="2"/>
  <c r="T25" i="2"/>
  <c r="T19" i="2"/>
  <c r="T18" i="2"/>
  <c r="T15" i="2"/>
  <c r="S15" i="2"/>
  <c r="S16" i="2"/>
  <c r="T16" i="2"/>
  <c r="T10" i="2"/>
  <c r="O10" i="1" s="1"/>
  <c r="T11" i="2"/>
  <c r="T5" i="2"/>
  <c r="O9" i="1" s="1"/>
  <c r="T6" i="2"/>
  <c r="O11" i="1"/>
  <c r="U10" i="4"/>
  <c r="U11" i="4"/>
  <c r="U13" i="4"/>
  <c r="U14" i="4"/>
  <c r="U15" i="4"/>
  <c r="U16" i="4"/>
  <c r="U17" i="4"/>
  <c r="U18" i="4"/>
  <c r="U19" i="4"/>
  <c r="U28" i="4" s="1"/>
  <c r="U23" i="4"/>
  <c r="U24" i="4"/>
  <c r="U25" i="4"/>
  <c r="U26" i="4"/>
  <c r="U27" i="4"/>
  <c r="AP69" i="3"/>
  <c r="AP63" i="3"/>
  <c r="AP52" i="3"/>
  <c r="AO47" i="3"/>
  <c r="AP47" i="3"/>
  <c r="AP38" i="3"/>
  <c r="AP18" i="3"/>
  <c r="U6" i="4"/>
  <c r="U7" i="4"/>
  <c r="U8" i="4"/>
  <c r="O117" i="8"/>
  <c r="O116" i="8"/>
  <c r="O74" i="8"/>
  <c r="O65" i="8"/>
  <c r="O48" i="8"/>
  <c r="F988" i="13"/>
  <c r="F991" i="13" s="1"/>
  <c r="H981" i="13"/>
  <c r="I981" i="13" s="1"/>
  <c r="H979" i="13"/>
  <c r="O30" i="8"/>
  <c r="O29" i="8"/>
  <c r="O28" i="8"/>
  <c r="O27" i="8"/>
  <c r="O24" i="8"/>
  <c r="O23" i="8"/>
  <c r="O22" i="8"/>
  <c r="O21" i="8"/>
  <c r="O18" i="8"/>
  <c r="O17" i="8"/>
  <c r="O16" i="8"/>
  <c r="H1053" i="13"/>
  <c r="E1053" i="13"/>
  <c r="I1053" i="13" s="1"/>
  <c r="H1041" i="13"/>
  <c r="H1034" i="13"/>
  <c r="H1033" i="13"/>
  <c r="E1033" i="13"/>
  <c r="E1029" i="13"/>
  <c r="F1021" i="13"/>
  <c r="H1024" i="13"/>
  <c r="H1023" i="13"/>
  <c r="I1023" i="13" s="1"/>
  <c r="C1024" i="13"/>
  <c r="E1023" i="13"/>
  <c r="G1016" i="13"/>
  <c r="G1017" i="13" s="1"/>
  <c r="G1018" i="13" s="1"/>
  <c r="O69" i="8" s="1"/>
  <c r="F1016" i="13"/>
  <c r="H1014" i="13"/>
  <c r="I1014" i="13" s="1"/>
  <c r="E1014" i="13"/>
  <c r="E1012" i="13"/>
  <c r="F1007" i="13"/>
  <c r="I1007" i="13" s="1"/>
  <c r="H996" i="13"/>
  <c r="H1002" i="13"/>
  <c r="H998" i="13"/>
  <c r="H995" i="13"/>
  <c r="E1002" i="13"/>
  <c r="I1002" i="13" s="1"/>
  <c r="E998" i="13"/>
  <c r="E997" i="13"/>
  <c r="E988" i="13"/>
  <c r="C983" i="13"/>
  <c r="E981" i="13"/>
  <c r="H969" i="13"/>
  <c r="C968" i="13"/>
  <c r="E969" i="13"/>
  <c r="G1043" i="13"/>
  <c r="D1043" i="13"/>
  <c r="D1044" i="13" s="1"/>
  <c r="F1056" i="13"/>
  <c r="C1056" i="13"/>
  <c r="O125" i="8" s="1"/>
  <c r="G1054" i="13"/>
  <c r="O130" i="8" s="1"/>
  <c r="D1054" i="13"/>
  <c r="F1050" i="13"/>
  <c r="C1050" i="13"/>
  <c r="O112" i="8" s="1"/>
  <c r="G1048" i="13"/>
  <c r="G1049" i="13" s="1"/>
  <c r="O121" i="8" s="1"/>
  <c r="D1048" i="13"/>
  <c r="D1049" i="13" s="1"/>
  <c r="E1046" i="13"/>
  <c r="F1044" i="13"/>
  <c r="O100" i="8" s="1"/>
  <c r="C1044" i="13"/>
  <c r="O99" i="8" s="1"/>
  <c r="G1044" i="13"/>
  <c r="H1042" i="13"/>
  <c r="I1042" i="13" s="1"/>
  <c r="E1042" i="13"/>
  <c r="E1041" i="13"/>
  <c r="H1039" i="13"/>
  <c r="F1038" i="13"/>
  <c r="C1038" i="13"/>
  <c r="O86" i="8" s="1"/>
  <c r="G1035" i="13"/>
  <c r="D1035" i="13"/>
  <c r="O103" i="8" s="1"/>
  <c r="H1031" i="13"/>
  <c r="E1031" i="13"/>
  <c r="H1030" i="13"/>
  <c r="E1030" i="13"/>
  <c r="I1030" i="13" s="1"/>
  <c r="G1026" i="13"/>
  <c r="D1026" i="13"/>
  <c r="H1025" i="13"/>
  <c r="I1025" i="13" s="1"/>
  <c r="H1022" i="13"/>
  <c r="E1022" i="13"/>
  <c r="F1028" i="13"/>
  <c r="E1021" i="13"/>
  <c r="H1020" i="13"/>
  <c r="E1020" i="13"/>
  <c r="C1019" i="13"/>
  <c r="D1017" i="13"/>
  <c r="O64" i="8" s="1"/>
  <c r="D1018" i="13"/>
  <c r="O68" i="8" s="1"/>
  <c r="C1017" i="13"/>
  <c r="O60" i="8" s="1"/>
  <c r="E1016" i="13"/>
  <c r="H1015" i="13"/>
  <c r="E1015" i="13"/>
  <c r="H1013" i="13"/>
  <c r="I1013" i="13" s="1"/>
  <c r="H1012" i="13"/>
  <c r="I1012" i="13" s="1"/>
  <c r="E1011" i="13"/>
  <c r="H1010" i="13"/>
  <c r="I1010" i="13" s="1"/>
  <c r="H1008" i="13"/>
  <c r="E1008" i="13"/>
  <c r="I1008" i="13" s="1"/>
  <c r="C1007" i="13"/>
  <c r="O47" i="8" s="1"/>
  <c r="G1005" i="13"/>
  <c r="O52" i="8" s="1"/>
  <c r="D1005" i="13"/>
  <c r="C1005" i="13"/>
  <c r="F1005" i="13"/>
  <c r="E1004" i="13"/>
  <c r="H1001" i="13"/>
  <c r="E1001" i="13"/>
  <c r="H1000" i="13"/>
  <c r="H999" i="13"/>
  <c r="H997" i="13"/>
  <c r="E993" i="13"/>
  <c r="H992" i="13"/>
  <c r="E991" i="13"/>
  <c r="G989" i="13"/>
  <c r="O39" i="8" s="1"/>
  <c r="H985" i="13"/>
  <c r="H983" i="13"/>
  <c r="E982" i="13"/>
  <c r="H980" i="13"/>
  <c r="I980" i="13" s="1"/>
  <c r="F978" i="13"/>
  <c r="O5" i="8" s="1"/>
  <c r="E978" i="13"/>
  <c r="C978" i="13"/>
  <c r="G975" i="13"/>
  <c r="H973" i="13"/>
  <c r="E973" i="13"/>
  <c r="H972" i="13"/>
  <c r="E972" i="13"/>
  <c r="H971" i="13"/>
  <c r="E971" i="13"/>
  <c r="H970" i="13"/>
  <c r="E970" i="13"/>
  <c r="H968" i="13"/>
  <c r="D975" i="13"/>
  <c r="G1055" i="13"/>
  <c r="D1037" i="13"/>
  <c r="O107" i="8" s="1"/>
  <c r="I1044" i="13"/>
  <c r="I992" i="13"/>
  <c r="E980" i="13"/>
  <c r="D989" i="13"/>
  <c r="D990" i="13" s="1"/>
  <c r="O42" i="8" s="1"/>
  <c r="H1011" i="13"/>
  <c r="H982" i="13"/>
  <c r="I982" i="13" s="1"/>
  <c r="H1004" i="13"/>
  <c r="G1019" i="13"/>
  <c r="H1021" i="13"/>
  <c r="I1021" i="13" s="1"/>
  <c r="S46" i="2"/>
  <c r="S38" i="2"/>
  <c r="S30" i="2"/>
  <c r="S55" i="2"/>
  <c r="S56" i="2"/>
  <c r="S57" i="2"/>
  <c r="S24" i="2"/>
  <c r="S25" i="2"/>
  <c r="S18" i="2"/>
  <c r="N11" i="1"/>
  <c r="S10" i="2"/>
  <c r="N10" i="1" s="1"/>
  <c r="S11" i="2"/>
  <c r="S5" i="2"/>
  <c r="N9" i="1" s="1"/>
  <c r="S6" i="2"/>
  <c r="T23" i="4"/>
  <c r="T24" i="4"/>
  <c r="T25" i="4"/>
  <c r="T26" i="4"/>
  <c r="T27" i="4"/>
  <c r="T13" i="4"/>
  <c r="T14" i="4"/>
  <c r="T15" i="4"/>
  <c r="T16" i="4"/>
  <c r="T17" i="4"/>
  <c r="T18" i="4"/>
  <c r="T19" i="4"/>
  <c r="T28" i="4" s="1"/>
  <c r="T10" i="4"/>
  <c r="T11" i="4"/>
  <c r="T6" i="4"/>
  <c r="T7" i="4"/>
  <c r="T8" i="4"/>
  <c r="AO63" i="3"/>
  <c r="AO58" i="3"/>
  <c r="AO52" i="3"/>
  <c r="AO37" i="3"/>
  <c r="AO38" i="3"/>
  <c r="AO17" i="3"/>
  <c r="AO18" i="3"/>
  <c r="N104" i="8"/>
  <c r="N103" i="8"/>
  <c r="N30" i="8"/>
  <c r="N29" i="8"/>
  <c r="N28" i="8"/>
  <c r="N27" i="8"/>
  <c r="N24" i="8"/>
  <c r="N23" i="8"/>
  <c r="N21" i="8"/>
  <c r="N18" i="8"/>
  <c r="N16" i="8"/>
  <c r="N11" i="8"/>
  <c r="N10" i="8"/>
  <c r="H945" i="13"/>
  <c r="H936" i="13"/>
  <c r="H938" i="13"/>
  <c r="H935" i="13"/>
  <c r="H958" i="13"/>
  <c r="I958" i="13" s="1"/>
  <c r="E958" i="13"/>
  <c r="H952" i="13"/>
  <c r="G932" i="13"/>
  <c r="F927" i="13"/>
  <c r="H927" i="13" s="1"/>
  <c r="F922" i="13"/>
  <c r="H922" i="13" s="1"/>
  <c r="F917" i="13"/>
  <c r="F910" i="13"/>
  <c r="H906" i="13"/>
  <c r="H903" i="13"/>
  <c r="F894" i="13"/>
  <c r="F889" i="13"/>
  <c r="H889" i="13"/>
  <c r="H894" i="13"/>
  <c r="I894" i="13" s="1"/>
  <c r="H878" i="13"/>
  <c r="H879" i="13"/>
  <c r="H880" i="13"/>
  <c r="F877" i="13"/>
  <c r="E936" i="13"/>
  <c r="E940" i="13"/>
  <c r="E926" i="13"/>
  <c r="C927" i="13"/>
  <c r="E898" i="13"/>
  <c r="D911" i="13"/>
  <c r="G911" i="13"/>
  <c r="C911" i="13"/>
  <c r="N47" i="8" s="1"/>
  <c r="C913" i="13"/>
  <c r="I913" i="13" s="1"/>
  <c r="E907" i="13"/>
  <c r="E899" i="13"/>
  <c r="E910" i="13"/>
  <c r="E909" i="13"/>
  <c r="E917" i="13"/>
  <c r="E921" i="13"/>
  <c r="D887" i="13"/>
  <c r="C887" i="13"/>
  <c r="E889" i="13"/>
  <c r="E894" i="13"/>
  <c r="E877" i="13"/>
  <c r="E878" i="13"/>
  <c r="E879" i="13"/>
  <c r="I879" i="13"/>
  <c r="D875" i="13"/>
  <c r="C875" i="13"/>
  <c r="N15" i="8"/>
  <c r="G961" i="13"/>
  <c r="F962" i="13"/>
  <c r="C962" i="13"/>
  <c r="N125" i="8" s="1"/>
  <c r="G960" i="13"/>
  <c r="N130" i="8"/>
  <c r="D960" i="13"/>
  <c r="F956" i="13"/>
  <c r="N113" i="8"/>
  <c r="G954" i="13"/>
  <c r="D954" i="13"/>
  <c r="C956" i="13"/>
  <c r="N112" i="8"/>
  <c r="F950" i="13"/>
  <c r="D949" i="13"/>
  <c r="H948" i="13"/>
  <c r="C950" i="13"/>
  <c r="N99" i="8" s="1"/>
  <c r="E947" i="13"/>
  <c r="C944" i="13"/>
  <c r="N86" i="8" s="1"/>
  <c r="G941" i="13"/>
  <c r="D941" i="13"/>
  <c r="D943" i="13" s="1"/>
  <c r="F944" i="13"/>
  <c r="E937" i="13"/>
  <c r="F934" i="13"/>
  <c r="C934" i="13"/>
  <c r="N73" i="8" s="1"/>
  <c r="D932" i="13"/>
  <c r="D933" i="13" s="1"/>
  <c r="D934" i="13" s="1"/>
  <c r="H931" i="13"/>
  <c r="I931" i="13" s="1"/>
  <c r="H928" i="13"/>
  <c r="E928" i="13"/>
  <c r="E927" i="13"/>
  <c r="H926" i="13"/>
  <c r="I926" i="13" s="1"/>
  <c r="C925" i="13"/>
  <c r="G923" i="13"/>
  <c r="D923" i="13"/>
  <c r="D924" i="13" s="1"/>
  <c r="N68" i="8" s="1"/>
  <c r="C923" i="13"/>
  <c r="N60" i="8" s="1"/>
  <c r="E922" i="13"/>
  <c r="H921" i="13"/>
  <c r="H919" i="13"/>
  <c r="I919" i="13" s="1"/>
  <c r="H918" i="13"/>
  <c r="H916" i="13"/>
  <c r="H914" i="13"/>
  <c r="E914" i="13"/>
  <c r="I914" i="13" s="1"/>
  <c r="H907" i="13"/>
  <c r="H905" i="13"/>
  <c r="E900" i="13"/>
  <c r="H899" i="13"/>
  <c r="I899" i="13" s="1"/>
  <c r="G896" i="13"/>
  <c r="N39" i="8"/>
  <c r="H892" i="13"/>
  <c r="I892" i="13" s="1"/>
  <c r="E892" i="13"/>
  <c r="H890" i="13"/>
  <c r="H887" i="13"/>
  <c r="C898" i="13"/>
  <c r="N34" i="8" s="1"/>
  <c r="E885" i="13"/>
  <c r="G882" i="13"/>
  <c r="N9" i="8" s="1"/>
  <c r="E880" i="13"/>
  <c r="H875" i="13"/>
  <c r="I944" i="13"/>
  <c r="N87" i="8"/>
  <c r="D961" i="13"/>
  <c r="N129" i="8"/>
  <c r="G924" i="13"/>
  <c r="N65" i="8"/>
  <c r="D955" i="13"/>
  <c r="D956" i="13" s="1"/>
  <c r="N116" i="8"/>
  <c r="D950" i="13"/>
  <c r="N107" i="8"/>
  <c r="I956" i="13"/>
  <c r="I916" i="13"/>
  <c r="G884" i="13"/>
  <c r="C885" i="13"/>
  <c r="N4" i="8"/>
  <c r="H937" i="13"/>
  <c r="E948" i="13"/>
  <c r="I948" i="13" s="1"/>
  <c r="E952" i="13"/>
  <c r="I952" i="13"/>
  <c r="G897" i="13"/>
  <c r="G949" i="13"/>
  <c r="R55" i="2"/>
  <c r="R56" i="2"/>
  <c r="R57" i="2"/>
  <c r="R46" i="2"/>
  <c r="R38" i="2"/>
  <c r="R30" i="2"/>
  <c r="R24" i="2"/>
  <c r="AC24" i="2" s="1"/>
  <c r="R25" i="2"/>
  <c r="R15" i="2"/>
  <c r="M11" i="1"/>
  <c r="R16" i="2"/>
  <c r="R10" i="2"/>
  <c r="M10" i="1" s="1"/>
  <c r="R11" i="2"/>
  <c r="R5" i="2"/>
  <c r="M9" i="1" s="1"/>
  <c r="R6" i="2"/>
  <c r="S23" i="4"/>
  <c r="S24" i="4"/>
  <c r="S25" i="4"/>
  <c r="S26" i="4"/>
  <c r="S27" i="4"/>
  <c r="S13" i="4"/>
  <c r="S14" i="4"/>
  <c r="S15" i="4"/>
  <c r="S16" i="4"/>
  <c r="S17" i="4"/>
  <c r="S18" i="4"/>
  <c r="S19" i="4"/>
  <c r="S28" i="4" s="1"/>
  <c r="S10" i="4"/>
  <c r="S11" i="4"/>
  <c r="S6" i="4"/>
  <c r="S7" i="4"/>
  <c r="S8" i="4"/>
  <c r="AN47" i="3"/>
  <c r="AN38" i="3"/>
  <c r="AN18" i="3"/>
  <c r="N120" i="8"/>
  <c r="G950" i="13"/>
  <c r="N108" i="8"/>
  <c r="M30" i="8"/>
  <c r="M29" i="8"/>
  <c r="M27" i="8"/>
  <c r="M23" i="8"/>
  <c r="M18" i="8"/>
  <c r="M17" i="8"/>
  <c r="M16" i="8"/>
  <c r="M11" i="8"/>
  <c r="M10" i="8"/>
  <c r="H854" i="13"/>
  <c r="H853" i="13"/>
  <c r="G855" i="13"/>
  <c r="F844" i="13"/>
  <c r="H844" i="13" s="1"/>
  <c r="H835" i="13"/>
  <c r="H838" i="13"/>
  <c r="H825" i="13"/>
  <c r="H823" i="13"/>
  <c r="F821" i="13"/>
  <c r="F826" i="13"/>
  <c r="H826" i="13" s="1"/>
  <c r="H815" i="13"/>
  <c r="E815" i="13"/>
  <c r="H811" i="13"/>
  <c r="H809" i="13"/>
  <c r="F797" i="13"/>
  <c r="H797" i="13" s="1"/>
  <c r="H798" i="13"/>
  <c r="F800" i="13"/>
  <c r="H801" i="13"/>
  <c r="E802" i="13"/>
  <c r="G787" i="13"/>
  <c r="M24" i="8"/>
  <c r="F787" i="13"/>
  <c r="H787" i="13" s="1"/>
  <c r="E864" i="13"/>
  <c r="C859" i="13"/>
  <c r="D856" i="13"/>
  <c r="M107" i="8"/>
  <c r="E852" i="13"/>
  <c r="E853" i="13"/>
  <c r="I853" i="13" s="1"/>
  <c r="E854" i="13"/>
  <c r="I854" i="13" s="1"/>
  <c r="E855" i="13"/>
  <c r="C855" i="13"/>
  <c r="C857" i="13" s="1"/>
  <c r="E845" i="13"/>
  <c r="E844" i="13"/>
  <c r="E842" i="13"/>
  <c r="E834" i="13"/>
  <c r="E837" i="13"/>
  <c r="E836" i="13"/>
  <c r="E835" i="13"/>
  <c r="E838" i="13"/>
  <c r="E826" i="13"/>
  <c r="I826" i="13"/>
  <c r="E827" i="13"/>
  <c r="E822" i="13"/>
  <c r="E821" i="13"/>
  <c r="E823" i="13"/>
  <c r="E829" i="13"/>
  <c r="E811" i="13"/>
  <c r="E812" i="13"/>
  <c r="E809" i="13"/>
  <c r="E798" i="13"/>
  <c r="I798" i="13" s="1"/>
  <c r="C797" i="13"/>
  <c r="C801" i="13"/>
  <c r="E801" i="13"/>
  <c r="C800" i="13"/>
  <c r="E797" i="13"/>
  <c r="E790" i="13"/>
  <c r="C785" i="13"/>
  <c r="E785" i="13" s="1"/>
  <c r="M15" i="8"/>
  <c r="C787" i="13"/>
  <c r="G818" i="13"/>
  <c r="G830" i="13"/>
  <c r="G839" i="13"/>
  <c r="M78" i="8" s="1"/>
  <c r="F869" i="13"/>
  <c r="I869" i="13" s="1"/>
  <c r="C869" i="13"/>
  <c r="M125" i="8" s="1"/>
  <c r="G867" i="13"/>
  <c r="G868" i="13" s="1"/>
  <c r="M134" i="8" s="1"/>
  <c r="D867" i="13"/>
  <c r="H866" i="13"/>
  <c r="H864" i="13"/>
  <c r="F863" i="13"/>
  <c r="G861" i="13"/>
  <c r="G862" i="13" s="1"/>
  <c r="G863" i="13" s="1"/>
  <c r="D861" i="13"/>
  <c r="D862" i="13" s="1"/>
  <c r="M120" i="8" s="1"/>
  <c r="H860" i="13"/>
  <c r="F857" i="13"/>
  <c r="M100" i="8"/>
  <c r="D857" i="13"/>
  <c r="M103" i="8" s="1"/>
  <c r="F851" i="13"/>
  <c r="M87" i="8" s="1"/>
  <c r="C851" i="13"/>
  <c r="M86" i="8" s="1"/>
  <c r="G848" i="13"/>
  <c r="M91" i="8" s="1"/>
  <c r="D848" i="13"/>
  <c r="D850" i="13" s="1"/>
  <c r="M94" i="8" s="1"/>
  <c r="D839" i="13"/>
  <c r="H837" i="13"/>
  <c r="I837" i="13" s="1"/>
  <c r="H836" i="13"/>
  <c r="C841" i="13"/>
  <c r="M73" i="8" s="1"/>
  <c r="H833" i="13"/>
  <c r="D830" i="13"/>
  <c r="C830" i="13"/>
  <c r="C832" i="13"/>
  <c r="M60" i="8"/>
  <c r="H828" i="13"/>
  <c r="H824" i="13"/>
  <c r="F820" i="13"/>
  <c r="C820" i="13"/>
  <c r="M47" i="8" s="1"/>
  <c r="D818" i="13"/>
  <c r="C818" i="13"/>
  <c r="H814" i="13"/>
  <c r="H813" i="13"/>
  <c r="H812" i="13"/>
  <c r="I812" i="13" s="1"/>
  <c r="H808" i="13"/>
  <c r="D805" i="13"/>
  <c r="D806" i="13" s="1"/>
  <c r="M42" i="8" s="1"/>
  <c r="H802" i="13"/>
  <c r="G805" i="13"/>
  <c r="G806" i="13" s="1"/>
  <c r="M43" i="8" s="1"/>
  <c r="E795" i="13"/>
  <c r="G792" i="13"/>
  <c r="D792" i="13"/>
  <c r="H785" i="13"/>
  <c r="I785" i="13" s="1"/>
  <c r="M9" i="8"/>
  <c r="G794" i="13"/>
  <c r="M51" i="8"/>
  <c r="M90" i="8"/>
  <c r="G850" i="13"/>
  <c r="M116" i="8"/>
  <c r="M77" i="8"/>
  <c r="D840" i="13"/>
  <c r="M117" i="8"/>
  <c r="M8" i="8"/>
  <c r="G840" i="13"/>
  <c r="I851" i="13"/>
  <c r="H829" i="13"/>
  <c r="I829" i="13" s="1"/>
  <c r="F841" i="13"/>
  <c r="L34" i="11"/>
  <c r="L35" i="11"/>
  <c r="L36" i="11"/>
  <c r="L54" i="11"/>
  <c r="L53" i="11"/>
  <c r="L51" i="11"/>
  <c r="L50" i="11"/>
  <c r="L49" i="11"/>
  <c r="L47" i="11"/>
  <c r="L46" i="11"/>
  <c r="L45" i="11"/>
  <c r="G841" i="13"/>
  <c r="M82" i="8"/>
  <c r="G869" i="13"/>
  <c r="M121" i="8"/>
  <c r="D851" i="13"/>
  <c r="D863" i="13"/>
  <c r="Q44" i="2"/>
  <c r="Q39" i="2"/>
  <c r="Q42" i="2"/>
  <c r="Y65" i="8"/>
  <c r="AB16" i="2"/>
  <c r="AC16" i="2"/>
  <c r="E26" i="11" s="1"/>
  <c r="AA6" i="2"/>
  <c r="AA16" i="2"/>
  <c r="AC11" i="2"/>
  <c r="E25" i="11" s="1"/>
  <c r="AB11" i="2"/>
  <c r="AA11" i="2"/>
  <c r="AC6" i="2"/>
  <c r="E24" i="11" s="1"/>
  <c r="AB6" i="2"/>
  <c r="V16" i="11"/>
  <c r="V15" i="11"/>
  <c r="V3" i="11"/>
  <c r="AC152" i="8"/>
  <c r="AC151" i="8"/>
  <c r="AC150" i="8"/>
  <c r="AC149" i="8"/>
  <c r="AC148" i="8"/>
  <c r="AC147" i="8"/>
  <c r="AC146" i="8"/>
  <c r="AC145" i="8"/>
  <c r="AC144" i="8"/>
  <c r="AC143" i="8"/>
  <c r="AC142" i="8"/>
  <c r="AC141" i="8"/>
  <c r="AC140" i="8"/>
  <c r="AC153" i="8" s="1"/>
  <c r="AF47" i="2"/>
  <c r="E14" i="11" s="1"/>
  <c r="AF52" i="2"/>
  <c r="E15" i="11" s="1"/>
  <c r="AF39" i="2"/>
  <c r="E12" i="11" s="1"/>
  <c r="AE31" i="2"/>
  <c r="E8" i="11"/>
  <c r="AF31" i="2"/>
  <c r="E10" i="11" s="1"/>
  <c r="AC5" i="2"/>
  <c r="E19" i="11" s="1"/>
  <c r="D9" i="11"/>
  <c r="D8" i="11"/>
  <c r="E7" i="11"/>
  <c r="E17" i="11" s="1"/>
  <c r="B11" i="1"/>
  <c r="C11" i="1"/>
  <c r="D11" i="1"/>
  <c r="E11" i="1"/>
  <c r="F11" i="1"/>
  <c r="G11" i="1"/>
  <c r="B10" i="1"/>
  <c r="C10" i="1"/>
  <c r="D10" i="1"/>
  <c r="E10" i="1"/>
  <c r="F10" i="1"/>
  <c r="G10" i="1"/>
  <c r="O19" i="2"/>
  <c r="O5" i="2"/>
  <c r="J9" i="1" s="1"/>
  <c r="Q47" i="2"/>
  <c r="Q57" i="2"/>
  <c r="P18" i="2"/>
  <c r="O55" i="2"/>
  <c r="P55" i="2"/>
  <c r="Q55" i="2"/>
  <c r="O56" i="2"/>
  <c r="P56" i="2"/>
  <c r="Q56" i="2"/>
  <c r="O57" i="2"/>
  <c r="P57" i="2"/>
  <c r="N46" i="2"/>
  <c r="O46" i="2"/>
  <c r="P46" i="2"/>
  <c r="Q46" i="2"/>
  <c r="O38" i="2"/>
  <c r="P38" i="2"/>
  <c r="Q38" i="2"/>
  <c r="O30" i="2"/>
  <c r="P30" i="2"/>
  <c r="Q30" i="2"/>
  <c r="P24" i="2"/>
  <c r="Q24" i="2"/>
  <c r="P25" i="2"/>
  <c r="Q25" i="2"/>
  <c r="O15" i="2"/>
  <c r="J11" i="1" s="1"/>
  <c r="P15" i="2"/>
  <c r="K11" i="1" s="1"/>
  <c r="Q15" i="2"/>
  <c r="L11" i="1" s="1"/>
  <c r="O16" i="2"/>
  <c r="P16" i="2"/>
  <c r="Q16" i="2"/>
  <c r="O10" i="2"/>
  <c r="J10" i="1" s="1"/>
  <c r="P10" i="2"/>
  <c r="K10" i="1" s="1"/>
  <c r="Q10" i="2"/>
  <c r="L10" i="1" s="1"/>
  <c r="O11" i="2"/>
  <c r="P11" i="2"/>
  <c r="Q11" i="2"/>
  <c r="O6" i="2"/>
  <c r="P6" i="2"/>
  <c r="Q6" i="2"/>
  <c r="Q5" i="2"/>
  <c r="L9" i="1" s="1"/>
  <c r="AF44" i="2"/>
  <c r="E13" i="11" s="1"/>
  <c r="AF36" i="2"/>
  <c r="E11" i="11" s="1"/>
  <c r="E9" i="11"/>
  <c r="AC15" i="2"/>
  <c r="E21" i="11"/>
  <c r="AC10" i="2"/>
  <c r="E20" i="11" s="1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10" i="4"/>
  <c r="Q10" i="4"/>
  <c r="R10" i="4"/>
  <c r="P11" i="4"/>
  <c r="Q11" i="4"/>
  <c r="R11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Q28" i="4" s="1"/>
  <c r="R19" i="4"/>
  <c r="R28" i="4" s="1"/>
  <c r="Q6" i="4"/>
  <c r="R6" i="4"/>
  <c r="Q7" i="4"/>
  <c r="R7" i="4"/>
  <c r="Q8" i="4"/>
  <c r="R8" i="4"/>
  <c r="P6" i="4"/>
  <c r="P7" i="4"/>
  <c r="P8" i="4"/>
  <c r="G766" i="13"/>
  <c r="D766" i="13"/>
  <c r="L107" i="8" s="1"/>
  <c r="L104" i="8"/>
  <c r="L103" i="8"/>
  <c r="D750" i="13"/>
  <c r="G661" i="13"/>
  <c r="K78" i="8" s="1"/>
  <c r="H598" i="13"/>
  <c r="D588" i="13"/>
  <c r="J107" i="8" s="1"/>
  <c r="J103" i="8"/>
  <c r="J104" i="8"/>
  <c r="G572" i="13"/>
  <c r="G573" i="13" s="1"/>
  <c r="J82" i="8" s="1"/>
  <c r="J78" i="8"/>
  <c r="J42" i="8"/>
  <c r="K35" i="11"/>
  <c r="K34" i="11"/>
  <c r="L30" i="8"/>
  <c r="L29" i="8"/>
  <c r="L28" i="8"/>
  <c r="L27" i="8"/>
  <c r="L24" i="8"/>
  <c r="L23" i="8"/>
  <c r="L18" i="8"/>
  <c r="L17" i="8"/>
  <c r="L16" i="8"/>
  <c r="L15" i="8"/>
  <c r="K30" i="8"/>
  <c r="K29" i="8"/>
  <c r="K28" i="8"/>
  <c r="K27" i="8"/>
  <c r="K24" i="8"/>
  <c r="K23" i="8"/>
  <c r="K22" i="8"/>
  <c r="K21" i="8"/>
  <c r="K18" i="8"/>
  <c r="K17" i="8"/>
  <c r="K16" i="8"/>
  <c r="K13" i="8"/>
  <c r="K12" i="8"/>
  <c r="K11" i="8"/>
  <c r="K10" i="8"/>
  <c r="J30" i="8"/>
  <c r="J29" i="8"/>
  <c r="J28" i="8"/>
  <c r="J27" i="8"/>
  <c r="J24" i="8"/>
  <c r="J22" i="8"/>
  <c r="J18" i="8"/>
  <c r="J16" i="8"/>
  <c r="J13" i="8"/>
  <c r="J12" i="8"/>
  <c r="J11" i="8"/>
  <c r="J10" i="8"/>
  <c r="C698" i="13"/>
  <c r="E697" i="13"/>
  <c r="G704" i="13"/>
  <c r="L11" i="8"/>
  <c r="H697" i="13"/>
  <c r="F698" i="13"/>
  <c r="H698" i="13" s="1"/>
  <c r="AM52" i="3"/>
  <c r="AM47" i="3"/>
  <c r="AM18" i="3"/>
  <c r="AM14" i="3"/>
  <c r="H668" i="13"/>
  <c r="H680" i="13"/>
  <c r="H686" i="13"/>
  <c r="H647" i="13"/>
  <c r="H650" i="13"/>
  <c r="I650" i="13"/>
  <c r="F643" i="13"/>
  <c r="H636" i="13"/>
  <c r="F634" i="13"/>
  <c r="H633" i="13"/>
  <c r="H631" i="13"/>
  <c r="F618" i="13"/>
  <c r="H622" i="13"/>
  <c r="H626" i="13"/>
  <c r="G745" i="13"/>
  <c r="G750" i="13" s="1"/>
  <c r="F745" i="13"/>
  <c r="H764" i="13"/>
  <c r="I764" i="13" s="1"/>
  <c r="D767" i="13"/>
  <c r="E765" i="13"/>
  <c r="H770" i="13"/>
  <c r="H776" i="13"/>
  <c r="H769" i="13"/>
  <c r="G740" i="13"/>
  <c r="F740" i="13"/>
  <c r="H739" i="13"/>
  <c r="F735" i="13"/>
  <c r="F732" i="13"/>
  <c r="H719" i="13"/>
  <c r="H724" i="13"/>
  <c r="H725" i="13"/>
  <c r="F715" i="13"/>
  <c r="F708" i="13"/>
  <c r="F711" i="13"/>
  <c r="H711" i="13" s="1"/>
  <c r="F710" i="13"/>
  <c r="H715" i="13"/>
  <c r="E715" i="13"/>
  <c r="G708" i="13"/>
  <c r="E775" i="13"/>
  <c r="E754" i="13"/>
  <c r="E755" i="13"/>
  <c r="E749" i="13"/>
  <c r="C745" i="13"/>
  <c r="C752" i="13"/>
  <c r="L73" i="8" s="1"/>
  <c r="D741" i="13"/>
  <c r="L64" i="8" s="1"/>
  <c r="E734" i="13"/>
  <c r="E735" i="13"/>
  <c r="C740" i="13"/>
  <c r="C741" i="13" s="1"/>
  <c r="C729" i="13"/>
  <c r="E725" i="13"/>
  <c r="D716" i="13"/>
  <c r="C708" i="13"/>
  <c r="E708" i="13" s="1"/>
  <c r="D742" i="13"/>
  <c r="L68" i="8" s="1"/>
  <c r="E686" i="13"/>
  <c r="E676" i="13"/>
  <c r="E668" i="13"/>
  <c r="I668" i="13" s="1"/>
  <c r="E665" i="13"/>
  <c r="C666" i="13"/>
  <c r="D659" i="13"/>
  <c r="D661" i="13" s="1"/>
  <c r="C659" i="13"/>
  <c r="C652" i="13"/>
  <c r="D652" i="13"/>
  <c r="E636" i="13"/>
  <c r="D634" i="13"/>
  <c r="C634" i="13"/>
  <c r="E631" i="13"/>
  <c r="E633" i="13"/>
  <c r="E646" i="13"/>
  <c r="I646" i="13" s="1"/>
  <c r="E651" i="13"/>
  <c r="C618" i="13"/>
  <c r="E626" i="13"/>
  <c r="H571" i="13"/>
  <c r="I571" i="13" s="1"/>
  <c r="G588" i="13"/>
  <c r="J108" i="8" s="1"/>
  <c r="H558" i="13"/>
  <c r="H559" i="13"/>
  <c r="F554" i="13"/>
  <c r="G554" i="13"/>
  <c r="H548" i="13"/>
  <c r="F547" i="13"/>
  <c r="G547" i="13"/>
  <c r="H536" i="13"/>
  <c r="G529" i="13"/>
  <c r="F529" i="13"/>
  <c r="G537" i="13"/>
  <c r="F537" i="13"/>
  <c r="G533" i="13"/>
  <c r="F533" i="13"/>
  <c r="E531" i="13"/>
  <c r="C586" i="13"/>
  <c r="D577" i="13"/>
  <c r="C577" i="13"/>
  <c r="E576" i="13"/>
  <c r="F574" i="13"/>
  <c r="J74" i="8" s="1"/>
  <c r="D570" i="13"/>
  <c r="D572" i="13" s="1"/>
  <c r="D573" i="13" s="1"/>
  <c r="J81" i="8" s="1"/>
  <c r="C570" i="13"/>
  <c r="E571" i="13"/>
  <c r="E558" i="13"/>
  <c r="C558" i="13"/>
  <c r="C565" i="13" s="1"/>
  <c r="I565" i="13" s="1"/>
  <c r="D563" i="13"/>
  <c r="E557" i="13"/>
  <c r="I557" i="13"/>
  <c r="E556" i="13"/>
  <c r="D543" i="13"/>
  <c r="C543" i="13"/>
  <c r="C544" i="13"/>
  <c r="C542" i="13"/>
  <c r="E542" i="13" s="1"/>
  <c r="C547" i="13"/>
  <c r="E547" i="13"/>
  <c r="C530" i="13"/>
  <c r="E530" i="13" s="1"/>
  <c r="C533" i="13"/>
  <c r="E533" i="13"/>
  <c r="C536" i="13"/>
  <c r="E536" i="13" s="1"/>
  <c r="D529" i="13"/>
  <c r="C529" i="13"/>
  <c r="D564" i="13"/>
  <c r="J68" i="8" s="1"/>
  <c r="J64" i="8"/>
  <c r="E543" i="13"/>
  <c r="F779" i="13"/>
  <c r="L126" i="8" s="1"/>
  <c r="C779" i="13"/>
  <c r="G777" i="13"/>
  <c r="G778" i="13" s="1"/>
  <c r="L134" i="8" s="1"/>
  <c r="D777" i="13"/>
  <c r="L129" i="8" s="1"/>
  <c r="H774" i="13"/>
  <c r="E774" i="13"/>
  <c r="F773" i="13"/>
  <c r="C773" i="13"/>
  <c r="L112" i="8" s="1"/>
  <c r="G771" i="13"/>
  <c r="L117" i="8" s="1"/>
  <c r="D771" i="13"/>
  <c r="E769" i="13"/>
  <c r="I769" i="13" s="1"/>
  <c r="F767" i="13"/>
  <c r="L100" i="8" s="1"/>
  <c r="C767" i="13"/>
  <c r="H765" i="13"/>
  <c r="I765" i="13" s="1"/>
  <c r="E764" i="13"/>
  <c r="F762" i="13"/>
  <c r="C762" i="13"/>
  <c r="L86" i="8" s="1"/>
  <c r="G759" i="13"/>
  <c r="D759" i="13"/>
  <c r="H755" i="13"/>
  <c r="I755" i="13" s="1"/>
  <c r="H754" i="13"/>
  <c r="H753" i="13"/>
  <c r="F752" i="13"/>
  <c r="L74" i="8" s="1"/>
  <c r="H748" i="13"/>
  <c r="E748" i="13"/>
  <c r="H747" i="13"/>
  <c r="E747" i="13"/>
  <c r="H745" i="13"/>
  <c r="E745" i="13"/>
  <c r="H744" i="13"/>
  <c r="I744" i="13" s="1"/>
  <c r="E744" i="13"/>
  <c r="C743" i="13"/>
  <c r="L60" i="8" s="1"/>
  <c r="G741" i="13"/>
  <c r="H735" i="13"/>
  <c r="I735" i="13" s="1"/>
  <c r="H732" i="13"/>
  <c r="I732" i="13" s="1"/>
  <c r="E732" i="13"/>
  <c r="F731" i="13"/>
  <c r="L48" i="8" s="1"/>
  <c r="C731" i="13"/>
  <c r="L47" i="8" s="1"/>
  <c r="G729" i="13"/>
  <c r="D729" i="13"/>
  <c r="L51" i="8" s="1"/>
  <c r="H727" i="13"/>
  <c r="E727" i="13"/>
  <c r="I727" i="13" s="1"/>
  <c r="H723" i="13"/>
  <c r="E723" i="13"/>
  <c r="C718" i="13"/>
  <c r="G716" i="13"/>
  <c r="H713" i="13"/>
  <c r="E711" i="13"/>
  <c r="H710" i="13"/>
  <c r="E710" i="13"/>
  <c r="E709" i="13"/>
  <c r="F706" i="13"/>
  <c r="E706" i="13"/>
  <c r="G703" i="13"/>
  <c r="L9" i="8" s="1"/>
  <c r="D703" i="13"/>
  <c r="H696" i="13"/>
  <c r="E696" i="13"/>
  <c r="I696" i="13" s="1"/>
  <c r="N6" i="2"/>
  <c r="P5" i="2"/>
  <c r="K9" i="1" s="1"/>
  <c r="L8" i="8"/>
  <c r="D705" i="13"/>
  <c r="L12" i="8" s="1"/>
  <c r="L35" i="8"/>
  <c r="G772" i="13"/>
  <c r="G773" i="13" s="1"/>
  <c r="D778" i="13"/>
  <c r="L113" i="8"/>
  <c r="L130" i="8"/>
  <c r="D730" i="13"/>
  <c r="L55" i="8" s="1"/>
  <c r="L91" i="8"/>
  <c r="G761" i="13"/>
  <c r="L95" i="8" s="1"/>
  <c r="D772" i="13"/>
  <c r="D773" i="13" s="1"/>
  <c r="L116" i="8"/>
  <c r="I709" i="13"/>
  <c r="F690" i="13"/>
  <c r="C690" i="13"/>
  <c r="K125" i="8" s="1"/>
  <c r="G688" i="13"/>
  <c r="D688" i="13"/>
  <c r="E685" i="13"/>
  <c r="F684" i="13"/>
  <c r="K113" i="8"/>
  <c r="C684" i="13"/>
  <c r="K112" i="8" s="1"/>
  <c r="G682" i="13"/>
  <c r="G683" i="13" s="1"/>
  <c r="D682" i="13"/>
  <c r="D683" i="13" s="1"/>
  <c r="K116" i="8"/>
  <c r="E680" i="13"/>
  <c r="F678" i="13"/>
  <c r="I678" i="13" s="1"/>
  <c r="C678" i="13"/>
  <c r="K99" i="8" s="1"/>
  <c r="G677" i="13"/>
  <c r="D677" i="13"/>
  <c r="H675" i="13"/>
  <c r="I675" i="13" s="1"/>
  <c r="E675" i="13"/>
  <c r="F673" i="13"/>
  <c r="C673" i="13"/>
  <c r="G670" i="13"/>
  <c r="D670" i="13"/>
  <c r="H666" i="13"/>
  <c r="E666" i="13"/>
  <c r="H665" i="13"/>
  <c r="F663" i="13"/>
  <c r="K74" i="8"/>
  <c r="G662" i="13"/>
  <c r="K82" i="8" s="1"/>
  <c r="H659" i="13"/>
  <c r="H658" i="13"/>
  <c r="E658" i="13"/>
  <c r="E656" i="13"/>
  <c r="I656" i="13" s="1"/>
  <c r="H655" i="13"/>
  <c r="E655" i="13"/>
  <c r="I655" i="13" s="1"/>
  <c r="F654" i="13"/>
  <c r="C654" i="13"/>
  <c r="K60" i="8" s="1"/>
  <c r="G652" i="13"/>
  <c r="K65" i="8" s="1"/>
  <c r="H651" i="13"/>
  <c r="H646" i="13"/>
  <c r="H643" i="13"/>
  <c r="E643" i="13"/>
  <c r="I643" i="13" s="1"/>
  <c r="F642" i="13"/>
  <c r="I642" i="13" s="1"/>
  <c r="C642" i="13"/>
  <c r="K47" i="8" s="1"/>
  <c r="G640" i="13"/>
  <c r="G641" i="13" s="1"/>
  <c r="D640" i="13"/>
  <c r="D641" i="13" s="1"/>
  <c r="K55" i="8" s="1"/>
  <c r="H634" i="13"/>
  <c r="E630" i="13"/>
  <c r="F629" i="13"/>
  <c r="C629" i="13"/>
  <c r="K34" i="8" s="1"/>
  <c r="G627" i="13"/>
  <c r="D627" i="13"/>
  <c r="K38" i="8" s="1"/>
  <c r="I624" i="13"/>
  <c r="E621" i="13"/>
  <c r="I621" i="13" s="1"/>
  <c r="H620" i="13"/>
  <c r="E620" i="13"/>
  <c r="I620" i="13" s="1"/>
  <c r="H618" i="13"/>
  <c r="I618" i="13" s="1"/>
  <c r="E618" i="13"/>
  <c r="F617" i="13"/>
  <c r="K5" i="8"/>
  <c r="E617" i="13"/>
  <c r="G614" i="13"/>
  <c r="G617" i="13" s="1"/>
  <c r="D614" i="13"/>
  <c r="H610" i="13"/>
  <c r="E610" i="13"/>
  <c r="H609" i="13"/>
  <c r="E609" i="13"/>
  <c r="H607" i="13"/>
  <c r="C607" i="13"/>
  <c r="F601" i="13"/>
  <c r="J126" i="8" s="1"/>
  <c r="C601" i="13"/>
  <c r="G599" i="13"/>
  <c r="J130" i="8" s="1"/>
  <c r="D599" i="13"/>
  <c r="E596" i="13"/>
  <c r="F595" i="13"/>
  <c r="C595" i="13"/>
  <c r="J112" i="8"/>
  <c r="G593" i="13"/>
  <c r="G594" i="13" s="1"/>
  <c r="J121" i="8" s="1"/>
  <c r="D593" i="13"/>
  <c r="J116" i="8" s="1"/>
  <c r="E591" i="13"/>
  <c r="I591" i="13"/>
  <c r="F589" i="13"/>
  <c r="J100" i="8" s="1"/>
  <c r="H586" i="13"/>
  <c r="F584" i="13"/>
  <c r="J87" i="8" s="1"/>
  <c r="C584" i="13"/>
  <c r="J86" i="8" s="1"/>
  <c r="G581" i="13"/>
  <c r="J91" i="8" s="1"/>
  <c r="H577" i="13"/>
  <c r="H576" i="13"/>
  <c r="G574" i="13"/>
  <c r="H570" i="13"/>
  <c r="E569" i="13"/>
  <c r="H566" i="13"/>
  <c r="E566" i="13"/>
  <c r="F565" i="13"/>
  <c r="J61" i="8" s="1"/>
  <c r="J60" i="8"/>
  <c r="D565" i="13"/>
  <c r="G563" i="13"/>
  <c r="G564" i="13" s="1"/>
  <c r="H556" i="13"/>
  <c r="I556" i="13"/>
  <c r="H555" i="13"/>
  <c r="I555" i="13" s="1"/>
  <c r="E555" i="13"/>
  <c r="H554" i="13"/>
  <c r="E554" i="13"/>
  <c r="I554" i="13" s="1"/>
  <c r="F553" i="13"/>
  <c r="J48" i="8" s="1"/>
  <c r="G551" i="13"/>
  <c r="J52" i="8" s="1"/>
  <c r="D551" i="13"/>
  <c r="J51" i="8" s="1"/>
  <c r="F540" i="13"/>
  <c r="J35" i="8"/>
  <c r="H535" i="13"/>
  <c r="H532" i="13"/>
  <c r="H531" i="13"/>
  <c r="H529" i="13"/>
  <c r="F528" i="13"/>
  <c r="J5" i="8" s="1"/>
  <c r="E528" i="13"/>
  <c r="G525" i="13"/>
  <c r="G528" i="13" s="1"/>
  <c r="J9" i="8"/>
  <c r="H523" i="13"/>
  <c r="E523" i="13"/>
  <c r="H520" i="13"/>
  <c r="D520" i="13"/>
  <c r="J23" i="8" s="1"/>
  <c r="C520" i="13"/>
  <c r="H518" i="13"/>
  <c r="D518" i="13"/>
  <c r="C518" i="13"/>
  <c r="E518" i="13" s="1"/>
  <c r="I518" i="13" s="1"/>
  <c r="D552" i="13"/>
  <c r="J55" i="8" s="1"/>
  <c r="G595" i="13"/>
  <c r="J117" i="8"/>
  <c r="C617" i="13"/>
  <c r="I617" i="13" s="1"/>
  <c r="K52" i="8"/>
  <c r="K87" i="8"/>
  <c r="K108" i="8"/>
  <c r="K104" i="8"/>
  <c r="L120" i="8"/>
  <c r="J65" i="8"/>
  <c r="J69" i="8"/>
  <c r="G628" i="13"/>
  <c r="K43" i="8" s="1"/>
  <c r="K39" i="8"/>
  <c r="K90" i="8"/>
  <c r="D672" i="13"/>
  <c r="J15" i="8"/>
  <c r="D617" i="13"/>
  <c r="K8" i="8"/>
  <c r="K100" i="8"/>
  <c r="G779" i="13"/>
  <c r="L121" i="8"/>
  <c r="D594" i="13"/>
  <c r="I609" i="13"/>
  <c r="K9" i="8"/>
  <c r="D731" i="13"/>
  <c r="G762" i="13"/>
  <c r="G600" i="13"/>
  <c r="J134" i="8" s="1"/>
  <c r="I630" i="13"/>
  <c r="D628" i="13"/>
  <c r="K42" i="8" s="1"/>
  <c r="G583" i="13"/>
  <c r="I569" i="13"/>
  <c r="D553" i="13"/>
  <c r="G653" i="13"/>
  <c r="G654" i="13" s="1"/>
  <c r="D629" i="13"/>
  <c r="D684" i="13"/>
  <c r="K120" i="8"/>
  <c r="G601" i="13"/>
  <c r="AF31" i="4"/>
  <c r="AF30" i="4"/>
  <c r="AC31" i="4"/>
  <c r="AC30" i="4"/>
  <c r="D4" i="11"/>
  <c r="D3" i="11"/>
  <c r="N55" i="2"/>
  <c r="N56" i="2"/>
  <c r="N57" i="2"/>
  <c r="N38" i="2"/>
  <c r="N30" i="2"/>
  <c r="N24" i="2"/>
  <c r="N25" i="2"/>
  <c r="N19" i="2"/>
  <c r="N18" i="2"/>
  <c r="N15" i="2"/>
  <c r="I11" i="1" s="1"/>
  <c r="N16" i="2"/>
  <c r="N11" i="2"/>
  <c r="N10" i="2"/>
  <c r="I10" i="1" s="1"/>
  <c r="N5" i="2"/>
  <c r="I9" i="1" s="1"/>
  <c r="N26" i="2"/>
  <c r="I8" i="1" s="1"/>
  <c r="AB50" i="2"/>
  <c r="AB51" i="2"/>
  <c r="AB52" i="2"/>
  <c r="AB49" i="2"/>
  <c r="AB48" i="2"/>
  <c r="AB47" i="2"/>
  <c r="AB46" i="2"/>
  <c r="AB40" i="2"/>
  <c r="AB41" i="2"/>
  <c r="AB42" i="2"/>
  <c r="AB43" i="2"/>
  <c r="AB44" i="2"/>
  <c r="AB39" i="2"/>
  <c r="AB38" i="2"/>
  <c r="AB35" i="2"/>
  <c r="AB36" i="2"/>
  <c r="AB32" i="2"/>
  <c r="AB33" i="2"/>
  <c r="AB34" i="2"/>
  <c r="AB31" i="2"/>
  <c r="AB30" i="2"/>
  <c r="AB22" i="2"/>
  <c r="AB21" i="2"/>
  <c r="AB19" i="2"/>
  <c r="AB18" i="2"/>
  <c r="AB14" i="2"/>
  <c r="AB13" i="2"/>
  <c r="AB9" i="2"/>
  <c r="AB8" i="2"/>
  <c r="AB4" i="2"/>
  <c r="AB3" i="2"/>
  <c r="O23" i="4"/>
  <c r="O24" i="4"/>
  <c r="AF24" i="4" s="1"/>
  <c r="O25" i="4"/>
  <c r="AF25" i="4" s="1"/>
  <c r="O26" i="4"/>
  <c r="AF26" i="4" s="1"/>
  <c r="O27" i="4"/>
  <c r="AF27" i="4" s="1"/>
  <c r="O13" i="4"/>
  <c r="AF13" i="4" s="1"/>
  <c r="O14" i="4"/>
  <c r="AF14" i="4" s="1"/>
  <c r="R8" i="11" s="1"/>
  <c r="O15" i="4"/>
  <c r="AF15" i="4" s="1"/>
  <c r="O16" i="4"/>
  <c r="AF16" i="4" s="1"/>
  <c r="O17" i="4"/>
  <c r="AF17" i="4" s="1"/>
  <c r="O18" i="4"/>
  <c r="AF18" i="4" s="1"/>
  <c r="O19" i="4"/>
  <c r="AF19" i="4" s="1"/>
  <c r="R9" i="11" s="1"/>
  <c r="O10" i="4"/>
  <c r="AF10" i="4"/>
  <c r="O11" i="4"/>
  <c r="AF11" i="4" s="1"/>
  <c r="O8" i="4"/>
  <c r="AF8" i="4" s="1"/>
  <c r="O7" i="4"/>
  <c r="AF7" i="4" s="1"/>
  <c r="O6" i="4"/>
  <c r="AF6" i="4" s="1"/>
  <c r="V25" i="8"/>
  <c r="G510" i="13"/>
  <c r="I116" i="8"/>
  <c r="G499" i="13"/>
  <c r="I108" i="8" s="1"/>
  <c r="D499" i="13"/>
  <c r="I107" i="8" s="1"/>
  <c r="I104" i="8"/>
  <c r="I103" i="8"/>
  <c r="D474" i="13"/>
  <c r="I64" i="8" s="1"/>
  <c r="I42" i="8"/>
  <c r="V19" i="8"/>
  <c r="K6" i="11" s="1"/>
  <c r="I30" i="8"/>
  <c r="I29" i="8"/>
  <c r="I27" i="8"/>
  <c r="I24" i="8"/>
  <c r="I23" i="8"/>
  <c r="I22" i="8"/>
  <c r="I21" i="8"/>
  <c r="I18" i="8"/>
  <c r="I17" i="8"/>
  <c r="I16" i="8"/>
  <c r="I13" i="8"/>
  <c r="I12" i="8"/>
  <c r="F512" i="13"/>
  <c r="C512" i="13"/>
  <c r="D510" i="13"/>
  <c r="H507" i="13"/>
  <c r="I507" i="13" s="1"/>
  <c r="E507" i="13"/>
  <c r="F506" i="13"/>
  <c r="I113" i="8" s="1"/>
  <c r="C506" i="13"/>
  <c r="I112" i="8"/>
  <c r="G504" i="13"/>
  <c r="G505" i="13" s="1"/>
  <c r="D504" i="13"/>
  <c r="D505" i="13"/>
  <c r="E502" i="13"/>
  <c r="I502" i="13" s="1"/>
  <c r="F500" i="13"/>
  <c r="C500" i="13"/>
  <c r="I99" i="8" s="1"/>
  <c r="H498" i="13"/>
  <c r="H497" i="13"/>
  <c r="E497" i="13"/>
  <c r="E496" i="13"/>
  <c r="F495" i="13"/>
  <c r="C495" i="13"/>
  <c r="I86" i="8" s="1"/>
  <c r="G492" i="13"/>
  <c r="D492" i="13"/>
  <c r="E489" i="13"/>
  <c r="H488" i="13"/>
  <c r="E488" i="13"/>
  <c r="H487" i="13"/>
  <c r="H486" i="13"/>
  <c r="E486" i="13"/>
  <c r="F485" i="13"/>
  <c r="C485" i="13"/>
  <c r="I73" i="8" s="1"/>
  <c r="D484" i="13"/>
  <c r="G483" i="13"/>
  <c r="D483" i="13"/>
  <c r="I77" i="8"/>
  <c r="H481" i="13"/>
  <c r="I481" i="13" s="1"/>
  <c r="E481" i="13"/>
  <c r="H480" i="13"/>
  <c r="E480" i="13"/>
  <c r="I480" i="13" s="1"/>
  <c r="H478" i="13"/>
  <c r="I478" i="13" s="1"/>
  <c r="E478" i="13"/>
  <c r="H477" i="13"/>
  <c r="E477" i="13"/>
  <c r="F476" i="13"/>
  <c r="I61" i="8" s="1"/>
  <c r="C476" i="13"/>
  <c r="I60" i="8" s="1"/>
  <c r="G475" i="13"/>
  <c r="G474" i="13"/>
  <c r="I65" i="8" s="1"/>
  <c r="D475" i="13"/>
  <c r="I68" i="8" s="1"/>
  <c r="H473" i="13"/>
  <c r="I473" i="13" s="1"/>
  <c r="E473" i="13"/>
  <c r="H468" i="13"/>
  <c r="H467" i="13"/>
  <c r="H466" i="13"/>
  <c r="I466" i="13" s="1"/>
  <c r="E466" i="13"/>
  <c r="H465" i="13"/>
  <c r="I465" i="13"/>
  <c r="E465" i="13"/>
  <c r="G462" i="13"/>
  <c r="G463" i="13" s="1"/>
  <c r="D462" i="13"/>
  <c r="I51" i="8"/>
  <c r="F460" i="13"/>
  <c r="E460" i="13"/>
  <c r="H456" i="13"/>
  <c r="C456" i="13"/>
  <c r="H452" i="13"/>
  <c r="E452" i="13"/>
  <c r="G449" i="13"/>
  <c r="D449" i="13"/>
  <c r="H447" i="13"/>
  <c r="H446" i="13"/>
  <c r="E446" i="13"/>
  <c r="I446" i="13" s="1"/>
  <c r="E444" i="13"/>
  <c r="F443" i="13"/>
  <c r="C443" i="13"/>
  <c r="E443" i="13"/>
  <c r="H442" i="13"/>
  <c r="I442" i="13" s="1"/>
  <c r="E442" i="13"/>
  <c r="F440" i="13"/>
  <c r="C440" i="13"/>
  <c r="E440" i="13" s="1"/>
  <c r="I440" i="13" s="1"/>
  <c r="C451" i="13"/>
  <c r="I34" i="8" s="1"/>
  <c r="E439" i="13"/>
  <c r="G436" i="13"/>
  <c r="G439" i="13" s="1"/>
  <c r="D436" i="13"/>
  <c r="D439" i="13" s="1"/>
  <c r="H431" i="13"/>
  <c r="I431" i="13" s="1"/>
  <c r="E431" i="13"/>
  <c r="F430" i="13"/>
  <c r="F439" i="13" s="1"/>
  <c r="E430" i="13"/>
  <c r="H429" i="13"/>
  <c r="C429" i="13"/>
  <c r="I69" i="8"/>
  <c r="I87" i="8"/>
  <c r="I8" i="8"/>
  <c r="I476" i="13"/>
  <c r="I117" i="8"/>
  <c r="H430" i="13"/>
  <c r="I430" i="13" s="1"/>
  <c r="I28" i="8"/>
  <c r="I9" i="8"/>
  <c r="I100" i="8"/>
  <c r="I126" i="8"/>
  <c r="C439" i="13"/>
  <c r="I4" i="8" s="1"/>
  <c r="I15" i="8"/>
  <c r="I52" i="8"/>
  <c r="I497" i="13"/>
  <c r="H440" i="13"/>
  <c r="D463" i="13"/>
  <c r="E429" i="13"/>
  <c r="H152" i="8"/>
  <c r="G152" i="8"/>
  <c r="C152" i="8"/>
  <c r="H151" i="8"/>
  <c r="G151" i="8"/>
  <c r="F151" i="8"/>
  <c r="C151" i="8"/>
  <c r="H150" i="8"/>
  <c r="G150" i="8"/>
  <c r="F150" i="8"/>
  <c r="C150" i="8"/>
  <c r="E149" i="8"/>
  <c r="V149" i="8" s="1"/>
  <c r="Z149" i="8" s="1"/>
  <c r="C149" i="8"/>
  <c r="F148" i="8"/>
  <c r="D148" i="8"/>
  <c r="C148" i="8"/>
  <c r="D147" i="8"/>
  <c r="V147" i="8" s="1"/>
  <c r="Z147" i="8" s="1"/>
  <c r="C147" i="8"/>
  <c r="H146" i="8"/>
  <c r="G146" i="8"/>
  <c r="F146" i="8"/>
  <c r="E146" i="8"/>
  <c r="D146" i="8"/>
  <c r="C146" i="8"/>
  <c r="H145" i="8"/>
  <c r="G145" i="8"/>
  <c r="F145" i="8"/>
  <c r="D145" i="8"/>
  <c r="C145" i="8"/>
  <c r="H144" i="8"/>
  <c r="F144" i="8"/>
  <c r="D144" i="8"/>
  <c r="C144" i="8"/>
  <c r="H143" i="8"/>
  <c r="F143" i="8"/>
  <c r="E143" i="8"/>
  <c r="D143" i="8"/>
  <c r="C143" i="8"/>
  <c r="H142" i="8"/>
  <c r="G142" i="8"/>
  <c r="F142" i="8"/>
  <c r="E142" i="8"/>
  <c r="D142" i="8"/>
  <c r="C142" i="8"/>
  <c r="C141" i="8"/>
  <c r="E140" i="8"/>
  <c r="D140" i="8"/>
  <c r="C140" i="8"/>
  <c r="F133" i="8"/>
  <c r="H130" i="8"/>
  <c r="H129" i="8"/>
  <c r="D125" i="8"/>
  <c r="H104" i="8"/>
  <c r="H108" i="8" s="1"/>
  <c r="H110" i="8" s="1"/>
  <c r="G104" i="8"/>
  <c r="F104" i="8"/>
  <c r="H103" i="8"/>
  <c r="H107" i="8" s="1"/>
  <c r="H109" i="8" s="1"/>
  <c r="G103" i="8"/>
  <c r="F103" i="8"/>
  <c r="G100" i="8"/>
  <c r="F100" i="8"/>
  <c r="E100" i="8"/>
  <c r="D100" i="8"/>
  <c r="D99" i="8"/>
  <c r="F94" i="8"/>
  <c r="H93" i="8"/>
  <c r="H92" i="8"/>
  <c r="H90" i="8"/>
  <c r="H81" i="8"/>
  <c r="F81" i="8"/>
  <c r="G77" i="8"/>
  <c r="D68" i="8"/>
  <c r="G55" i="8"/>
  <c r="F55" i="8"/>
  <c r="E55" i="8"/>
  <c r="H51" i="8"/>
  <c r="E43" i="8"/>
  <c r="D43" i="8"/>
  <c r="G42" i="8"/>
  <c r="F42" i="8"/>
  <c r="E42" i="8"/>
  <c r="D42" i="8"/>
  <c r="H24" i="8"/>
  <c r="G24" i="8"/>
  <c r="F24" i="8"/>
  <c r="E24" i="8"/>
  <c r="D24" i="8"/>
  <c r="H23" i="8"/>
  <c r="G23" i="8"/>
  <c r="F23" i="8"/>
  <c r="E23" i="8"/>
  <c r="D23" i="8"/>
  <c r="H22" i="8"/>
  <c r="G22" i="8"/>
  <c r="F22" i="8"/>
  <c r="D22" i="8"/>
  <c r="H21" i="8"/>
  <c r="G21" i="8"/>
  <c r="F21" i="8"/>
  <c r="E21" i="8"/>
  <c r="D21" i="8"/>
  <c r="H18" i="8"/>
  <c r="G18" i="8"/>
  <c r="F18" i="8"/>
  <c r="E18" i="8"/>
  <c r="D18" i="8"/>
  <c r="G17" i="8"/>
  <c r="E17" i="8"/>
  <c r="D17" i="8"/>
  <c r="H16" i="8"/>
  <c r="G16" i="8"/>
  <c r="F16" i="8"/>
  <c r="D16" i="8"/>
  <c r="G15" i="8"/>
  <c r="F15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H10" i="8"/>
  <c r="G10" i="8"/>
  <c r="F10" i="8"/>
  <c r="E10" i="8"/>
  <c r="D10" i="8"/>
  <c r="E9" i="8"/>
  <c r="F422" i="13"/>
  <c r="H126" i="8" s="1"/>
  <c r="C422" i="13"/>
  <c r="H125" i="8" s="1"/>
  <c r="G420" i="13"/>
  <c r="G421" i="13" s="1"/>
  <c r="H134" i="8" s="1"/>
  <c r="D420" i="13"/>
  <c r="D421" i="13" s="1"/>
  <c r="D422" i="13" s="1"/>
  <c r="H419" i="13"/>
  <c r="I419" i="13" s="1"/>
  <c r="E419" i="13"/>
  <c r="H417" i="13"/>
  <c r="E417" i="13"/>
  <c r="F416" i="13"/>
  <c r="H113" i="8" s="1"/>
  <c r="C416" i="13"/>
  <c r="H112" i="8" s="1"/>
  <c r="G414" i="13"/>
  <c r="H117" i="8" s="1"/>
  <c r="D414" i="13"/>
  <c r="H412" i="13"/>
  <c r="E412" i="13"/>
  <c r="F410" i="13"/>
  <c r="I410" i="13" s="1"/>
  <c r="C410" i="13"/>
  <c r="H99" i="8" s="1"/>
  <c r="G409" i="13"/>
  <c r="D409" i="13"/>
  <c r="H408" i="13"/>
  <c r="E408" i="13"/>
  <c r="E407" i="13"/>
  <c r="F406" i="13"/>
  <c r="H87" i="8" s="1"/>
  <c r="C406" i="13"/>
  <c r="G403" i="13"/>
  <c r="H91" i="8" s="1"/>
  <c r="D403" i="13"/>
  <c r="D405" i="13" s="1"/>
  <c r="D406" i="13" s="1"/>
  <c r="H402" i="13"/>
  <c r="E402" i="13"/>
  <c r="H401" i="13"/>
  <c r="I401" i="13" s="1"/>
  <c r="E401" i="13"/>
  <c r="H400" i="13"/>
  <c r="E400" i="13"/>
  <c r="H399" i="13"/>
  <c r="H397" i="13"/>
  <c r="I397" i="13" s="1"/>
  <c r="E397" i="13"/>
  <c r="F396" i="13"/>
  <c r="C396" i="13"/>
  <c r="H73" i="8" s="1"/>
  <c r="G394" i="13"/>
  <c r="H78" i="8" s="1"/>
  <c r="D394" i="13"/>
  <c r="D396" i="13" s="1"/>
  <c r="H393" i="13"/>
  <c r="H392" i="13"/>
  <c r="E392" i="13"/>
  <c r="E389" i="13"/>
  <c r="H388" i="13"/>
  <c r="I388" i="13" s="1"/>
  <c r="E388" i="13"/>
  <c r="F387" i="13"/>
  <c r="C387" i="13"/>
  <c r="H60" i="8" s="1"/>
  <c r="G386" i="13"/>
  <c r="G385" i="13"/>
  <c r="H65" i="8" s="1"/>
  <c r="D385" i="13"/>
  <c r="H64" i="8" s="1"/>
  <c r="H380" i="13"/>
  <c r="E380" i="13"/>
  <c r="H379" i="13"/>
  <c r="I379" i="13" s="1"/>
  <c r="E379" i="13"/>
  <c r="H377" i="13"/>
  <c r="E377" i="13"/>
  <c r="I377" i="13" s="1"/>
  <c r="C376" i="13"/>
  <c r="H47" i="8" s="1"/>
  <c r="G374" i="13"/>
  <c r="D374" i="13"/>
  <c r="H372" i="13"/>
  <c r="H370" i="13"/>
  <c r="E370" i="13"/>
  <c r="F368" i="13"/>
  <c r="F376" i="13" s="1"/>
  <c r="E368" i="13"/>
  <c r="H367" i="13"/>
  <c r="H365" i="13"/>
  <c r="E365" i="13"/>
  <c r="H364" i="13"/>
  <c r="E364" i="13"/>
  <c r="C363" i="13"/>
  <c r="G361" i="13"/>
  <c r="H39" i="8" s="1"/>
  <c r="D361" i="13"/>
  <c r="H38" i="8" s="1"/>
  <c r="H357" i="13"/>
  <c r="I357" i="13" s="1"/>
  <c r="E357" i="13"/>
  <c r="E354" i="13"/>
  <c r="F352" i="13"/>
  <c r="E352" i="13"/>
  <c r="F351" i="13"/>
  <c r="H5" i="8" s="1"/>
  <c r="E351" i="13"/>
  <c r="G348" i="13"/>
  <c r="H9" i="8" s="1"/>
  <c r="H343" i="13"/>
  <c r="E343" i="13"/>
  <c r="H342" i="13"/>
  <c r="E342" i="13"/>
  <c r="H341" i="13"/>
  <c r="I341" i="13" s="1"/>
  <c r="E341" i="13"/>
  <c r="H340" i="13"/>
  <c r="D340" i="13"/>
  <c r="D348" i="13" s="1"/>
  <c r="C340" i="13"/>
  <c r="F333" i="13"/>
  <c r="C333" i="13"/>
  <c r="G125" i="8" s="1"/>
  <c r="G332" i="13"/>
  <c r="G134" i="8" s="1"/>
  <c r="G331" i="13"/>
  <c r="G130" i="8" s="1"/>
  <c r="D331" i="13"/>
  <c r="D332" i="13" s="1"/>
  <c r="H330" i="13"/>
  <c r="E330" i="13"/>
  <c r="I328" i="13"/>
  <c r="E328" i="13"/>
  <c r="F327" i="13"/>
  <c r="G113" i="8" s="1"/>
  <c r="C327" i="13"/>
  <c r="G112" i="8" s="1"/>
  <c r="G325" i="13"/>
  <c r="D325" i="13"/>
  <c r="G116" i="8" s="1"/>
  <c r="D326" i="13"/>
  <c r="D327" i="13" s="1"/>
  <c r="E324" i="13"/>
  <c r="E323" i="13"/>
  <c r="C321" i="13"/>
  <c r="G99" i="8" s="1"/>
  <c r="G320" i="13"/>
  <c r="G108" i="8" s="1"/>
  <c r="D320" i="13"/>
  <c r="G107" i="8" s="1"/>
  <c r="E319" i="13"/>
  <c r="F318" i="13"/>
  <c r="G87" i="8" s="1"/>
  <c r="C318" i="13"/>
  <c r="G316" i="13"/>
  <c r="D316" i="13"/>
  <c r="H315" i="13"/>
  <c r="E315" i="13"/>
  <c r="E314" i="13"/>
  <c r="H312" i="13"/>
  <c r="H310" i="13"/>
  <c r="E310" i="13"/>
  <c r="F309" i="13"/>
  <c r="G74" i="8" s="1"/>
  <c r="G307" i="13"/>
  <c r="D307" i="13"/>
  <c r="D308" i="13" s="1"/>
  <c r="H306" i="13"/>
  <c r="H305" i="13"/>
  <c r="I305" i="13" s="1"/>
  <c r="E305" i="13"/>
  <c r="H304" i="13"/>
  <c r="H303" i="13"/>
  <c r="I303" i="13" s="1"/>
  <c r="E303" i="13"/>
  <c r="F302" i="13"/>
  <c r="H302" i="13" s="1"/>
  <c r="E302" i="13"/>
  <c r="H301" i="13"/>
  <c r="C301" i="13"/>
  <c r="E301" i="13" s="1"/>
  <c r="F300" i="13"/>
  <c r="G61" i="8" s="1"/>
  <c r="C300" i="13"/>
  <c r="G60" i="8"/>
  <c r="G299" i="13"/>
  <c r="G298" i="13"/>
  <c r="G65" i="8" s="1"/>
  <c r="D298" i="13"/>
  <c r="H292" i="13"/>
  <c r="E292" i="13"/>
  <c r="H290" i="13"/>
  <c r="E290" i="13"/>
  <c r="G287" i="13"/>
  <c r="G288" i="13" s="1"/>
  <c r="G289" i="13" s="1"/>
  <c r="D287" i="13"/>
  <c r="G51" i="8" s="1"/>
  <c r="H285" i="13"/>
  <c r="H283" i="13"/>
  <c r="E282" i="13"/>
  <c r="F281" i="13"/>
  <c r="F289" i="13" s="1"/>
  <c r="E281" i="13"/>
  <c r="H280" i="13"/>
  <c r="E280" i="13"/>
  <c r="H277" i="13"/>
  <c r="E277" i="13"/>
  <c r="C277" i="13"/>
  <c r="C289" i="13" s="1"/>
  <c r="G47" i="8" s="1"/>
  <c r="C276" i="13"/>
  <c r="G34" i="8" s="1"/>
  <c r="G274" i="13"/>
  <c r="G39" i="8" s="1"/>
  <c r="D274" i="13"/>
  <c r="G38" i="8" s="1"/>
  <c r="H273" i="13"/>
  <c r="E271" i="13"/>
  <c r="I271" i="13" s="1"/>
  <c r="E269" i="13"/>
  <c r="I269" i="13" s="1"/>
  <c r="F268" i="13"/>
  <c r="E268" i="13"/>
  <c r="F267" i="13"/>
  <c r="E267" i="13"/>
  <c r="H266" i="13"/>
  <c r="E266" i="13"/>
  <c r="F265" i="13"/>
  <c r="G140" i="8" s="1"/>
  <c r="E265" i="13"/>
  <c r="F264" i="13"/>
  <c r="E264" i="13"/>
  <c r="G261" i="13"/>
  <c r="D261" i="13"/>
  <c r="D264" i="13" s="1"/>
  <c r="H257" i="13"/>
  <c r="I257" i="13" s="1"/>
  <c r="E257" i="13"/>
  <c r="H256" i="13"/>
  <c r="E256" i="13"/>
  <c r="H253" i="13"/>
  <c r="C253" i="13"/>
  <c r="C264" i="13" s="1"/>
  <c r="G4" i="8" s="1"/>
  <c r="C246" i="13"/>
  <c r="F125" i="8" s="1"/>
  <c r="G244" i="13"/>
  <c r="G245" i="13" s="1"/>
  <c r="D244" i="13"/>
  <c r="H243" i="13"/>
  <c r="E243" i="13"/>
  <c r="H242" i="13"/>
  <c r="I242" i="13" s="1"/>
  <c r="E242" i="13"/>
  <c r="F241" i="13"/>
  <c r="H241" i="13" s="1"/>
  <c r="I241" i="13" s="1"/>
  <c r="F246" i="13"/>
  <c r="F126" i="8" s="1"/>
  <c r="E241" i="13"/>
  <c r="F240" i="13"/>
  <c r="C240" i="13"/>
  <c r="I240" i="13" s="1"/>
  <c r="F112" i="8"/>
  <c r="G238" i="13"/>
  <c r="G239" i="13" s="1"/>
  <c r="D238" i="13"/>
  <c r="F116" i="8" s="1"/>
  <c r="E236" i="13"/>
  <c r="C234" i="13"/>
  <c r="F99" i="8" s="1"/>
  <c r="G233" i="13"/>
  <c r="F108" i="8" s="1"/>
  <c r="D233" i="13"/>
  <c r="F107" i="8" s="1"/>
  <c r="E232" i="13"/>
  <c r="C231" i="13"/>
  <c r="F86" i="8" s="1"/>
  <c r="G229" i="13"/>
  <c r="F91" i="8" s="1"/>
  <c r="D229" i="13"/>
  <c r="F90" i="8" s="1"/>
  <c r="D231" i="13"/>
  <c r="F227" i="13"/>
  <c r="F231" i="13" s="1"/>
  <c r="F87" i="8" s="1"/>
  <c r="E227" i="13"/>
  <c r="H226" i="13"/>
  <c r="E226" i="13"/>
  <c r="H224" i="13"/>
  <c r="I224" i="13" s="1"/>
  <c r="E224" i="13"/>
  <c r="C223" i="13"/>
  <c r="F73" i="8" s="1"/>
  <c r="G221" i="13"/>
  <c r="D221" i="13"/>
  <c r="F77" i="8" s="1"/>
  <c r="H220" i="13"/>
  <c r="H219" i="13"/>
  <c r="E219" i="13"/>
  <c r="I219" i="13" s="1"/>
  <c r="H218" i="13"/>
  <c r="F217" i="13"/>
  <c r="E217" i="13"/>
  <c r="H216" i="13"/>
  <c r="I216" i="13" s="1"/>
  <c r="E216" i="13"/>
  <c r="C215" i="13"/>
  <c r="F60" i="8" s="1"/>
  <c r="F68" i="8"/>
  <c r="G213" i="13"/>
  <c r="D213" i="13"/>
  <c r="D214" i="13" s="1"/>
  <c r="F212" i="13"/>
  <c r="H212" i="13" s="1"/>
  <c r="E212" i="13"/>
  <c r="H209" i="13"/>
  <c r="E207" i="13"/>
  <c r="H206" i="13"/>
  <c r="C204" i="13"/>
  <c r="F47" i="8" s="1"/>
  <c r="G202" i="13"/>
  <c r="G203" i="13" s="1"/>
  <c r="D202" i="13"/>
  <c r="H198" i="13"/>
  <c r="E198" i="13"/>
  <c r="F196" i="13"/>
  <c r="F204" i="13" s="1"/>
  <c r="E196" i="13"/>
  <c r="H195" i="13"/>
  <c r="H193" i="13"/>
  <c r="E193" i="13"/>
  <c r="H192" i="13"/>
  <c r="E192" i="13"/>
  <c r="D189" i="13"/>
  <c r="F38" i="8" s="1"/>
  <c r="H187" i="13"/>
  <c r="I187" i="13" s="1"/>
  <c r="E187" i="13"/>
  <c r="E186" i="13"/>
  <c r="I186" i="13"/>
  <c r="H185" i="13"/>
  <c r="I185" i="13" s="1"/>
  <c r="E185" i="13"/>
  <c r="H184" i="13"/>
  <c r="E184" i="13"/>
  <c r="E183" i="13"/>
  <c r="I183" i="13" s="1"/>
  <c r="H182" i="13"/>
  <c r="G180" i="13"/>
  <c r="G189" i="13" s="1"/>
  <c r="F180" i="13"/>
  <c r="F140" i="8" s="1"/>
  <c r="C180" i="13"/>
  <c r="E180" i="13" s="1"/>
  <c r="F179" i="13"/>
  <c r="F5" i="8" s="1"/>
  <c r="E179" i="13"/>
  <c r="C179" i="13"/>
  <c r="F4" i="8" s="1"/>
  <c r="G176" i="13"/>
  <c r="G179" i="13" s="1"/>
  <c r="H171" i="13"/>
  <c r="I171" i="13" s="1"/>
  <c r="E171" i="13"/>
  <c r="H169" i="13"/>
  <c r="I169" i="13" s="1"/>
  <c r="E169" i="13"/>
  <c r="H168" i="13"/>
  <c r="D168" i="13"/>
  <c r="E168" i="13" s="1"/>
  <c r="I161" i="13"/>
  <c r="F161" i="13"/>
  <c r="E126" i="8" s="1"/>
  <c r="C161" i="13"/>
  <c r="E125" i="8" s="1"/>
  <c r="G159" i="13"/>
  <c r="D159" i="13"/>
  <c r="H157" i="13"/>
  <c r="E157" i="13"/>
  <c r="H156" i="13"/>
  <c r="I156" i="13" s="1"/>
  <c r="E156" i="13"/>
  <c r="F155" i="13"/>
  <c r="C155" i="13"/>
  <c r="E112" i="8" s="1"/>
  <c r="G153" i="13"/>
  <c r="D153" i="13"/>
  <c r="D154" i="13" s="1"/>
  <c r="H152" i="13"/>
  <c r="H151" i="13"/>
  <c r="I151" i="13" s="1"/>
  <c r="E151" i="13"/>
  <c r="C149" i="13"/>
  <c r="E99" i="8" s="1"/>
  <c r="G148" i="13"/>
  <c r="D148" i="13"/>
  <c r="F146" i="13"/>
  <c r="E87" i="8" s="1"/>
  <c r="D146" i="13"/>
  <c r="D144" i="13"/>
  <c r="E90" i="8" s="1"/>
  <c r="H143" i="13"/>
  <c r="E143" i="13"/>
  <c r="I143" i="13" s="1"/>
  <c r="E142" i="13"/>
  <c r="G142" i="13" s="1"/>
  <c r="G144" i="13" s="1"/>
  <c r="H141" i="13"/>
  <c r="E141" i="13"/>
  <c r="H140" i="13"/>
  <c r="I140" i="13" s="1"/>
  <c r="E140" i="13"/>
  <c r="H139" i="13"/>
  <c r="C139" i="13"/>
  <c r="F138" i="13"/>
  <c r="E74" i="8" s="1"/>
  <c r="G136" i="13"/>
  <c r="G137" i="13" s="1"/>
  <c r="D136" i="13"/>
  <c r="D137" i="13" s="1"/>
  <c r="D138" i="13" s="1"/>
  <c r="H134" i="13"/>
  <c r="I134" i="13" s="1"/>
  <c r="E134" i="13"/>
  <c r="H133" i="13"/>
  <c r="E133" i="13"/>
  <c r="H132" i="13"/>
  <c r="I132" i="13" s="1"/>
  <c r="E132" i="13"/>
  <c r="H131" i="13"/>
  <c r="I131" i="13" s="1"/>
  <c r="C131" i="13"/>
  <c r="E131" i="13" s="1"/>
  <c r="F130" i="13"/>
  <c r="E61" i="8" s="1"/>
  <c r="G128" i="13"/>
  <c r="D128" i="13"/>
  <c r="C127" i="13"/>
  <c r="C130" i="13" s="1"/>
  <c r="E60" i="8" s="1"/>
  <c r="H126" i="13"/>
  <c r="I126" i="13" s="1"/>
  <c r="E126" i="13"/>
  <c r="H125" i="13"/>
  <c r="I125" i="13" s="1"/>
  <c r="E125" i="13"/>
  <c r="H124" i="13"/>
  <c r="F122" i="13"/>
  <c r="E48" i="8" s="1"/>
  <c r="G120" i="13"/>
  <c r="G121" i="13" s="1"/>
  <c r="D120" i="13"/>
  <c r="D122" i="13" s="1"/>
  <c r="E51" i="8"/>
  <c r="H116" i="13"/>
  <c r="C116" i="13"/>
  <c r="E116" i="13" s="1"/>
  <c r="H115" i="13"/>
  <c r="H114" i="13"/>
  <c r="E114" i="13"/>
  <c r="H113" i="13"/>
  <c r="C113" i="13"/>
  <c r="H112" i="13"/>
  <c r="H111" i="13"/>
  <c r="E111" i="13"/>
  <c r="D108" i="13"/>
  <c r="D110" i="13" s="1"/>
  <c r="F105" i="13"/>
  <c r="H105" i="13" s="1"/>
  <c r="I105" i="13" s="1"/>
  <c r="E105" i="13"/>
  <c r="G104" i="13"/>
  <c r="G108" i="13" s="1"/>
  <c r="E39" i="8" s="1"/>
  <c r="G110" i="13"/>
  <c r="F104" i="13"/>
  <c r="C104" i="13"/>
  <c r="E104" i="13" s="1"/>
  <c r="H103" i="13"/>
  <c r="E103" i="13"/>
  <c r="H102" i="13"/>
  <c r="I102" i="13" s="1"/>
  <c r="E102" i="13"/>
  <c r="H101" i="13"/>
  <c r="C101" i="13"/>
  <c r="E101" i="13" s="1"/>
  <c r="G97" i="13"/>
  <c r="G100" i="13" s="1"/>
  <c r="D97" i="13"/>
  <c r="I95" i="13"/>
  <c r="F95" i="13"/>
  <c r="H95" i="13" s="1"/>
  <c r="E95" i="13"/>
  <c r="F92" i="13"/>
  <c r="F100" i="13" s="1"/>
  <c r="E22" i="8"/>
  <c r="E92" i="13"/>
  <c r="F89" i="13"/>
  <c r="E16" i="8" s="1"/>
  <c r="C89" i="13"/>
  <c r="E89" i="13" s="1"/>
  <c r="F82" i="13"/>
  <c r="D126" i="8" s="1"/>
  <c r="C82" i="13"/>
  <c r="G80" i="13"/>
  <c r="D130" i="8"/>
  <c r="D80" i="13"/>
  <c r="D81" i="13" s="1"/>
  <c r="H78" i="13"/>
  <c r="E78" i="13"/>
  <c r="H77" i="13"/>
  <c r="E77" i="13"/>
  <c r="F76" i="13"/>
  <c r="D113" i="8" s="1"/>
  <c r="G74" i="13"/>
  <c r="D74" i="13"/>
  <c r="D116" i="8" s="1"/>
  <c r="H73" i="13"/>
  <c r="C73" i="13"/>
  <c r="H72" i="13"/>
  <c r="E72" i="13"/>
  <c r="I72" i="13" s="1"/>
  <c r="C70" i="13"/>
  <c r="G69" i="13"/>
  <c r="D69" i="13"/>
  <c r="G67" i="13"/>
  <c r="F67" i="13"/>
  <c r="D67" i="13"/>
  <c r="C67" i="13"/>
  <c r="D86" i="8"/>
  <c r="G65" i="13"/>
  <c r="D91" i="8" s="1"/>
  <c r="D65" i="13"/>
  <c r="D90" i="8" s="1"/>
  <c r="H64" i="13"/>
  <c r="E64" i="13"/>
  <c r="I64" i="13" s="1"/>
  <c r="H63" i="13"/>
  <c r="I63" i="13" s="1"/>
  <c r="E63" i="13"/>
  <c r="H62" i="13"/>
  <c r="E62" i="13"/>
  <c r="I62" i="13" s="1"/>
  <c r="H61" i="13"/>
  <c r="E61" i="13"/>
  <c r="H60" i="13"/>
  <c r="E60" i="13"/>
  <c r="F58" i="13"/>
  <c r="D74" i="8" s="1"/>
  <c r="G56" i="13"/>
  <c r="D56" i="13"/>
  <c r="D77" i="8" s="1"/>
  <c r="H55" i="13"/>
  <c r="E55" i="13"/>
  <c r="H54" i="13"/>
  <c r="E54" i="13"/>
  <c r="I54" i="13" s="1"/>
  <c r="E52" i="13"/>
  <c r="I52" i="13" s="1"/>
  <c r="H51" i="13"/>
  <c r="C51" i="13"/>
  <c r="G48" i="13"/>
  <c r="D65" i="8" s="1"/>
  <c r="D48" i="13"/>
  <c r="D50" i="13" s="1"/>
  <c r="H47" i="13"/>
  <c r="C47" i="13"/>
  <c r="E47" i="13" s="1"/>
  <c r="H46" i="13"/>
  <c r="C46" i="13"/>
  <c r="E46" i="13" s="1"/>
  <c r="I46" i="13" s="1"/>
  <c r="H45" i="13"/>
  <c r="C45" i="13"/>
  <c r="E45" i="13"/>
  <c r="H44" i="13"/>
  <c r="C44" i="13"/>
  <c r="E44" i="13" s="1"/>
  <c r="H43" i="13"/>
  <c r="C43" i="13"/>
  <c r="F41" i="13"/>
  <c r="F50" i="13" s="1"/>
  <c r="D61" i="8" s="1"/>
  <c r="H41" i="13"/>
  <c r="F40" i="13"/>
  <c r="D39" i="13"/>
  <c r="D55" i="8" s="1"/>
  <c r="G38" i="13"/>
  <c r="G39" i="13" s="1"/>
  <c r="D38" i="13"/>
  <c r="D51" i="8" s="1"/>
  <c r="H34" i="13"/>
  <c r="C34" i="13"/>
  <c r="E34" i="13"/>
  <c r="H33" i="13"/>
  <c r="C33" i="13"/>
  <c r="H32" i="13"/>
  <c r="H30" i="13"/>
  <c r="E30" i="13"/>
  <c r="H29" i="13"/>
  <c r="E29" i="13"/>
  <c r="D26" i="13"/>
  <c r="D28" i="13" s="1"/>
  <c r="H25" i="13"/>
  <c r="I25" i="13" s="1"/>
  <c r="E25" i="13"/>
  <c r="H24" i="13"/>
  <c r="E22" i="13"/>
  <c r="E21" i="13"/>
  <c r="C21" i="13"/>
  <c r="H20" i="13"/>
  <c r="E20" i="13"/>
  <c r="H19" i="13"/>
  <c r="G18" i="13"/>
  <c r="G26" i="13" s="1"/>
  <c r="F18" i="13"/>
  <c r="F28" i="13" s="1"/>
  <c r="C18" i="13"/>
  <c r="E18" i="13" s="1"/>
  <c r="H17" i="13"/>
  <c r="C17" i="13"/>
  <c r="E17" i="13"/>
  <c r="I17" i="13" s="1"/>
  <c r="F16" i="13"/>
  <c r="D5" i="8" s="1"/>
  <c r="G14" i="13"/>
  <c r="D11" i="8" s="1"/>
  <c r="G13" i="13"/>
  <c r="G16" i="13" s="1"/>
  <c r="D13" i="13"/>
  <c r="D8" i="8" s="1"/>
  <c r="E11" i="13"/>
  <c r="I11" i="13" s="1"/>
  <c r="H8" i="13"/>
  <c r="E8" i="13"/>
  <c r="I8" i="13" s="1"/>
  <c r="H5" i="13"/>
  <c r="C5" i="13"/>
  <c r="E5" i="13" s="1"/>
  <c r="D52" i="8"/>
  <c r="G138" i="13"/>
  <c r="E82" i="8"/>
  <c r="D309" i="13"/>
  <c r="G81" i="8"/>
  <c r="H61" i="8"/>
  <c r="I406" i="13"/>
  <c r="H86" i="8"/>
  <c r="D129" i="8"/>
  <c r="D141" i="8"/>
  <c r="V141" i="8" s="1"/>
  <c r="Z141" i="8" s="1"/>
  <c r="E15" i="8"/>
  <c r="H92" i="13"/>
  <c r="I92" i="13" s="1"/>
  <c r="E144" i="8"/>
  <c r="C138" i="13"/>
  <c r="E73" i="8" s="1"/>
  <c r="D145" i="13"/>
  <c r="E94" i="8"/>
  <c r="F17" i="8"/>
  <c r="G375" i="13"/>
  <c r="H56" i="8" s="1"/>
  <c r="H52" i="8"/>
  <c r="G395" i="13"/>
  <c r="D64" i="8"/>
  <c r="H100" i="8"/>
  <c r="G81" i="13"/>
  <c r="D134" i="8" s="1"/>
  <c r="G129" i="13"/>
  <c r="G130" i="13" s="1"/>
  <c r="E65" i="8"/>
  <c r="E116" i="8"/>
  <c r="I155" i="13"/>
  <c r="E113" i="8"/>
  <c r="I157" i="13"/>
  <c r="C191" i="13"/>
  <c r="D215" i="13"/>
  <c r="G230" i="13"/>
  <c r="G64" i="8"/>
  <c r="D299" i="13"/>
  <c r="G68" i="8"/>
  <c r="D300" i="13"/>
  <c r="I412" i="13"/>
  <c r="E64" i="8"/>
  <c r="G57" i="13"/>
  <c r="D78" i="8"/>
  <c r="D87" i="8"/>
  <c r="C100" i="13"/>
  <c r="E4" i="8" s="1"/>
  <c r="H104" i="13"/>
  <c r="I104" i="13" s="1"/>
  <c r="D129" i="13"/>
  <c r="D130" i="13" s="1"/>
  <c r="E77" i="8"/>
  <c r="H196" i="13"/>
  <c r="F65" i="8"/>
  <c r="G214" i="13"/>
  <c r="F69" i="8" s="1"/>
  <c r="H227" i="13"/>
  <c r="I227" i="13" s="1"/>
  <c r="H267" i="13"/>
  <c r="G143" i="8"/>
  <c r="G308" i="13"/>
  <c r="G309" i="13" s="1"/>
  <c r="G78" i="8"/>
  <c r="G326" i="13"/>
  <c r="G327" i="13" s="1"/>
  <c r="G117" i="8"/>
  <c r="C351" i="13"/>
  <c r="H4" i="8" s="1"/>
  <c r="H15" i="8"/>
  <c r="D415" i="13"/>
  <c r="H120" i="8" s="1"/>
  <c r="H116" i="8"/>
  <c r="H133" i="8"/>
  <c r="F52" i="8"/>
  <c r="E78" i="8"/>
  <c r="F117" i="8"/>
  <c r="H34" i="8"/>
  <c r="G506" i="13"/>
  <c r="I121" i="8"/>
  <c r="D40" i="13"/>
  <c r="I226" i="13"/>
  <c r="E253" i="13"/>
  <c r="I300" i="13"/>
  <c r="I315" i="13"/>
  <c r="H368" i="13"/>
  <c r="I416" i="13"/>
  <c r="F9" i="8"/>
  <c r="F113" i="8"/>
  <c r="G120" i="8"/>
  <c r="G129" i="8"/>
  <c r="F130" i="8"/>
  <c r="D464" i="13"/>
  <c r="I55" i="8"/>
  <c r="G464" i="13"/>
  <c r="I56" i="8"/>
  <c r="C16" i="13"/>
  <c r="C110" i="13"/>
  <c r="E34" i="8" s="1"/>
  <c r="E113" i="13"/>
  <c r="F223" i="13"/>
  <c r="I223" i="13" s="1"/>
  <c r="H217" i="13"/>
  <c r="I217" i="13" s="1"/>
  <c r="F276" i="13"/>
  <c r="C309" i="13"/>
  <c r="I351" i="13"/>
  <c r="D375" i="13"/>
  <c r="H55" i="8" s="1"/>
  <c r="H18" i="13"/>
  <c r="E340" i="13"/>
  <c r="I340" i="13" s="1"/>
  <c r="F31" i="8"/>
  <c r="V31" i="8" s="1"/>
  <c r="K7" i="11"/>
  <c r="AD46" i="3"/>
  <c r="AC46" i="3"/>
  <c r="AB46" i="3"/>
  <c r="AA46" i="3"/>
  <c r="Z46" i="3"/>
  <c r="Y46" i="3"/>
  <c r="X46" i="3"/>
  <c r="O7" i="11"/>
  <c r="O5" i="11"/>
  <c r="O14" i="11"/>
  <c r="D416" i="13"/>
  <c r="G396" i="13"/>
  <c r="H82" i="8"/>
  <c r="F34" i="8"/>
  <c r="D4" i="8"/>
  <c r="E81" i="8"/>
  <c r="D351" i="13"/>
  <c r="H8" i="8"/>
  <c r="G73" i="8"/>
  <c r="G82" i="8"/>
  <c r="G376" i="13"/>
  <c r="I138" i="13"/>
  <c r="O4" i="11"/>
  <c r="U16" i="11"/>
  <c r="T16" i="11"/>
  <c r="U15" i="11"/>
  <c r="T15" i="11"/>
  <c r="R16" i="11"/>
  <c r="AE31" i="4"/>
  <c r="Q16" i="11"/>
  <c r="R15" i="11"/>
  <c r="AE30" i="4"/>
  <c r="Q15" i="11"/>
  <c r="Y52" i="8"/>
  <c r="L18" i="11" s="1"/>
  <c r="Y39" i="8"/>
  <c r="I153" i="8"/>
  <c r="AA52" i="2"/>
  <c r="AA51" i="2"/>
  <c r="AA50" i="2"/>
  <c r="AA49" i="2"/>
  <c r="AA48" i="2"/>
  <c r="AA47" i="2"/>
  <c r="AA44" i="2"/>
  <c r="AA43" i="2"/>
  <c r="AA42" i="2"/>
  <c r="AA41" i="2"/>
  <c r="AA40" i="2"/>
  <c r="AA39" i="2"/>
  <c r="AA36" i="2"/>
  <c r="AA35" i="2"/>
  <c r="AA34" i="2"/>
  <c r="AA33" i="2"/>
  <c r="AA32" i="2"/>
  <c r="AA31" i="2"/>
  <c r="M57" i="2"/>
  <c r="L57" i="2"/>
  <c r="K57" i="2"/>
  <c r="J57" i="2"/>
  <c r="I57" i="2"/>
  <c r="H57" i="2"/>
  <c r="G57" i="2"/>
  <c r="F57" i="2"/>
  <c r="E57" i="2"/>
  <c r="D57" i="2"/>
  <c r="C57" i="2"/>
  <c r="M56" i="2"/>
  <c r="L56" i="2"/>
  <c r="K56" i="2"/>
  <c r="J56" i="2"/>
  <c r="I56" i="2"/>
  <c r="H56" i="2"/>
  <c r="G56" i="2"/>
  <c r="F56" i="2"/>
  <c r="E56" i="2"/>
  <c r="D56" i="2"/>
  <c r="C56" i="2"/>
  <c r="M55" i="2"/>
  <c r="L55" i="2"/>
  <c r="K55" i="2"/>
  <c r="J55" i="2"/>
  <c r="I55" i="2"/>
  <c r="H55" i="2"/>
  <c r="G55" i="2"/>
  <c r="F55" i="2"/>
  <c r="E55" i="2"/>
  <c r="D55" i="2"/>
  <c r="C55" i="2"/>
  <c r="N25" i="4"/>
  <c r="M25" i="4"/>
  <c r="L25" i="4"/>
  <c r="K25" i="4"/>
  <c r="J25" i="4"/>
  <c r="I25" i="4"/>
  <c r="AE25" i="4" s="1"/>
  <c r="H25" i="4"/>
  <c r="G25" i="4"/>
  <c r="F25" i="4"/>
  <c r="E25" i="4"/>
  <c r="D25" i="4"/>
  <c r="N17" i="4"/>
  <c r="M17" i="4"/>
  <c r="L17" i="4"/>
  <c r="K17" i="4"/>
  <c r="J17" i="4"/>
  <c r="I17" i="4"/>
  <c r="AE17" i="4" s="1"/>
  <c r="H17" i="4"/>
  <c r="G17" i="4"/>
  <c r="F17" i="4"/>
  <c r="E17" i="4"/>
  <c r="D17" i="4"/>
  <c r="AI76" i="3"/>
  <c r="AH76" i="3"/>
  <c r="AG76" i="3"/>
  <c r="N13" i="4"/>
  <c r="M13" i="4"/>
  <c r="L13" i="4"/>
  <c r="K13" i="4"/>
  <c r="J13" i="4"/>
  <c r="I13" i="4"/>
  <c r="AE13" i="4" s="1"/>
  <c r="H13" i="4"/>
  <c r="G13" i="4"/>
  <c r="F13" i="4"/>
  <c r="E13" i="4"/>
  <c r="D13" i="4"/>
  <c r="AI75" i="3"/>
  <c r="AH75" i="3"/>
  <c r="AG75" i="3"/>
  <c r="AF75" i="3"/>
  <c r="AE75" i="3"/>
  <c r="L23" i="11"/>
  <c r="L22" i="11"/>
  <c r="G26" i="11"/>
  <c r="L25" i="11"/>
  <c r="G25" i="11"/>
  <c r="L19" i="11"/>
  <c r="L21" i="11"/>
  <c r="G19" i="11"/>
  <c r="G18" i="11"/>
  <c r="L17" i="11"/>
  <c r="G17" i="11"/>
  <c r="L8" i="11"/>
  <c r="L7" i="11"/>
  <c r="L6" i="11"/>
  <c r="P5" i="11"/>
  <c r="C3" i="11"/>
  <c r="E110" i="8"/>
  <c r="D110" i="8"/>
  <c r="E109" i="8"/>
  <c r="D5" i="11"/>
  <c r="D109" i="8"/>
  <c r="N27" i="4"/>
  <c r="M27" i="4"/>
  <c r="L27" i="4"/>
  <c r="K27" i="4"/>
  <c r="J27" i="4"/>
  <c r="I27" i="4"/>
  <c r="AE27" i="4" s="1"/>
  <c r="H27" i="4"/>
  <c r="G27" i="4"/>
  <c r="F27" i="4"/>
  <c r="E27" i="4"/>
  <c r="N26" i="4"/>
  <c r="M26" i="4"/>
  <c r="L26" i="4"/>
  <c r="K26" i="4"/>
  <c r="J26" i="4"/>
  <c r="I26" i="4"/>
  <c r="H26" i="4"/>
  <c r="G26" i="4"/>
  <c r="F26" i="4"/>
  <c r="E26" i="4"/>
  <c r="N24" i="4"/>
  <c r="M24" i="4"/>
  <c r="L24" i="4"/>
  <c r="K24" i="4"/>
  <c r="J24" i="4"/>
  <c r="I24" i="4"/>
  <c r="AE24" i="4" s="1"/>
  <c r="H24" i="4"/>
  <c r="G24" i="4"/>
  <c r="F24" i="4"/>
  <c r="E24" i="4"/>
  <c r="N23" i="4"/>
  <c r="M23" i="4"/>
  <c r="L23" i="4"/>
  <c r="K23" i="4"/>
  <c r="J23" i="4"/>
  <c r="I23" i="4"/>
  <c r="AE23" i="4" s="1"/>
  <c r="H23" i="4"/>
  <c r="G23" i="4"/>
  <c r="F23" i="4"/>
  <c r="E23" i="4"/>
  <c r="D27" i="4"/>
  <c r="D26" i="4"/>
  <c r="D24" i="4"/>
  <c r="D23" i="4"/>
  <c r="N18" i="4"/>
  <c r="M18" i="4"/>
  <c r="L18" i="4"/>
  <c r="K18" i="4"/>
  <c r="J18" i="4"/>
  <c r="I18" i="4"/>
  <c r="AE18" i="4" s="1"/>
  <c r="H18" i="4"/>
  <c r="G18" i="4"/>
  <c r="F18" i="4"/>
  <c r="E18" i="4"/>
  <c r="D18" i="4"/>
  <c r="N16" i="4"/>
  <c r="M16" i="4"/>
  <c r="L16" i="4"/>
  <c r="K16" i="4"/>
  <c r="J16" i="4"/>
  <c r="I16" i="4"/>
  <c r="AE16" i="4" s="1"/>
  <c r="H16" i="4"/>
  <c r="G16" i="4"/>
  <c r="F16" i="4"/>
  <c r="E16" i="4"/>
  <c r="D16" i="4"/>
  <c r="N15" i="4"/>
  <c r="M15" i="4"/>
  <c r="L15" i="4"/>
  <c r="K15" i="4"/>
  <c r="J15" i="4"/>
  <c r="I15" i="4"/>
  <c r="AE15" i="4" s="1"/>
  <c r="H15" i="4"/>
  <c r="G15" i="4"/>
  <c r="F15" i="4"/>
  <c r="E15" i="4"/>
  <c r="D15" i="4"/>
  <c r="N14" i="4"/>
  <c r="M14" i="4"/>
  <c r="L14" i="4"/>
  <c r="K14" i="4"/>
  <c r="J14" i="4"/>
  <c r="I14" i="4"/>
  <c r="AE14" i="4" s="1"/>
  <c r="H14" i="4"/>
  <c r="G14" i="4"/>
  <c r="F14" i="4"/>
  <c r="E14" i="4"/>
  <c r="D14" i="4"/>
  <c r="N11" i="4"/>
  <c r="M11" i="4"/>
  <c r="L11" i="4"/>
  <c r="K11" i="4"/>
  <c r="J11" i="4"/>
  <c r="I11" i="4"/>
  <c r="AE11" i="4" s="1"/>
  <c r="H11" i="4"/>
  <c r="G11" i="4"/>
  <c r="F11" i="4"/>
  <c r="E11" i="4"/>
  <c r="N10" i="4"/>
  <c r="M10" i="4"/>
  <c r="L10" i="4"/>
  <c r="K10" i="4"/>
  <c r="J10" i="4"/>
  <c r="I10" i="4"/>
  <c r="AE10" i="4" s="1"/>
  <c r="H10" i="4"/>
  <c r="G10" i="4"/>
  <c r="F10" i="4"/>
  <c r="E10" i="4"/>
  <c r="D11" i="4"/>
  <c r="D10" i="4"/>
  <c r="N19" i="4"/>
  <c r="M19" i="4"/>
  <c r="M28" i="4" s="1"/>
  <c r="L19" i="4"/>
  <c r="L28" i="4" s="1"/>
  <c r="K19" i="4"/>
  <c r="K28" i="4" s="1"/>
  <c r="J19" i="4"/>
  <c r="I19" i="4"/>
  <c r="AE19" i="4" s="1"/>
  <c r="Q9" i="11" s="1"/>
  <c r="H19" i="4"/>
  <c r="H28" i="4" s="1"/>
  <c r="G19" i="4"/>
  <c r="G28" i="4" s="1"/>
  <c r="F19" i="4"/>
  <c r="F28" i="4" s="1"/>
  <c r="E19" i="4"/>
  <c r="D19" i="4"/>
  <c r="D28" i="4" s="1"/>
  <c r="N8" i="4"/>
  <c r="M8" i="4"/>
  <c r="L8" i="4"/>
  <c r="K8" i="4"/>
  <c r="J8" i="4"/>
  <c r="H8" i="4"/>
  <c r="G8" i="4"/>
  <c r="F8" i="4"/>
  <c r="E8" i="4"/>
  <c r="D8" i="4"/>
  <c r="N7" i="4"/>
  <c r="M7" i="4"/>
  <c r="L7" i="4"/>
  <c r="K7" i="4"/>
  <c r="J7" i="4"/>
  <c r="I7" i="4"/>
  <c r="AE7" i="4"/>
  <c r="H7" i="4"/>
  <c r="G7" i="4"/>
  <c r="F7" i="4"/>
  <c r="E7" i="4"/>
  <c r="D7" i="4"/>
  <c r="N6" i="4"/>
  <c r="M6" i="4"/>
  <c r="L6" i="4"/>
  <c r="K6" i="4"/>
  <c r="J6" i="4"/>
  <c r="I6" i="4"/>
  <c r="H6" i="4"/>
  <c r="G6" i="4"/>
  <c r="F6" i="4"/>
  <c r="E6" i="4"/>
  <c r="D6" i="4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AH69" i="3"/>
  <c r="AG69" i="3"/>
  <c r="AF69" i="3"/>
  <c r="AE69" i="3"/>
  <c r="AD69" i="3"/>
  <c r="AH63" i="3"/>
  <c r="AG63" i="3"/>
  <c r="AF63" i="3"/>
  <c r="AE63" i="3"/>
  <c r="AD63" i="3"/>
  <c r="AH58" i="3"/>
  <c r="AG58" i="3"/>
  <c r="AF58" i="3"/>
  <c r="AE58" i="3"/>
  <c r="AD58" i="3"/>
  <c r="AH52" i="3"/>
  <c r="AH72" i="3"/>
  <c r="AG52" i="3"/>
  <c r="AG72" i="3"/>
  <c r="AF52" i="3"/>
  <c r="AF72" i="3"/>
  <c r="AE52" i="3"/>
  <c r="AE72" i="3"/>
  <c r="AD52" i="3"/>
  <c r="AD72" i="3"/>
  <c r="AH47" i="3"/>
  <c r="AG47" i="3"/>
  <c r="AF47" i="3"/>
  <c r="AE47" i="3"/>
  <c r="AD47" i="3"/>
  <c r="I8" i="4"/>
  <c r="AE8" i="4" s="1"/>
  <c r="AH38" i="3"/>
  <c r="AG38" i="3"/>
  <c r="AF38" i="3"/>
  <c r="AE38" i="3"/>
  <c r="AD38" i="3"/>
  <c r="AH18" i="3"/>
  <c r="AG18" i="3"/>
  <c r="AF18" i="3"/>
  <c r="AE18" i="3"/>
  <c r="AE73" i="3"/>
  <c r="AD18" i="3"/>
  <c r="N28" i="4"/>
  <c r="AF73" i="3"/>
  <c r="AG73" i="3"/>
  <c r="AD73" i="3"/>
  <c r="AH73" i="3"/>
  <c r="AA13" i="2"/>
  <c r="AA14" i="2"/>
  <c r="AA9" i="2"/>
  <c r="C25" i="11"/>
  <c r="AA8" i="2"/>
  <c r="AA21" i="2"/>
  <c r="M16" i="2"/>
  <c r="L16" i="2"/>
  <c r="K16" i="2"/>
  <c r="I16" i="2"/>
  <c r="H16" i="2"/>
  <c r="G16" i="2"/>
  <c r="F16" i="2"/>
  <c r="E16" i="2"/>
  <c r="D16" i="2"/>
  <c r="C16" i="2"/>
  <c r="AA4" i="2"/>
  <c r="AA3" i="2"/>
  <c r="M11" i="2"/>
  <c r="L11" i="2"/>
  <c r="K11" i="2"/>
  <c r="I11" i="2"/>
  <c r="H11" i="2"/>
  <c r="G11" i="2"/>
  <c r="F11" i="2"/>
  <c r="E11" i="2"/>
  <c r="D11" i="2"/>
  <c r="C11" i="2"/>
  <c r="M6" i="2"/>
  <c r="L6" i="2"/>
  <c r="J6" i="2"/>
  <c r="I6" i="2"/>
  <c r="H6" i="2"/>
  <c r="G6" i="2"/>
  <c r="F6" i="2"/>
  <c r="E6" i="2"/>
  <c r="D6" i="2"/>
  <c r="C6" i="2"/>
  <c r="M15" i="2"/>
  <c r="H11" i="1" s="1"/>
  <c r="L15" i="2"/>
  <c r="K15" i="2"/>
  <c r="J15" i="2"/>
  <c r="I15" i="2"/>
  <c r="H15" i="2"/>
  <c r="G15" i="2"/>
  <c r="F15" i="2"/>
  <c r="E15" i="2"/>
  <c r="D15" i="2"/>
  <c r="C15" i="2"/>
  <c r="M10" i="2"/>
  <c r="H10" i="1" s="1"/>
  <c r="L10" i="2"/>
  <c r="K10" i="2"/>
  <c r="I10" i="2"/>
  <c r="H10" i="2"/>
  <c r="G10" i="2"/>
  <c r="F10" i="2"/>
  <c r="E10" i="2"/>
  <c r="D10" i="2"/>
  <c r="C10" i="2"/>
  <c r="M5" i="2"/>
  <c r="H9" i="1" s="1"/>
  <c r="L5" i="2"/>
  <c r="G9" i="1" s="1"/>
  <c r="J5" i="2"/>
  <c r="E9" i="1"/>
  <c r="I5" i="2"/>
  <c r="D9" i="1" s="1"/>
  <c r="H5" i="2"/>
  <c r="C9" i="1" s="1"/>
  <c r="G5" i="2"/>
  <c r="B9" i="1" s="1"/>
  <c r="F5" i="2"/>
  <c r="E5" i="2"/>
  <c r="D5" i="2"/>
  <c r="C5" i="2"/>
  <c r="F19" i="2"/>
  <c r="F25" i="2"/>
  <c r="F18" i="2"/>
  <c r="E19" i="2"/>
  <c r="E25" i="2"/>
  <c r="E18" i="2"/>
  <c r="D19" i="2"/>
  <c r="D18" i="2"/>
  <c r="D24" i="2"/>
  <c r="K4" i="2"/>
  <c r="K19" i="2"/>
  <c r="K18" i="2"/>
  <c r="K24" i="2"/>
  <c r="J22" i="2"/>
  <c r="J9" i="2"/>
  <c r="D25" i="11"/>
  <c r="J19" i="2"/>
  <c r="J18" i="2"/>
  <c r="J24" i="2"/>
  <c r="I19" i="2"/>
  <c r="I25" i="2"/>
  <c r="I18" i="2"/>
  <c r="H19" i="2"/>
  <c r="H25" i="2"/>
  <c r="Q11" i="11" s="1"/>
  <c r="H18" i="2"/>
  <c r="H24" i="2"/>
  <c r="H27" i="2" s="1"/>
  <c r="G19" i="2"/>
  <c r="G22" i="2"/>
  <c r="AA22" i="2"/>
  <c r="G18" i="2"/>
  <c r="C19" i="2"/>
  <c r="C25" i="2"/>
  <c r="C18" i="2"/>
  <c r="C24" i="2"/>
  <c r="L46" i="2"/>
  <c r="K46" i="2"/>
  <c r="J46" i="2"/>
  <c r="J49" i="2"/>
  <c r="I46" i="2"/>
  <c r="H46" i="2"/>
  <c r="G46" i="2"/>
  <c r="F46" i="2"/>
  <c r="E46" i="2"/>
  <c r="D46" i="2"/>
  <c r="C46" i="2"/>
  <c r="M46" i="2"/>
  <c r="L38" i="2"/>
  <c r="K38" i="2"/>
  <c r="I38" i="2"/>
  <c r="H38" i="2"/>
  <c r="G38" i="2"/>
  <c r="F38" i="2"/>
  <c r="E38" i="2"/>
  <c r="D38" i="2"/>
  <c r="C38" i="2"/>
  <c r="L30" i="2"/>
  <c r="J30" i="2"/>
  <c r="I30" i="2"/>
  <c r="H30" i="2"/>
  <c r="G30" i="2"/>
  <c r="F30" i="2"/>
  <c r="E30" i="2"/>
  <c r="D30" i="2"/>
  <c r="C30" i="2"/>
  <c r="L22" i="2"/>
  <c r="L19" i="2"/>
  <c r="L18" i="2"/>
  <c r="L24" i="2"/>
  <c r="D25" i="2"/>
  <c r="D27" i="2" s="1"/>
  <c r="G24" i="2"/>
  <c r="F24" i="2"/>
  <c r="F26" i="2" s="1"/>
  <c r="E24" i="2"/>
  <c r="M24" i="2"/>
  <c r="M19" i="2"/>
  <c r="M25" i="2"/>
  <c r="R11" i="11" s="1"/>
  <c r="M18" i="2"/>
  <c r="M38" i="2"/>
  <c r="M30" i="2"/>
  <c r="AA5" i="2"/>
  <c r="C19" i="11"/>
  <c r="K30" i="2"/>
  <c r="K25" i="2"/>
  <c r="C26" i="11"/>
  <c r="AA38" i="2"/>
  <c r="AB5" i="2"/>
  <c r="D19" i="11"/>
  <c r="D24" i="11"/>
  <c r="AE52" i="2"/>
  <c r="D15" i="11"/>
  <c r="J16" i="2"/>
  <c r="J10" i="2"/>
  <c r="AD36" i="2"/>
  <c r="C11" i="11"/>
  <c r="C9" i="11"/>
  <c r="AD31" i="2"/>
  <c r="C10" i="11"/>
  <c r="C8" i="11"/>
  <c r="G25" i="2"/>
  <c r="G27" i="2" s="1"/>
  <c r="AE44" i="2"/>
  <c r="D13" i="11"/>
  <c r="AE39" i="2"/>
  <c r="D12" i="11"/>
  <c r="AA18" i="2"/>
  <c r="I24" i="2"/>
  <c r="AA30" i="2"/>
  <c r="K5" i="2"/>
  <c r="F9" i="1" s="1"/>
  <c r="K6" i="2"/>
  <c r="AB15" i="2"/>
  <c r="D21" i="11"/>
  <c r="AA19" i="2"/>
  <c r="AA10" i="2"/>
  <c r="C20" i="11"/>
  <c r="J11" i="2"/>
  <c r="AD39" i="2"/>
  <c r="C12" i="11"/>
  <c r="AD44" i="2"/>
  <c r="C13" i="11"/>
  <c r="AE47" i="2"/>
  <c r="D14" i="11"/>
  <c r="AE36" i="2"/>
  <c r="D11" i="11"/>
  <c r="D10" i="11"/>
  <c r="C24" i="11"/>
  <c r="AD52" i="2"/>
  <c r="C15" i="11"/>
  <c r="AD47" i="2"/>
  <c r="C14" i="11"/>
  <c r="J38" i="2"/>
  <c r="AA46" i="2"/>
  <c r="J25" i="2"/>
  <c r="AA15" i="2"/>
  <c r="C21" i="11"/>
  <c r="AB10" i="2"/>
  <c r="D20" i="11"/>
  <c r="L25" i="2"/>
  <c r="D26" i="11"/>
  <c r="R26" i="2" l="1"/>
  <c r="M8" i="1" s="1"/>
  <c r="AC25" i="2"/>
  <c r="V11" i="11"/>
  <c r="AC18" i="4"/>
  <c r="AB13" i="4"/>
  <c r="O28" i="4"/>
  <c r="AF28" i="4" s="1"/>
  <c r="V6" i="11"/>
  <c r="V8" i="11"/>
  <c r="N27" i="2"/>
  <c r="E27" i="2"/>
  <c r="Q27" i="2"/>
  <c r="J35" i="11"/>
  <c r="H62" i="8"/>
  <c r="F96" i="8"/>
  <c r="J34" i="11"/>
  <c r="O109" i="8"/>
  <c r="Q36" i="8"/>
  <c r="Q26" i="2"/>
  <c r="L8" i="1" s="1"/>
  <c r="S27" i="2"/>
  <c r="G26" i="2"/>
  <c r="B8" i="1" s="1"/>
  <c r="T26" i="2"/>
  <c r="O8" i="1" s="1"/>
  <c r="H4" i="4"/>
  <c r="N4" i="4"/>
  <c r="V7" i="11"/>
  <c r="R22" i="4"/>
  <c r="V4" i="4"/>
  <c r="AC7" i="4"/>
  <c r="J36" i="11"/>
  <c r="D70" i="8"/>
  <c r="Q75" i="8"/>
  <c r="G110" i="8"/>
  <c r="I1213" i="13"/>
  <c r="N122" i="8"/>
  <c r="Q127" i="8"/>
  <c r="G126" i="8"/>
  <c r="V126" i="8" s="1"/>
  <c r="I333" i="13"/>
  <c r="I477" i="13"/>
  <c r="L99" i="8"/>
  <c r="L101" i="8" s="1"/>
  <c r="I767" i="13"/>
  <c r="K64" i="8"/>
  <c r="D653" i="13"/>
  <c r="K68" i="8" s="1"/>
  <c r="I802" i="13"/>
  <c r="I801" i="13"/>
  <c r="I809" i="13"/>
  <c r="N81" i="8"/>
  <c r="N90" i="8"/>
  <c r="I878" i="13"/>
  <c r="I1082" i="13"/>
  <c r="E129" i="8"/>
  <c r="D160" i="13"/>
  <c r="D161" i="13" s="1"/>
  <c r="E456" i="13"/>
  <c r="I456" i="13" s="1"/>
  <c r="C464" i="13"/>
  <c r="I47" i="8" s="1"/>
  <c r="K91" i="8"/>
  <c r="G672" i="13"/>
  <c r="D761" i="13"/>
  <c r="L90" i="8"/>
  <c r="L108" i="8"/>
  <c r="L110" i="8" s="1"/>
  <c r="G767" i="13"/>
  <c r="N100" i="8"/>
  <c r="I950" i="13"/>
  <c r="G955" i="13"/>
  <c r="N117" i="8"/>
  <c r="O78" i="8"/>
  <c r="G1027" i="13"/>
  <c r="G1028" i="13" s="1"/>
  <c r="O87" i="8"/>
  <c r="O88" i="8" s="1"/>
  <c r="I1038" i="13"/>
  <c r="P56" i="8"/>
  <c r="P58" i="8" s="1"/>
  <c r="G1101" i="13"/>
  <c r="I1207" i="13"/>
  <c r="Q61" i="8"/>
  <c r="Q62" i="8" s="1"/>
  <c r="Q91" i="8"/>
  <c r="G1226" i="13"/>
  <c r="Q95" i="8" s="1"/>
  <c r="I1233" i="13"/>
  <c r="Q100" i="8"/>
  <c r="Q101" i="8" s="1"/>
  <c r="Q117" i="8"/>
  <c r="G1238" i="13"/>
  <c r="Q121" i="8" s="1"/>
  <c r="G82" i="13"/>
  <c r="G275" i="13"/>
  <c r="G43" i="8" s="1"/>
  <c r="G45" i="8" s="1"/>
  <c r="I327" i="13"/>
  <c r="F191" i="13"/>
  <c r="E145" i="8"/>
  <c r="V145" i="8" s="1"/>
  <c r="Z145" i="8" s="1"/>
  <c r="G333" i="13"/>
  <c r="I61" i="13"/>
  <c r="I101" i="13"/>
  <c r="I184" i="13"/>
  <c r="I342" i="13"/>
  <c r="I380" i="13"/>
  <c r="I39" i="8"/>
  <c r="G450" i="13"/>
  <c r="I495" i="13"/>
  <c r="I120" i="8"/>
  <c r="I122" i="8" s="1"/>
  <c r="D506" i="13"/>
  <c r="D511" i="13"/>
  <c r="I129" i="8"/>
  <c r="G663" i="13"/>
  <c r="K117" i="8"/>
  <c r="K61" i="8"/>
  <c r="K62" i="8" s="1"/>
  <c r="I654" i="13"/>
  <c r="D662" i="13"/>
  <c r="K77" i="8"/>
  <c r="I680" i="13"/>
  <c r="D868" i="13"/>
  <c r="M129" i="8"/>
  <c r="E800" i="13"/>
  <c r="C807" i="13"/>
  <c r="M34" i="8" s="1"/>
  <c r="G856" i="13"/>
  <c r="H855" i="13"/>
  <c r="I855" i="13" s="1"/>
  <c r="P104" i="8"/>
  <c r="P110" i="8" s="1"/>
  <c r="G1138" i="13"/>
  <c r="C1101" i="13"/>
  <c r="I1101" i="13" s="1"/>
  <c r="E1092" i="13"/>
  <c r="I1092" i="13" s="1"/>
  <c r="C1099" i="13"/>
  <c r="P47" i="8" s="1"/>
  <c r="P49" i="8" s="1"/>
  <c r="D1206" i="13"/>
  <c r="Q68" i="8" s="1"/>
  <c r="Q64" i="8"/>
  <c r="I1227" i="13"/>
  <c r="Q86" i="8"/>
  <c r="Q88" i="8" s="1"/>
  <c r="G1244" i="13"/>
  <c r="Q130" i="8"/>
  <c r="D363" i="13"/>
  <c r="G276" i="13"/>
  <c r="G362" i="13"/>
  <c r="I16" i="13"/>
  <c r="H180" i="13"/>
  <c r="I180" i="13" s="1"/>
  <c r="G83" i="8"/>
  <c r="I55" i="13"/>
  <c r="E8" i="8"/>
  <c r="E29" i="8" s="1"/>
  <c r="D100" i="13"/>
  <c r="F109" i="8"/>
  <c r="F74" i="8"/>
  <c r="F75" i="8" s="1"/>
  <c r="D362" i="13"/>
  <c r="H42" i="8" s="1"/>
  <c r="H44" i="8" s="1"/>
  <c r="I18" i="13"/>
  <c r="I276" i="13"/>
  <c r="I82" i="13"/>
  <c r="G52" i="8"/>
  <c r="E68" i="8"/>
  <c r="E70" i="8" s="1"/>
  <c r="D75" i="13"/>
  <c r="G56" i="8"/>
  <c r="I20" i="13"/>
  <c r="I45" i="13"/>
  <c r="I60" i="13"/>
  <c r="F110" i="13"/>
  <c r="D223" i="13"/>
  <c r="F134" i="8"/>
  <c r="F136" i="8" s="1"/>
  <c r="G246" i="13"/>
  <c r="I256" i="13"/>
  <c r="G8" i="8"/>
  <c r="G29" i="8" s="1"/>
  <c r="L87" i="8"/>
  <c r="I762" i="13"/>
  <c r="N77" i="8"/>
  <c r="G925" i="13"/>
  <c r="N69" i="8"/>
  <c r="N71" i="8" s="1"/>
  <c r="D882" i="13"/>
  <c r="D884" i="13" s="1"/>
  <c r="N12" i="8" s="1"/>
  <c r="N17" i="8"/>
  <c r="G977" i="13"/>
  <c r="O9" i="8"/>
  <c r="G990" i="13"/>
  <c r="I5" i="13"/>
  <c r="I47" i="13"/>
  <c r="I67" i="13"/>
  <c r="I78" i="13"/>
  <c r="C122" i="13"/>
  <c r="I133" i="13"/>
  <c r="I141" i="13"/>
  <c r="I168" i="13"/>
  <c r="H281" i="13"/>
  <c r="I281" i="13" s="1"/>
  <c r="I310" i="13"/>
  <c r="H17" i="8"/>
  <c r="V17" i="8" s="1"/>
  <c r="I387" i="13"/>
  <c r="I400" i="13"/>
  <c r="I417" i="13"/>
  <c r="E52" i="8"/>
  <c r="G476" i="13"/>
  <c r="I439" i="13"/>
  <c r="I488" i="13"/>
  <c r="K69" i="8"/>
  <c r="K71" i="8" s="1"/>
  <c r="D743" i="13"/>
  <c r="I773" i="13"/>
  <c r="C574" i="13"/>
  <c r="E570" i="13"/>
  <c r="H533" i="13"/>
  <c r="H708" i="13"/>
  <c r="G705" i="13"/>
  <c r="I864" i="13"/>
  <c r="N74" i="8"/>
  <c r="N75" i="8" s="1"/>
  <c r="I934" i="13"/>
  <c r="G943" i="13"/>
  <c r="N91" i="8"/>
  <c r="I927" i="13"/>
  <c r="I1020" i="13"/>
  <c r="I1022" i="13"/>
  <c r="O90" i="8"/>
  <c r="I1106" i="13"/>
  <c r="I1113" i="13"/>
  <c r="D1121" i="13"/>
  <c r="D1131" i="13"/>
  <c r="P94" i="8" s="1"/>
  <c r="P90" i="8"/>
  <c r="D1150" i="13"/>
  <c r="P133" i="8"/>
  <c r="P135" i="8" s="1"/>
  <c r="P65" i="8"/>
  <c r="D1178" i="13"/>
  <c r="Q42" i="8" s="1"/>
  <c r="Q38" i="8"/>
  <c r="R44" i="8" s="1"/>
  <c r="I1186" i="13"/>
  <c r="Q49" i="8"/>
  <c r="I113" i="13"/>
  <c r="I179" i="13"/>
  <c r="I253" i="13"/>
  <c r="I364" i="13"/>
  <c r="I429" i="13"/>
  <c r="I486" i="13"/>
  <c r="L52" i="8"/>
  <c r="G730" i="13"/>
  <c r="L56" i="8" s="1"/>
  <c r="G538" i="13"/>
  <c r="F743" i="13"/>
  <c r="H740" i="13"/>
  <c r="M13" i="8"/>
  <c r="G795" i="13"/>
  <c r="D794" i="13"/>
  <c r="M12" i="8" s="1"/>
  <c r="D795" i="13"/>
  <c r="I836" i="13"/>
  <c r="I844" i="13"/>
  <c r="D962" i="13"/>
  <c r="N133" i="8"/>
  <c r="N135" i="8" s="1"/>
  <c r="N126" i="8"/>
  <c r="N127" i="8" s="1"/>
  <c r="I962" i="13"/>
  <c r="F911" i="13"/>
  <c r="N48" i="8" s="1"/>
  <c r="N49" i="8" s="1"/>
  <c r="H910" i="13"/>
  <c r="I910" i="13" s="1"/>
  <c r="N78" i="8"/>
  <c r="G933" i="13"/>
  <c r="G1084" i="13"/>
  <c r="P43" i="8" s="1"/>
  <c r="P45" i="8" s="1"/>
  <c r="G1085" i="13"/>
  <c r="D1165" i="13"/>
  <c r="Q12" i="8" s="1"/>
  <c r="Q8" i="8"/>
  <c r="D1194" i="13"/>
  <c r="Q55" i="8" s="1"/>
  <c r="Q51" i="8"/>
  <c r="I658" i="13"/>
  <c r="I666" i="13"/>
  <c r="I710" i="13"/>
  <c r="I838" i="13"/>
  <c r="I937" i="13"/>
  <c r="I880" i="13"/>
  <c r="I889" i="13"/>
  <c r="I922" i="13"/>
  <c r="I1011" i="13"/>
  <c r="I1004" i="13"/>
  <c r="I1015" i="13"/>
  <c r="I1041" i="13"/>
  <c r="G1050" i="13"/>
  <c r="I998" i="13"/>
  <c r="I1033" i="13"/>
  <c r="I1075" i="13"/>
  <c r="I1105" i="13"/>
  <c r="I1135" i="13"/>
  <c r="G1144" i="13"/>
  <c r="I1104" i="13"/>
  <c r="I1140" i="13"/>
  <c r="G1178" i="13"/>
  <c r="Q43" i="8" s="1"/>
  <c r="Q39" i="8"/>
  <c r="R45" i="8" s="1"/>
  <c r="I1180" i="13"/>
  <c r="I1192" i="13"/>
  <c r="Q65" i="8"/>
  <c r="G1206" i="13"/>
  <c r="Q69" i="8" s="1"/>
  <c r="I566" i="13"/>
  <c r="I601" i="13"/>
  <c r="I774" i="13"/>
  <c r="C540" i="13"/>
  <c r="H547" i="13"/>
  <c r="I547" i="13" s="1"/>
  <c r="E634" i="13"/>
  <c r="I631" i="13"/>
  <c r="I686" i="13"/>
  <c r="I697" i="13"/>
  <c r="I797" i="13"/>
  <c r="E820" i="13"/>
  <c r="I811" i="13"/>
  <c r="I835" i="13"/>
  <c r="I921" i="13"/>
  <c r="F898" i="13"/>
  <c r="I936" i="13"/>
  <c r="I1031" i="13"/>
  <c r="I1062" i="13"/>
  <c r="I1072" i="13"/>
  <c r="I1086" i="13"/>
  <c r="I1110" i="13"/>
  <c r="I1125" i="13"/>
  <c r="I1128" i="13"/>
  <c r="I1122" i="13"/>
  <c r="G1165" i="13"/>
  <c r="Q9" i="8"/>
  <c r="G1194" i="13"/>
  <c r="Q52" i="8"/>
  <c r="D1245" i="13"/>
  <c r="D1244" i="13"/>
  <c r="Q133" i="8" s="1"/>
  <c r="Q129" i="8"/>
  <c r="D127" i="8"/>
  <c r="F114" i="8"/>
  <c r="D101" i="8"/>
  <c r="V152" i="8"/>
  <c r="Z152" i="8" s="1"/>
  <c r="L109" i="8"/>
  <c r="I928" i="13"/>
  <c r="I754" i="13"/>
  <c r="I370" i="13"/>
  <c r="I392" i="13"/>
  <c r="I970" i="13"/>
  <c r="I972" i="13"/>
  <c r="I1115" i="13"/>
  <c r="I1119" i="13"/>
  <c r="K36" i="11"/>
  <c r="K8" i="11"/>
  <c r="E27" i="8"/>
  <c r="J136" i="8"/>
  <c r="J114" i="8"/>
  <c r="K114" i="8"/>
  <c r="E26" i="2"/>
  <c r="O27" i="2"/>
  <c r="T27" i="2"/>
  <c r="D26" i="2"/>
  <c r="K26" i="2"/>
  <c r="F8" i="1" s="1"/>
  <c r="AB24" i="2"/>
  <c r="O26" i="2"/>
  <c r="J8" i="1" s="1"/>
  <c r="L27" i="2"/>
  <c r="L26" i="2"/>
  <c r="G8" i="1" s="1"/>
  <c r="I27" i="2"/>
  <c r="AB8" i="4"/>
  <c r="P28" i="4"/>
  <c r="V9" i="11"/>
  <c r="U4" i="4"/>
  <c r="AC10" i="4"/>
  <c r="AB11" i="4"/>
  <c r="AC11" i="4"/>
  <c r="AB14" i="4"/>
  <c r="T8" i="11" s="1"/>
  <c r="M4" i="4"/>
  <c r="AB16" i="4"/>
  <c r="AC16" i="4"/>
  <c r="D22" i="4"/>
  <c r="AB27" i="4"/>
  <c r="R6" i="11"/>
  <c r="F28" i="8"/>
  <c r="H6" i="8"/>
  <c r="H57" i="8"/>
  <c r="I29" i="13"/>
  <c r="E127" i="8"/>
  <c r="E464" i="13"/>
  <c r="I1208" i="13"/>
  <c r="I368" i="13"/>
  <c r="K45" i="8"/>
  <c r="I576" i="13"/>
  <c r="I123" i="8"/>
  <c r="F6" i="8"/>
  <c r="I277" i="13"/>
  <c r="E83" i="8"/>
  <c r="I111" i="13"/>
  <c r="E289" i="13"/>
  <c r="I1001" i="13"/>
  <c r="I1116" i="13"/>
  <c r="I1118" i="13"/>
  <c r="H135" i="8"/>
  <c r="I452" i="13"/>
  <c r="E731" i="13"/>
  <c r="O49" i="8"/>
  <c r="I1066" i="13"/>
  <c r="I1096" i="13"/>
  <c r="I1210" i="13"/>
  <c r="D29" i="8"/>
  <c r="I34" i="13"/>
  <c r="I193" i="13"/>
  <c r="G62" i="8"/>
  <c r="G109" i="8"/>
  <c r="V148" i="8"/>
  <c r="Z148" i="8" s="1"/>
  <c r="V150" i="8"/>
  <c r="Z150" i="8" s="1"/>
  <c r="V151" i="8"/>
  <c r="Z151" i="8" s="1"/>
  <c r="I114" i="8"/>
  <c r="J109" i="8"/>
  <c r="L136" i="8"/>
  <c r="O70" i="8"/>
  <c r="P88" i="8"/>
  <c r="I1159" i="13"/>
  <c r="I1161" i="13"/>
  <c r="I1199" i="13"/>
  <c r="H122" i="8"/>
  <c r="I196" i="13"/>
  <c r="H58" i="8"/>
  <c r="E96" i="8"/>
  <c r="I114" i="13"/>
  <c r="I192" i="13"/>
  <c r="I634" i="13"/>
  <c r="I651" i="13"/>
  <c r="L49" i="8"/>
  <c r="L123" i="8"/>
  <c r="M84" i="8"/>
  <c r="I1063" i="13"/>
  <c r="I1065" i="13"/>
  <c r="I1202" i="13"/>
  <c r="E91" i="8"/>
  <c r="G145" i="13"/>
  <c r="E95" i="8" s="1"/>
  <c r="G48" i="8"/>
  <c r="G49" i="8" s="1"/>
  <c r="I289" i="13"/>
  <c r="H48" i="8"/>
  <c r="H49" i="8" s="1"/>
  <c r="I376" i="13"/>
  <c r="G75" i="8"/>
  <c r="D6" i="8"/>
  <c r="G264" i="13"/>
  <c r="G9" i="8"/>
  <c r="G30" i="8" s="1"/>
  <c r="I301" i="13"/>
  <c r="H140" i="8"/>
  <c r="H153" i="8" s="1"/>
  <c r="F363" i="13"/>
  <c r="H352" i="13"/>
  <c r="I352" i="13" s="1"/>
  <c r="I396" i="13"/>
  <c r="H74" i="8"/>
  <c r="H75" i="8" s="1"/>
  <c r="I673" i="13"/>
  <c r="K86" i="8"/>
  <c r="K88" i="8" s="1"/>
  <c r="C863" i="13"/>
  <c r="M112" i="8" s="1"/>
  <c r="E859" i="13"/>
  <c r="F832" i="13"/>
  <c r="H821" i="13"/>
  <c r="I821" i="13" s="1"/>
  <c r="I309" i="13"/>
  <c r="G35" i="8"/>
  <c r="G36" i="8" s="1"/>
  <c r="G49" i="13"/>
  <c r="D69" i="8" s="1"/>
  <c r="G40" i="13"/>
  <c r="D56" i="8"/>
  <c r="D58" i="8" s="1"/>
  <c r="C58" i="13"/>
  <c r="D73" i="8" s="1"/>
  <c r="D75" i="8" s="1"/>
  <c r="E51" i="13"/>
  <c r="E45" i="8"/>
  <c r="E130" i="8"/>
  <c r="G160" i="13"/>
  <c r="D204" i="13"/>
  <c r="F51" i="8"/>
  <c r="V51" i="8" s="1"/>
  <c r="F127" i="8"/>
  <c r="I318" i="13"/>
  <c r="G86" i="8"/>
  <c r="G88" i="8" s="1"/>
  <c r="H28" i="8"/>
  <c r="D595" i="13"/>
  <c r="J120" i="8"/>
  <c r="G742" i="13"/>
  <c r="L69" i="8" s="1"/>
  <c r="L65" i="8"/>
  <c r="I745" i="13"/>
  <c r="I748" i="13"/>
  <c r="D538" i="13"/>
  <c r="E529" i="13"/>
  <c r="M48" i="8"/>
  <c r="M49" i="8" s="1"/>
  <c r="I820" i="13"/>
  <c r="D944" i="13"/>
  <c r="N94" i="8"/>
  <c r="D1215" i="13"/>
  <c r="D28" i="8"/>
  <c r="E69" i="8"/>
  <c r="E71" i="8" s="1"/>
  <c r="G121" i="8"/>
  <c r="G123" i="8" s="1"/>
  <c r="F215" i="13"/>
  <c r="E127" i="13"/>
  <c r="E38" i="8"/>
  <c r="E44" i="8" s="1"/>
  <c r="D276" i="13"/>
  <c r="E5" i="8"/>
  <c r="E6" i="8" s="1"/>
  <c r="I100" i="13"/>
  <c r="G415" i="13"/>
  <c r="E84" i="8"/>
  <c r="I246" i="13"/>
  <c r="C28" i="13"/>
  <c r="D34" i="8" s="1"/>
  <c r="V34" i="8" s="1"/>
  <c r="I28" i="13"/>
  <c r="D35" i="8"/>
  <c r="V55" i="8"/>
  <c r="E43" i="13"/>
  <c r="I43" i="13" s="1"/>
  <c r="C50" i="13"/>
  <c r="I51" i="13"/>
  <c r="G66" i="13"/>
  <c r="D95" i="8" s="1"/>
  <c r="D97" i="8" s="1"/>
  <c r="D117" i="8"/>
  <c r="G75" i="13"/>
  <c r="I77" i="13"/>
  <c r="D82" i="13"/>
  <c r="D133" i="8"/>
  <c r="D135" i="8" s="1"/>
  <c r="G122" i="13"/>
  <c r="E56" i="8"/>
  <c r="E117" i="8"/>
  <c r="G154" i="13"/>
  <c r="D176" i="13"/>
  <c r="I204" i="13"/>
  <c r="F48" i="8"/>
  <c r="F49" i="8" s="1"/>
  <c r="G204" i="13"/>
  <c r="F56" i="8"/>
  <c r="F58" i="8" s="1"/>
  <c r="I231" i="13"/>
  <c r="D239" i="13"/>
  <c r="G300" i="13"/>
  <c r="G69" i="8"/>
  <c r="G71" i="8" s="1"/>
  <c r="I302" i="13"/>
  <c r="I343" i="13"/>
  <c r="G351" i="13"/>
  <c r="D386" i="13"/>
  <c r="H68" i="8" s="1"/>
  <c r="H70" i="8" s="1"/>
  <c r="I402" i="13"/>
  <c r="G405" i="13"/>
  <c r="G406" i="13" s="1"/>
  <c r="H114" i="8"/>
  <c r="G422" i="13"/>
  <c r="H127" i="8"/>
  <c r="V146" i="8"/>
  <c r="Z146" i="8" s="1"/>
  <c r="I5" i="8"/>
  <c r="I6" i="8" s="1"/>
  <c r="H443" i="13"/>
  <c r="I443" i="13" s="1"/>
  <c r="F451" i="13"/>
  <c r="F464" i="13"/>
  <c r="H460" i="13"/>
  <c r="I460" i="13" s="1"/>
  <c r="I485" i="13"/>
  <c r="I74" i="8"/>
  <c r="I75" i="8" s="1"/>
  <c r="I91" i="8"/>
  <c r="G494" i="13"/>
  <c r="I125" i="8"/>
  <c r="V125" i="8" s="1"/>
  <c r="I512" i="13"/>
  <c r="I130" i="8"/>
  <c r="G511" i="13"/>
  <c r="K122" i="8"/>
  <c r="C528" i="13"/>
  <c r="G684" i="13"/>
  <c r="K121" i="8"/>
  <c r="K48" i="8"/>
  <c r="K49" i="8" s="1"/>
  <c r="L39" i="8"/>
  <c r="G717" i="13"/>
  <c r="L43" i="8" s="1"/>
  <c r="C663" i="13"/>
  <c r="E659" i="13"/>
  <c r="I659" i="13" s="1"/>
  <c r="L38" i="8"/>
  <c r="D717" i="13"/>
  <c r="L42" i="8" s="1"/>
  <c r="D718" i="13"/>
  <c r="L21" i="8"/>
  <c r="C706" i="13"/>
  <c r="E698" i="13"/>
  <c r="I698" i="13" s="1"/>
  <c r="M28" i="8"/>
  <c r="N22" i="8"/>
  <c r="F885" i="13"/>
  <c r="H877" i="13"/>
  <c r="I877" i="13" s="1"/>
  <c r="F923" i="13"/>
  <c r="N61" i="8" s="1"/>
  <c r="N62" i="8" s="1"/>
  <c r="F925" i="13"/>
  <c r="I925" i="13" s="1"/>
  <c r="H917" i="13"/>
  <c r="I917" i="13" s="1"/>
  <c r="H988" i="13"/>
  <c r="I988" i="13" s="1"/>
  <c r="I1144" i="13"/>
  <c r="P112" i="8"/>
  <c r="P114" i="8" s="1"/>
  <c r="F39" i="8"/>
  <c r="G190" i="13"/>
  <c r="F43" i="8" s="1"/>
  <c r="C146" i="13"/>
  <c r="E139" i="13"/>
  <c r="I139" i="13" s="1"/>
  <c r="G240" i="13"/>
  <c r="F121" i="8"/>
  <c r="F123" i="8" s="1"/>
  <c r="G317" i="13"/>
  <c r="G91" i="8"/>
  <c r="H77" i="8"/>
  <c r="H83" i="8" s="1"/>
  <c r="G584" i="13"/>
  <c r="J95" i="8"/>
  <c r="I529" i="13"/>
  <c r="G539" i="13"/>
  <c r="J43" i="8" s="1"/>
  <c r="J39" i="8"/>
  <c r="K107" i="8"/>
  <c r="K103" i="8"/>
  <c r="D689" i="13"/>
  <c r="K129" i="8"/>
  <c r="L125" i="8"/>
  <c r="L127" i="8" s="1"/>
  <c r="I779" i="13"/>
  <c r="D376" i="13"/>
  <c r="G58" i="13"/>
  <c r="D82" i="8"/>
  <c r="D84" i="8" s="1"/>
  <c r="E120" i="8"/>
  <c r="E122" i="8" s="1"/>
  <c r="D155" i="13"/>
  <c r="I44" i="13"/>
  <c r="I103" i="13"/>
  <c r="I212" i="13"/>
  <c r="G222" i="13"/>
  <c r="F78" i="8"/>
  <c r="G133" i="8"/>
  <c r="G135" i="8" s="1"/>
  <c r="D333" i="13"/>
  <c r="I90" i="8"/>
  <c r="D494" i="13"/>
  <c r="D495" i="13" s="1"/>
  <c r="I94" i="8" s="1"/>
  <c r="D525" i="13"/>
  <c r="J17" i="8"/>
  <c r="G689" i="13"/>
  <c r="K130" i="8"/>
  <c r="D88" i="8"/>
  <c r="I422" i="13"/>
  <c r="G231" i="13"/>
  <c r="F95" i="8"/>
  <c r="F97" i="8" s="1"/>
  <c r="D15" i="8"/>
  <c r="D16" i="13"/>
  <c r="D39" i="8"/>
  <c r="G28" i="13"/>
  <c r="E33" i="13"/>
  <c r="I33" i="13" s="1"/>
  <c r="C40" i="13"/>
  <c r="D47" i="8" s="1"/>
  <c r="D48" i="8"/>
  <c r="D57" i="13"/>
  <c r="E73" i="13"/>
  <c r="I73" i="13" s="1"/>
  <c r="C76" i="13"/>
  <c r="D112" i="8" s="1"/>
  <c r="D114" i="8" s="1"/>
  <c r="D136" i="8"/>
  <c r="I130" i="13"/>
  <c r="G146" i="13"/>
  <c r="H142" i="13"/>
  <c r="I142" i="13" s="1"/>
  <c r="G215" i="13"/>
  <c r="D246" i="13"/>
  <c r="F129" i="8"/>
  <c r="I264" i="13"/>
  <c r="G5" i="8"/>
  <c r="G6" i="8" s="1"/>
  <c r="G144" i="8"/>
  <c r="G153" i="8" s="1"/>
  <c r="H268" i="13"/>
  <c r="I268" i="13" s="1"/>
  <c r="D289" i="13"/>
  <c r="D317" i="13"/>
  <c r="G94" i="8" s="1"/>
  <c r="G90" i="8"/>
  <c r="G387" i="13"/>
  <c r="H69" i="8"/>
  <c r="H71" i="8" s="1"/>
  <c r="H136" i="8"/>
  <c r="D451" i="13"/>
  <c r="I38" i="8"/>
  <c r="I44" i="8" s="1"/>
  <c r="K94" i="8"/>
  <c r="K96" i="8" s="1"/>
  <c r="D673" i="13"/>
  <c r="G552" i="13"/>
  <c r="K4" i="8"/>
  <c r="K6" i="8" s="1"/>
  <c r="D600" i="13"/>
  <c r="J129" i="8"/>
  <c r="K15" i="8"/>
  <c r="E607" i="13"/>
  <c r="I607" i="13" s="1"/>
  <c r="K51" i="8"/>
  <c r="K57" i="8" s="1"/>
  <c r="D642" i="13"/>
  <c r="I690" i="13"/>
  <c r="K126" i="8"/>
  <c r="K127" i="8" s="1"/>
  <c r="L133" i="8"/>
  <c r="L135" i="8" s="1"/>
  <c r="D779" i="13"/>
  <c r="G731" i="13"/>
  <c r="D751" i="13"/>
  <c r="L77" i="8"/>
  <c r="E787" i="13"/>
  <c r="I787" i="13" s="1"/>
  <c r="M21" i="8"/>
  <c r="C795" i="13"/>
  <c r="M4" i="8" s="1"/>
  <c r="G885" i="13"/>
  <c r="N13" i="8"/>
  <c r="E887" i="13"/>
  <c r="I887" i="13" s="1"/>
  <c r="D896" i="13"/>
  <c r="O134" i="8"/>
  <c r="O136" i="8" s="1"/>
  <c r="G1056" i="13"/>
  <c r="O43" i="8"/>
  <c r="O45" i="8" s="1"/>
  <c r="G991" i="13"/>
  <c r="E983" i="13"/>
  <c r="C991" i="13"/>
  <c r="O34" i="8" s="1"/>
  <c r="E1024" i="13"/>
  <c r="I1024" i="13" s="1"/>
  <c r="C1028" i="13"/>
  <c r="O35" i="8"/>
  <c r="O82" i="8"/>
  <c r="P38" i="8"/>
  <c r="D1084" i="13"/>
  <c r="P42" i="8" s="1"/>
  <c r="D1085" i="13"/>
  <c r="P35" i="8"/>
  <c r="G1132" i="13"/>
  <c r="P95" i="8"/>
  <c r="P97" i="8" s="1"/>
  <c r="P116" i="8"/>
  <c r="D1143" i="13"/>
  <c r="D9" i="8"/>
  <c r="H89" i="13"/>
  <c r="I89" i="13" s="1"/>
  <c r="D38" i="8"/>
  <c r="D44" i="8" s="1"/>
  <c r="E122" i="13"/>
  <c r="D191" i="13"/>
  <c r="I198" i="13"/>
  <c r="F64" i="8"/>
  <c r="F70" i="8" s="1"/>
  <c r="H265" i="13"/>
  <c r="I265" i="13" s="1"/>
  <c r="G122" i="8"/>
  <c r="H101" i="8"/>
  <c r="I500" i="13"/>
  <c r="I78" i="8"/>
  <c r="G484" i="13"/>
  <c r="I584" i="13"/>
  <c r="D654" i="13"/>
  <c r="I570" i="13"/>
  <c r="J125" i="8"/>
  <c r="K35" i="8"/>
  <c r="K36" i="8" s="1"/>
  <c r="I629" i="13"/>
  <c r="G642" i="13"/>
  <c r="K56" i="8"/>
  <c r="K58" i="8" s="1"/>
  <c r="I665" i="13"/>
  <c r="I752" i="13"/>
  <c r="I731" i="13"/>
  <c r="L114" i="8"/>
  <c r="D706" i="13"/>
  <c r="L5" i="8"/>
  <c r="I706" i="13"/>
  <c r="L75" i="8"/>
  <c r="E577" i="13"/>
  <c r="I577" i="13" s="1"/>
  <c r="D581" i="13"/>
  <c r="M95" i="8"/>
  <c r="M97" i="8" s="1"/>
  <c r="G851" i="13"/>
  <c r="M130" i="8"/>
  <c r="M136" i="8" s="1"/>
  <c r="D819" i="13"/>
  <c r="M55" i="8" s="1"/>
  <c r="M57" i="8" s="1"/>
  <c r="D820" i="13"/>
  <c r="M113" i="8"/>
  <c r="I863" i="13"/>
  <c r="D869" i="13"/>
  <c r="M133" i="8"/>
  <c r="M126" i="8"/>
  <c r="M65" i="8"/>
  <c r="G831" i="13"/>
  <c r="N64" i="8"/>
  <c r="N70" i="8" s="1"/>
  <c r="D925" i="13"/>
  <c r="O8" i="8"/>
  <c r="D977" i="13"/>
  <c r="O12" i="8" s="1"/>
  <c r="D978" i="13"/>
  <c r="I978" i="13"/>
  <c r="O4" i="8"/>
  <c r="O6" i="8" s="1"/>
  <c r="O51" i="8"/>
  <c r="D1006" i="13"/>
  <c r="O55" i="8" s="1"/>
  <c r="O120" i="8"/>
  <c r="O122" i="8" s="1"/>
  <c r="D1050" i="13"/>
  <c r="O113" i="8"/>
  <c r="O114" i="8" s="1"/>
  <c r="I1050" i="13"/>
  <c r="I1056" i="13"/>
  <c r="O126" i="8"/>
  <c r="O127" i="8" s="1"/>
  <c r="O15" i="8"/>
  <c r="E968" i="13"/>
  <c r="I968" i="13" s="1"/>
  <c r="F1019" i="13"/>
  <c r="I1019" i="13" s="1"/>
  <c r="H1016" i="13"/>
  <c r="I1016" i="13" s="1"/>
  <c r="F1017" i="13"/>
  <c r="O61" i="8" s="1"/>
  <c r="O62" i="8" s="1"/>
  <c r="G70" i="8"/>
  <c r="H88" i="8"/>
  <c r="D66" i="13"/>
  <c r="D94" i="8" s="1"/>
  <c r="I116" i="13"/>
  <c r="E204" i="13"/>
  <c r="G44" i="8"/>
  <c r="D485" i="13"/>
  <c r="I81" i="8"/>
  <c r="I83" i="8" s="1"/>
  <c r="I110" i="8"/>
  <c r="J21" i="8"/>
  <c r="E520" i="13"/>
  <c r="I520" i="13" s="1"/>
  <c r="G629" i="13"/>
  <c r="L57" i="8"/>
  <c r="E544" i="13"/>
  <c r="E553" i="13" s="1"/>
  <c r="C553" i="13"/>
  <c r="C589" i="13"/>
  <c r="E586" i="13"/>
  <c r="I586" i="13" s="1"/>
  <c r="M81" i="8"/>
  <c r="M83" i="8" s="1"/>
  <c r="D841" i="13"/>
  <c r="M88" i="8"/>
  <c r="M52" i="8"/>
  <c r="G819" i="13"/>
  <c r="M99" i="8"/>
  <c r="M101" i="8" s="1"/>
  <c r="I857" i="13"/>
  <c r="H800" i="13"/>
  <c r="F807" i="13"/>
  <c r="H27" i="8"/>
  <c r="F30" i="8"/>
  <c r="E57" i="8"/>
  <c r="F83" i="8"/>
  <c r="H95" i="8"/>
  <c r="H97" i="8" s="1"/>
  <c r="G101" i="8"/>
  <c r="D476" i="13"/>
  <c r="G565" i="13"/>
  <c r="F718" i="13"/>
  <c r="I718" i="13" s="1"/>
  <c r="E740" i="13"/>
  <c r="I531" i="13"/>
  <c r="L22" i="8"/>
  <c r="I841" i="13"/>
  <c r="M74" i="8"/>
  <c r="M75" i="8" s="1"/>
  <c r="M39" i="8"/>
  <c r="M45" i="8" s="1"/>
  <c r="G807" i="13"/>
  <c r="I823" i="13"/>
  <c r="G898" i="13"/>
  <c r="N43" i="8"/>
  <c r="N45" i="8" s="1"/>
  <c r="N51" i="8"/>
  <c r="D912" i="13"/>
  <c r="N55" i="8" s="1"/>
  <c r="D913" i="13"/>
  <c r="I973" i="13"/>
  <c r="D1019" i="13"/>
  <c r="O104" i="8"/>
  <c r="G1037" i="13"/>
  <c r="O91" i="8"/>
  <c r="O129" i="8"/>
  <c r="D1055" i="13"/>
  <c r="D1112" i="13"/>
  <c r="P68" i="8" s="1"/>
  <c r="P70" i="8" s="1"/>
  <c r="H1114" i="13"/>
  <c r="I1114" i="13" s="1"/>
  <c r="P78" i="8"/>
  <c r="G1121" i="13"/>
  <c r="I1138" i="13"/>
  <c r="P99" i="8"/>
  <c r="P101" i="8" s="1"/>
  <c r="P74" i="8"/>
  <c r="P75" i="8" s="1"/>
  <c r="I723" i="13"/>
  <c r="J77" i="8"/>
  <c r="D574" i="13"/>
  <c r="I533" i="13"/>
  <c r="L78" i="8"/>
  <c r="G751" i="13"/>
  <c r="M123" i="8"/>
  <c r="M38" i="8"/>
  <c r="M44" i="8" s="1"/>
  <c r="D807" i="13"/>
  <c r="M64" i="8"/>
  <c r="D831" i="13"/>
  <c r="M68" i="8" s="1"/>
  <c r="D832" i="13"/>
  <c r="M22" i="8"/>
  <c r="F795" i="13"/>
  <c r="N88" i="8"/>
  <c r="N134" i="8"/>
  <c r="N136" i="8" s="1"/>
  <c r="G962" i="13"/>
  <c r="N8" i="8"/>
  <c r="D885" i="13"/>
  <c r="E1074" i="13"/>
  <c r="I1074" i="13" s="1"/>
  <c r="C1085" i="13"/>
  <c r="P34" i="8" s="1"/>
  <c r="I815" i="13"/>
  <c r="O38" i="8"/>
  <c r="O44" i="8" s="1"/>
  <c r="D991" i="13"/>
  <c r="I971" i="13"/>
  <c r="O77" i="8"/>
  <c r="D1027" i="13"/>
  <c r="O123" i="8"/>
  <c r="G1150" i="13"/>
  <c r="P134" i="8"/>
  <c r="P136" i="8" s="1"/>
  <c r="G1071" i="13"/>
  <c r="P57" i="8"/>
  <c r="I1166" i="13"/>
  <c r="I1198" i="13"/>
  <c r="I1219" i="13"/>
  <c r="I747" i="13"/>
  <c r="I558" i="13"/>
  <c r="N109" i="8"/>
  <c r="E875" i="13"/>
  <c r="I875" i="13" s="1"/>
  <c r="N52" i="8"/>
  <c r="G912" i="13"/>
  <c r="D1038" i="13"/>
  <c r="O94" i="8"/>
  <c r="I983" i="13"/>
  <c r="D1072" i="13"/>
  <c r="I1108" i="13"/>
  <c r="I1117" i="13"/>
  <c r="D1132" i="13"/>
  <c r="P69" i="8"/>
  <c r="G1113" i="13"/>
  <c r="P5" i="8"/>
  <c r="P6" i="8" s="1"/>
  <c r="G1006" i="13"/>
  <c r="I1064" i="13"/>
  <c r="D1138" i="13"/>
  <c r="I1211" i="13"/>
  <c r="I1216" i="13"/>
  <c r="I1218" i="13"/>
  <c r="I1223" i="13"/>
  <c r="I1107" i="13"/>
  <c r="I1171" i="13"/>
  <c r="I1201" i="13"/>
  <c r="D1226" i="13"/>
  <c r="D1238" i="13"/>
  <c r="H94" i="8"/>
  <c r="H96" i="8" s="1"/>
  <c r="F101" i="8"/>
  <c r="E114" i="8"/>
  <c r="V116" i="8"/>
  <c r="V87" i="8"/>
  <c r="D153" i="8"/>
  <c r="E30" i="8"/>
  <c r="V107" i="8"/>
  <c r="L70" i="8"/>
  <c r="J57" i="8"/>
  <c r="E75" i="8"/>
  <c r="H84" i="8"/>
  <c r="I58" i="8"/>
  <c r="I109" i="8"/>
  <c r="J88" i="8"/>
  <c r="N110" i="8"/>
  <c r="P62" i="8"/>
  <c r="G84" i="8"/>
  <c r="G136" i="8"/>
  <c r="D57" i="8"/>
  <c r="F110" i="8"/>
  <c r="V4" i="8"/>
  <c r="I71" i="8"/>
  <c r="I88" i="8"/>
  <c r="K101" i="8"/>
  <c r="K84" i="8"/>
  <c r="F71" i="8"/>
  <c r="V10" i="8"/>
  <c r="V11" i="8"/>
  <c r="V12" i="8"/>
  <c r="V13" i="8"/>
  <c r="G27" i="8"/>
  <c r="V21" i="8"/>
  <c r="V22" i="8"/>
  <c r="V23" i="8"/>
  <c r="V24" i="8"/>
  <c r="J7" i="11" s="1"/>
  <c r="H30" i="8"/>
  <c r="F44" i="8"/>
  <c r="G57" i="8"/>
  <c r="F88" i="8"/>
  <c r="V100" i="8"/>
  <c r="V103" i="8"/>
  <c r="V104" i="8"/>
  <c r="G114" i="8"/>
  <c r="V142" i="8"/>
  <c r="Z142" i="8" s="1"/>
  <c r="K44" i="8"/>
  <c r="J71" i="8"/>
  <c r="J110" i="8"/>
  <c r="M122" i="8"/>
  <c r="O71" i="8"/>
  <c r="I1245" i="13"/>
  <c r="I1235" i="13"/>
  <c r="I1231" i="13"/>
  <c r="G1215" i="13"/>
  <c r="I1212" i="13"/>
  <c r="I1209" i="13"/>
  <c r="I1203" i="13"/>
  <c r="G1207" i="13"/>
  <c r="I1200" i="13"/>
  <c r="I1190" i="13"/>
  <c r="I1195" i="13"/>
  <c r="I1170" i="13"/>
  <c r="I1168" i="13"/>
  <c r="G1179" i="13"/>
  <c r="I1179" i="13"/>
  <c r="I1156" i="13"/>
  <c r="I1158" i="13"/>
  <c r="N114" i="8"/>
  <c r="I365" i="13"/>
  <c r="E376" i="13"/>
  <c r="V16" i="8"/>
  <c r="V18" i="8"/>
  <c r="J6" i="11" s="1"/>
  <c r="M96" i="8"/>
  <c r="E62" i="8"/>
  <c r="V143" i="8"/>
  <c r="L97" i="8"/>
  <c r="F27" i="8"/>
  <c r="E101" i="8"/>
  <c r="V65" i="8"/>
  <c r="J19" i="11" s="1"/>
  <c r="F153" i="8"/>
  <c r="I101" i="8"/>
  <c r="V99" i="8"/>
  <c r="I30" i="13"/>
  <c r="V113" i="8"/>
  <c r="J123" i="8"/>
  <c r="O101" i="8"/>
  <c r="J62" i="8"/>
  <c r="M109" i="8"/>
  <c r="I969" i="13"/>
  <c r="I1160" i="13"/>
  <c r="I62" i="8"/>
  <c r="J84" i="8"/>
  <c r="V108" i="8"/>
  <c r="I57" i="8"/>
  <c r="I70" i="8"/>
  <c r="K110" i="8"/>
  <c r="I633" i="13"/>
  <c r="E642" i="13"/>
  <c r="L122" i="8"/>
  <c r="J70" i="8"/>
  <c r="I725" i="13"/>
  <c r="P123" i="8"/>
  <c r="I1157" i="13"/>
  <c r="I1189" i="13"/>
  <c r="D1207" i="13"/>
  <c r="D1195" i="13"/>
  <c r="D1179" i="13"/>
  <c r="U27" i="2"/>
  <c r="S26" i="2"/>
  <c r="N8" i="1" s="1"/>
  <c r="AA25" i="2"/>
  <c r="M26" i="2"/>
  <c r="H8" i="1" s="1"/>
  <c r="M27" i="2"/>
  <c r="F27" i="2"/>
  <c r="P26" i="2"/>
  <c r="K8" i="1" s="1"/>
  <c r="U26" i="2"/>
  <c r="P8" i="1" s="1"/>
  <c r="E5" i="11" s="1"/>
  <c r="U11" i="11"/>
  <c r="AA24" i="2"/>
  <c r="H26" i="2"/>
  <c r="C8" i="1" s="1"/>
  <c r="C4" i="11" s="1"/>
  <c r="C5" i="11" s="1"/>
  <c r="AB25" i="2"/>
  <c r="AB27" i="2" s="1"/>
  <c r="D23" i="11" s="1"/>
  <c r="C26" i="2"/>
  <c r="P27" i="2"/>
  <c r="I26" i="2"/>
  <c r="D8" i="1" s="1"/>
  <c r="J27" i="2"/>
  <c r="J26" i="2"/>
  <c r="E8" i="1" s="1"/>
  <c r="C27" i="2"/>
  <c r="T11" i="11"/>
  <c r="K27" i="2"/>
  <c r="R27" i="2"/>
  <c r="Q22" i="4"/>
  <c r="M22" i="4"/>
  <c r="I4" i="4"/>
  <c r="K4" i="4"/>
  <c r="AB10" i="4"/>
  <c r="AC13" i="4"/>
  <c r="R4" i="4"/>
  <c r="R21" i="4" s="1"/>
  <c r="I28" i="4"/>
  <c r="AE28" i="4" s="1"/>
  <c r="AC14" i="4"/>
  <c r="K22" i="4"/>
  <c r="Q4" i="4"/>
  <c r="S4" i="4"/>
  <c r="T4" i="4"/>
  <c r="V22" i="4"/>
  <c r="F4" i="4"/>
  <c r="G4" i="4"/>
  <c r="Q6" i="11"/>
  <c r="AC27" i="4"/>
  <c r="AB17" i="4"/>
  <c r="AC17" i="4"/>
  <c r="AB25" i="4"/>
  <c r="AC25" i="4"/>
  <c r="O4" i="4"/>
  <c r="T22" i="4"/>
  <c r="U22" i="4"/>
  <c r="Q7" i="11"/>
  <c r="Q8" i="11"/>
  <c r="R7" i="11"/>
  <c r="J28" i="4"/>
  <c r="AC28" i="4" s="1"/>
  <c r="AC19" i="4"/>
  <c r="U9" i="11" s="1"/>
  <c r="AB15" i="4"/>
  <c r="AC15" i="4"/>
  <c r="AE26" i="4"/>
  <c r="AE22" i="4" s="1"/>
  <c r="R5" i="11"/>
  <c r="AF4" i="4"/>
  <c r="R4" i="11" s="1"/>
  <c r="R12" i="11" s="1"/>
  <c r="O22" i="4"/>
  <c r="AF23" i="4"/>
  <c r="AF22" i="4" s="1"/>
  <c r="S22" i="4"/>
  <c r="E28" i="4"/>
  <c r="AB28" i="4" s="1"/>
  <c r="AB19" i="4"/>
  <c r="T9" i="11" s="1"/>
  <c r="F22" i="4"/>
  <c r="AB23" i="4"/>
  <c r="AC23" i="4"/>
  <c r="N22" i="4"/>
  <c r="N21" i="4" s="1"/>
  <c r="H22" i="4"/>
  <c r="H21" i="4" s="1"/>
  <c r="AB24" i="4"/>
  <c r="AC24" i="4"/>
  <c r="L22" i="4"/>
  <c r="AC26" i="4"/>
  <c r="U8" i="11"/>
  <c r="D4" i="4"/>
  <c r="AB6" i="4"/>
  <c r="AC6" i="4"/>
  <c r="L4" i="4"/>
  <c r="E4" i="4"/>
  <c r="AB7" i="4"/>
  <c r="AC8" i="4"/>
  <c r="J4" i="4"/>
  <c r="AB18" i="4"/>
  <c r="AB26" i="4"/>
  <c r="G22" i="4"/>
  <c r="G21" i="4" s="1"/>
  <c r="P4" i="4"/>
  <c r="AE6" i="4"/>
  <c r="T21" i="4" l="1"/>
  <c r="AA26" i="2"/>
  <c r="C18" i="11" s="1"/>
  <c r="V21" i="4"/>
  <c r="V78" i="8"/>
  <c r="J21" i="11" s="1"/>
  <c r="D27" i="8"/>
  <c r="V27" i="8" s="1"/>
  <c r="V15" i="8"/>
  <c r="H6" i="11" s="1"/>
  <c r="J46" i="11"/>
  <c r="AA64" i="8"/>
  <c r="AA24" i="8"/>
  <c r="J51" i="11"/>
  <c r="AA116" i="8"/>
  <c r="P22" i="4"/>
  <c r="T6" i="11"/>
  <c r="M21" i="4"/>
  <c r="U6" i="11"/>
  <c r="AA23" i="8"/>
  <c r="G58" i="8"/>
  <c r="Q70" i="8"/>
  <c r="E153" i="8"/>
  <c r="V42" i="8"/>
  <c r="J45" i="11"/>
  <c r="Q123" i="8"/>
  <c r="Q97" i="8"/>
  <c r="L58" i="8"/>
  <c r="V52" i="8"/>
  <c r="J18" i="11" s="1"/>
  <c r="O84" i="8"/>
  <c r="G127" i="8"/>
  <c r="N101" i="8"/>
  <c r="V9" i="8"/>
  <c r="J5" i="11" s="1"/>
  <c r="E58" i="8"/>
  <c r="K70" i="8"/>
  <c r="N83" i="8"/>
  <c r="Q45" i="8"/>
  <c r="E40" i="13"/>
  <c r="K123" i="8"/>
  <c r="P96" i="8"/>
  <c r="J33" i="11"/>
  <c r="L33" i="11" s="1"/>
  <c r="V129" i="8"/>
  <c r="X129" i="8" s="1"/>
  <c r="Q44" i="8"/>
  <c r="V73" i="8"/>
  <c r="D1216" i="13"/>
  <c r="Q81" i="8"/>
  <c r="Q83" i="8" s="1"/>
  <c r="L88" i="8"/>
  <c r="I540" i="13"/>
  <c r="J34" i="8"/>
  <c r="P81" i="8"/>
  <c r="P83" i="8" s="1"/>
  <c r="D1122" i="13"/>
  <c r="G706" i="13"/>
  <c r="L13" i="8"/>
  <c r="D1227" i="13"/>
  <c r="Q94" i="8"/>
  <c r="Q96" i="8" s="1"/>
  <c r="O96" i="8"/>
  <c r="M135" i="8"/>
  <c r="H29" i="8"/>
  <c r="E133" i="8"/>
  <c r="E135" i="8" s="1"/>
  <c r="N96" i="8"/>
  <c r="J47" i="11"/>
  <c r="Q135" i="8"/>
  <c r="Q56" i="8"/>
  <c r="Q58" i="8" s="1"/>
  <c r="G1195" i="13"/>
  <c r="N35" i="8"/>
  <c r="N36" i="8" s="1"/>
  <c r="I898" i="13"/>
  <c r="Q71" i="8"/>
  <c r="Q57" i="8"/>
  <c r="I743" i="13"/>
  <c r="L61" i="8"/>
  <c r="E47" i="8"/>
  <c r="E49" i="8" s="1"/>
  <c r="I122" i="13"/>
  <c r="I110" i="13"/>
  <c r="E35" i="8"/>
  <c r="E36" i="8" s="1"/>
  <c r="H43" i="8"/>
  <c r="H45" i="8" s="1"/>
  <c r="G363" i="13"/>
  <c r="Q134" i="8"/>
  <c r="Q136" i="8" s="1"/>
  <c r="G1245" i="13"/>
  <c r="G857" i="13"/>
  <c r="M104" i="8" s="1"/>
  <c r="M108" i="8"/>
  <c r="G1239" i="13"/>
  <c r="G1216" i="13"/>
  <c r="Q82" i="8"/>
  <c r="Q84" i="8" s="1"/>
  <c r="G1166" i="13"/>
  <c r="Q13" i="8"/>
  <c r="F35" i="8"/>
  <c r="F36" i="8" s="1"/>
  <c r="I191" i="13"/>
  <c r="K95" i="8"/>
  <c r="K97" i="8" s="1"/>
  <c r="G673" i="13"/>
  <c r="D1239" i="13"/>
  <c r="Q120" i="8"/>
  <c r="Q122" i="8" s="1"/>
  <c r="I800" i="13"/>
  <c r="I58" i="13"/>
  <c r="N95" i="8"/>
  <c r="N97" i="8" s="1"/>
  <c r="G944" i="13"/>
  <c r="J73" i="8"/>
  <c r="I574" i="13"/>
  <c r="O13" i="8"/>
  <c r="G978" i="13"/>
  <c r="K81" i="8"/>
  <c r="D663" i="13"/>
  <c r="G956" i="13"/>
  <c r="N121" i="8"/>
  <c r="N123" i="8" s="1"/>
  <c r="D1166" i="13"/>
  <c r="P71" i="8"/>
  <c r="I740" i="13"/>
  <c r="G718" i="13"/>
  <c r="G934" i="13"/>
  <c r="N82" i="8"/>
  <c r="N84" i="8" s="1"/>
  <c r="D76" i="13"/>
  <c r="D120" i="8"/>
  <c r="D122" i="8" s="1"/>
  <c r="I133" i="8"/>
  <c r="I135" i="8" s="1"/>
  <c r="D512" i="13"/>
  <c r="I43" i="8"/>
  <c r="I45" i="8" s="1"/>
  <c r="G451" i="13"/>
  <c r="G1227" i="13"/>
  <c r="D762" i="13"/>
  <c r="L94" i="8"/>
  <c r="L96" i="8" s="1"/>
  <c r="J49" i="11"/>
  <c r="AA17" i="8"/>
  <c r="V140" i="8"/>
  <c r="Z140" i="8" s="1"/>
  <c r="V64" i="8"/>
  <c r="J122" i="8"/>
  <c r="J53" i="11"/>
  <c r="J83" i="8"/>
  <c r="J97" i="8"/>
  <c r="J127" i="8"/>
  <c r="AA27" i="2"/>
  <c r="C23" i="11" s="1"/>
  <c r="AB26" i="2"/>
  <c r="D18" i="11" s="1"/>
  <c r="J22" i="4"/>
  <c r="J21" i="4" s="1"/>
  <c r="S21" i="4"/>
  <c r="F21" i="4"/>
  <c r="T7" i="11"/>
  <c r="U21" i="4"/>
  <c r="K21" i="4"/>
  <c r="D21" i="4"/>
  <c r="I22" i="4"/>
  <c r="I21" i="4" s="1"/>
  <c r="Q21" i="4"/>
  <c r="F135" i="8"/>
  <c r="V144" i="8"/>
  <c r="Z144" i="8" s="1"/>
  <c r="V56" i="8"/>
  <c r="V94" i="8"/>
  <c r="D36" i="8"/>
  <c r="D49" i="8"/>
  <c r="D96" i="8"/>
  <c r="V39" i="8"/>
  <c r="J17" i="11" s="1"/>
  <c r="V74" i="8"/>
  <c r="X78" i="8" s="1"/>
  <c r="I21" i="11" s="1"/>
  <c r="M21" i="11" s="1"/>
  <c r="I127" i="8"/>
  <c r="X104" i="8"/>
  <c r="I26" i="11" s="1"/>
  <c r="M26" i="11" s="1"/>
  <c r="O57" i="8"/>
  <c r="J45" i="8"/>
  <c r="V130" i="8"/>
  <c r="J23" i="11" s="1"/>
  <c r="V127" i="8"/>
  <c r="H23" i="11" s="1"/>
  <c r="AA29" i="8"/>
  <c r="E28" i="8"/>
  <c r="L45" i="8"/>
  <c r="M70" i="8"/>
  <c r="O36" i="8"/>
  <c r="G96" i="8"/>
  <c r="L44" i="8"/>
  <c r="V91" i="8"/>
  <c r="X91" i="8" s="1"/>
  <c r="G1122" i="13"/>
  <c r="P82" i="8"/>
  <c r="P84" i="8" s="1"/>
  <c r="O95" i="8"/>
  <c r="O97" i="8" s="1"/>
  <c r="G1038" i="13"/>
  <c r="O108" i="8"/>
  <c r="I991" i="13"/>
  <c r="K109" i="8"/>
  <c r="G913" i="13"/>
  <c r="N56" i="8"/>
  <c r="N58" i="8" s="1"/>
  <c r="D1028" i="13"/>
  <c r="O81" i="8"/>
  <c r="O83" i="8" s="1"/>
  <c r="I795" i="13"/>
  <c r="M5" i="8"/>
  <c r="D1056" i="13"/>
  <c r="O133" i="8"/>
  <c r="O135" i="8" s="1"/>
  <c r="I589" i="13"/>
  <c r="J99" i="8"/>
  <c r="I48" i="8"/>
  <c r="I49" i="8" s="1"/>
  <c r="I464" i="13"/>
  <c r="F8" i="8"/>
  <c r="D179" i="13"/>
  <c r="D121" i="8"/>
  <c r="G76" i="13"/>
  <c r="V69" i="8"/>
  <c r="I832" i="13"/>
  <c r="M61" i="8"/>
  <c r="I363" i="13"/>
  <c r="H35" i="8"/>
  <c r="H36" i="8" s="1"/>
  <c r="F57" i="8"/>
  <c r="M114" i="8"/>
  <c r="D45" i="8"/>
  <c r="D30" i="8"/>
  <c r="V30" i="8" s="1"/>
  <c r="J8" i="11" s="1"/>
  <c r="L5" i="11" s="1"/>
  <c r="D71" i="8"/>
  <c r="V38" i="8"/>
  <c r="X38" i="8" s="1"/>
  <c r="F45" i="8"/>
  <c r="N57" i="8"/>
  <c r="J47" i="8"/>
  <c r="I553" i="13"/>
  <c r="D1007" i="13"/>
  <c r="P120" i="8"/>
  <c r="D1144" i="13"/>
  <c r="P36" i="8"/>
  <c r="P44" i="8"/>
  <c r="I1028" i="13"/>
  <c r="O73" i="8"/>
  <c r="O75" i="8" s="1"/>
  <c r="N38" i="8"/>
  <c r="D897" i="13"/>
  <c r="N42" i="8" s="1"/>
  <c r="D752" i="13"/>
  <c r="L81" i="8"/>
  <c r="J133" i="8"/>
  <c r="D601" i="13"/>
  <c r="V112" i="8"/>
  <c r="X116" i="8" s="1"/>
  <c r="D81" i="8"/>
  <c r="D58" i="13"/>
  <c r="D690" i="13"/>
  <c r="K133" i="8"/>
  <c r="K135" i="8" s="1"/>
  <c r="G50" i="13"/>
  <c r="L4" i="8"/>
  <c r="L6" i="8" s="1"/>
  <c r="L34" i="8"/>
  <c r="J4" i="8"/>
  <c r="I528" i="13"/>
  <c r="I35" i="8"/>
  <c r="I36" i="8" s="1"/>
  <c r="I451" i="13"/>
  <c r="F120" i="8"/>
  <c r="D240" i="13"/>
  <c r="E121" i="8"/>
  <c r="E123" i="8" s="1"/>
  <c r="G155" i="13"/>
  <c r="V117" i="8"/>
  <c r="X117" i="8" s="1"/>
  <c r="G161" i="13"/>
  <c r="E134" i="8"/>
  <c r="V68" i="8"/>
  <c r="G485" i="13"/>
  <c r="I82" i="8"/>
  <c r="I84" i="8" s="1"/>
  <c r="D528" i="13"/>
  <c r="J8" i="8"/>
  <c r="F82" i="8"/>
  <c r="G223" i="13"/>
  <c r="G95" i="8"/>
  <c r="G318" i="13"/>
  <c r="I146" i="13"/>
  <c r="E86" i="8"/>
  <c r="K73" i="8"/>
  <c r="I663" i="13"/>
  <c r="G512" i="13"/>
  <c r="I134" i="8"/>
  <c r="I136" i="8" s="1"/>
  <c r="I95" i="8"/>
  <c r="I97" i="8" s="1"/>
  <c r="G495" i="13"/>
  <c r="D540" i="13"/>
  <c r="J38" i="8"/>
  <c r="D387" i="13"/>
  <c r="J26" i="11"/>
  <c r="V77" i="8"/>
  <c r="G1072" i="13"/>
  <c r="P13" i="8"/>
  <c r="G553" i="13"/>
  <c r="J56" i="8"/>
  <c r="K134" i="8"/>
  <c r="G690" i="13"/>
  <c r="I50" i="13"/>
  <c r="D60" i="8"/>
  <c r="G416" i="13"/>
  <c r="H121" i="8"/>
  <c r="H123" i="8" s="1"/>
  <c r="I215" i="13"/>
  <c r="F61" i="8"/>
  <c r="L71" i="8"/>
  <c r="V90" i="8"/>
  <c r="V5" i="8"/>
  <c r="V6" i="8" s="1"/>
  <c r="H5" i="11" s="1"/>
  <c r="X24" i="8"/>
  <c r="Z24" i="8" s="1"/>
  <c r="G28" i="8"/>
  <c r="M127" i="8"/>
  <c r="X23" i="8"/>
  <c r="O56" i="8"/>
  <c r="O58" i="8" s="1"/>
  <c r="G1007" i="13"/>
  <c r="G752" i="13"/>
  <c r="L82" i="8"/>
  <c r="D1113" i="13"/>
  <c r="M35" i="8"/>
  <c r="I807" i="13"/>
  <c r="G820" i="13"/>
  <c r="M56" i="8"/>
  <c r="M58" i="8" s="1"/>
  <c r="G832" i="13"/>
  <c r="M69" i="8"/>
  <c r="D583" i="13"/>
  <c r="J90" i="8"/>
  <c r="I1085" i="13"/>
  <c r="D318" i="13"/>
  <c r="I76" i="13"/>
  <c r="I40" i="13"/>
  <c r="I96" i="8"/>
  <c r="G540" i="13"/>
  <c r="G191" i="13"/>
  <c r="N5" i="8"/>
  <c r="N6" i="8" s="1"/>
  <c r="I885" i="13"/>
  <c r="G743" i="13"/>
  <c r="E97" i="8"/>
  <c r="H7" i="11"/>
  <c r="AA30" i="8"/>
  <c r="H36" i="11"/>
  <c r="AA18" i="8"/>
  <c r="X103" i="8"/>
  <c r="V101" i="8"/>
  <c r="H26" i="11" s="1"/>
  <c r="Z143" i="8"/>
  <c r="X18" i="8"/>
  <c r="AC27" i="2"/>
  <c r="E23" i="11" s="1"/>
  <c r="AC26" i="2"/>
  <c r="E18" i="11" s="1"/>
  <c r="L21" i="4"/>
  <c r="O21" i="4"/>
  <c r="U7" i="11"/>
  <c r="Q14" i="11"/>
  <c r="V5" i="11"/>
  <c r="AD4" i="4"/>
  <c r="V4" i="11" s="1"/>
  <c r="V12" i="11" s="1"/>
  <c r="AE4" i="4"/>
  <c r="Q4" i="11" s="1"/>
  <c r="Q12" i="11" s="1"/>
  <c r="Q5" i="11"/>
  <c r="AB22" i="4"/>
  <c r="R14" i="11"/>
  <c r="AF21" i="4"/>
  <c r="AB4" i="4"/>
  <c r="T4" i="11" s="1"/>
  <c r="T12" i="11" s="1"/>
  <c r="T5" i="11"/>
  <c r="AC22" i="4"/>
  <c r="E22" i="4"/>
  <c r="E21" i="4" s="1"/>
  <c r="U5" i="11"/>
  <c r="AC4" i="4"/>
  <c r="U4" i="11" s="1"/>
  <c r="U12" i="11" s="1"/>
  <c r="P21" i="4" l="1"/>
  <c r="AA104" i="8"/>
  <c r="I54" i="11" s="1"/>
  <c r="M54" i="11" s="1"/>
  <c r="X17" i="8"/>
  <c r="X77" i="8"/>
  <c r="L16" i="11"/>
  <c r="K83" i="8"/>
  <c r="J75" i="8"/>
  <c r="L62" i="8"/>
  <c r="J36" i="8"/>
  <c r="AA129" i="8"/>
  <c r="V133" i="8"/>
  <c r="J54" i="11"/>
  <c r="J50" i="11"/>
  <c r="W88" i="8"/>
  <c r="H53" i="11" s="1"/>
  <c r="H22" i="11"/>
  <c r="AA91" i="8"/>
  <c r="I53" i="11" s="1"/>
  <c r="M53" i="11" s="1"/>
  <c r="M110" i="8"/>
  <c r="V47" i="8"/>
  <c r="X51" i="8" s="1"/>
  <c r="J25" i="11"/>
  <c r="V43" i="8"/>
  <c r="AA52" i="8"/>
  <c r="I46" i="11" s="1"/>
  <c r="M46" i="11" s="1"/>
  <c r="V153" i="8"/>
  <c r="AA140" i="8" s="1"/>
  <c r="W127" i="8"/>
  <c r="H51" i="11" s="1"/>
  <c r="V28" i="8"/>
  <c r="X30" i="8" s="1"/>
  <c r="Z30" i="8" s="1"/>
  <c r="Z104" i="8"/>
  <c r="W114" i="8"/>
  <c r="AA117" i="8"/>
  <c r="AC117" i="8" s="1"/>
  <c r="H34" i="11"/>
  <c r="L44" i="11"/>
  <c r="H35" i="11"/>
  <c r="AA130" i="8"/>
  <c r="AC130" i="8" s="1"/>
  <c r="N44" i="8"/>
  <c r="V75" i="8"/>
  <c r="H21" i="11" s="1"/>
  <c r="I7" i="11"/>
  <c r="M7" i="11" s="1"/>
  <c r="X130" i="8"/>
  <c r="Z130" i="8" s="1"/>
  <c r="AA78" i="8"/>
  <c r="I49" i="11" s="1"/>
  <c r="M49" i="11" s="1"/>
  <c r="V114" i="8"/>
  <c r="V35" i="8"/>
  <c r="V36" i="8" s="1"/>
  <c r="H17" i="11" s="1"/>
  <c r="M71" i="8"/>
  <c r="J135" i="8"/>
  <c r="J101" i="8"/>
  <c r="V120" i="8"/>
  <c r="F122" i="8"/>
  <c r="D83" i="8"/>
  <c r="V81" i="8"/>
  <c r="F29" i="8"/>
  <c r="V29" i="8" s="1"/>
  <c r="X29" i="8" s="1"/>
  <c r="V8" i="8"/>
  <c r="Z78" i="8"/>
  <c r="Z153" i="8"/>
  <c r="K136" i="8"/>
  <c r="K75" i="8"/>
  <c r="G97" i="8"/>
  <c r="V95" i="8"/>
  <c r="L36" i="8"/>
  <c r="J49" i="8"/>
  <c r="V48" i="8"/>
  <c r="O110" i="8"/>
  <c r="AA90" i="8"/>
  <c r="F84" i="8"/>
  <c r="V82" i="8"/>
  <c r="M6" i="8"/>
  <c r="D584" i="13"/>
  <c r="J94" i="8"/>
  <c r="L84" i="8"/>
  <c r="J6" i="8"/>
  <c r="L83" i="8"/>
  <c r="M36" i="8"/>
  <c r="V61" i="8"/>
  <c r="F62" i="8"/>
  <c r="V60" i="8"/>
  <c r="X64" i="8" s="1"/>
  <c r="D62" i="8"/>
  <c r="J58" i="8"/>
  <c r="J44" i="8"/>
  <c r="E88" i="8"/>
  <c r="V86" i="8"/>
  <c r="V88" i="8" s="1"/>
  <c r="H25" i="11" s="1"/>
  <c r="E136" i="8"/>
  <c r="V134" i="8"/>
  <c r="D898" i="13"/>
  <c r="P122" i="8"/>
  <c r="M62" i="8"/>
  <c r="V121" i="8"/>
  <c r="J22" i="11" s="1"/>
  <c r="D123" i="8"/>
  <c r="I34" i="11"/>
  <c r="AC18" i="8"/>
  <c r="Z91" i="8"/>
  <c r="I25" i="11"/>
  <c r="M25" i="11" s="1"/>
  <c r="I36" i="11"/>
  <c r="M36" i="11" s="1"/>
  <c r="AC30" i="8"/>
  <c r="I6" i="11"/>
  <c r="Z18" i="8"/>
  <c r="Z117" i="8"/>
  <c r="I22" i="11"/>
  <c r="M22" i="11" s="1"/>
  <c r="AC24" i="8"/>
  <c r="I35" i="11"/>
  <c r="M35" i="11" s="1"/>
  <c r="V14" i="11"/>
  <c r="AD21" i="4"/>
  <c r="T14" i="11"/>
  <c r="AB21" i="4"/>
  <c r="U14" i="11"/>
  <c r="AC21" i="4"/>
  <c r="AE21" i="4"/>
  <c r="AC104" i="8" l="1"/>
  <c r="AA152" i="8"/>
  <c r="X152" i="8"/>
  <c r="AA148" i="8"/>
  <c r="AC91" i="8"/>
  <c r="AC52" i="8"/>
  <c r="AA144" i="8"/>
  <c r="AA141" i="8"/>
  <c r="X144" i="8"/>
  <c r="X141" i="8"/>
  <c r="AA143" i="8"/>
  <c r="X142" i="8"/>
  <c r="AA150" i="8"/>
  <c r="X145" i="8"/>
  <c r="X151" i="8"/>
  <c r="AA149" i="8"/>
  <c r="Y153" i="8"/>
  <c r="AA153" i="8" s="1"/>
  <c r="X143" i="8"/>
  <c r="X150" i="8"/>
  <c r="X147" i="8"/>
  <c r="AA142" i="8"/>
  <c r="X148" i="8"/>
  <c r="AA147" i="8"/>
  <c r="X153" i="8"/>
  <c r="AA151" i="8"/>
  <c r="X140" i="8"/>
  <c r="X149" i="8"/>
  <c r="X146" i="8"/>
  <c r="AA145" i="8"/>
  <c r="AA146" i="8"/>
  <c r="I51" i="11"/>
  <c r="M51" i="11" s="1"/>
  <c r="I23" i="11"/>
  <c r="M23" i="11" s="1"/>
  <c r="H50" i="11"/>
  <c r="H8" i="11"/>
  <c r="I50" i="11"/>
  <c r="M50" i="11" s="1"/>
  <c r="AC78" i="8"/>
  <c r="AA38" i="8"/>
  <c r="I8" i="11"/>
  <c r="M8" i="11" s="1"/>
  <c r="H16" i="11"/>
  <c r="X39" i="8"/>
  <c r="W6" i="8"/>
  <c r="H33" i="11" s="1"/>
  <c r="X52" i="8"/>
  <c r="V49" i="8"/>
  <c r="H18" i="11" s="1"/>
  <c r="AA77" i="8"/>
  <c r="W75" i="8"/>
  <c r="H49" i="11" s="1"/>
  <c r="AA51" i="8"/>
  <c r="W49" i="8"/>
  <c r="H46" i="11" s="1"/>
  <c r="AA103" i="8"/>
  <c r="W101" i="8"/>
  <c r="H54" i="11" s="1"/>
  <c r="W62" i="8"/>
  <c r="H47" i="11" s="1"/>
  <c r="AA65" i="8"/>
  <c r="X65" i="8"/>
  <c r="V62" i="8"/>
  <c r="H19" i="11" s="1"/>
  <c r="X90" i="8"/>
  <c r="H44" i="11"/>
  <c r="AA39" i="8"/>
  <c r="W36" i="8"/>
  <c r="H45" i="11" s="1"/>
  <c r="J96" i="8"/>
  <c r="M34" i="11"/>
  <c r="I33" i="11"/>
  <c r="M33" i="11" s="1"/>
  <c r="M6" i="11"/>
  <c r="I5" i="11"/>
  <c r="M5" i="11" s="1"/>
  <c r="AB153" i="8" l="1"/>
  <c r="Z39" i="8"/>
  <c r="I17" i="11"/>
  <c r="M17" i="11" s="1"/>
  <c r="I19" i="11"/>
  <c r="M19" i="11" s="1"/>
  <c r="Z65" i="8"/>
  <c r="AC65" i="8"/>
  <c r="I47" i="11"/>
  <c r="M47" i="11" s="1"/>
  <c r="I18" i="11"/>
  <c r="Z52" i="8"/>
  <c r="I45" i="11"/>
  <c r="AC39" i="8"/>
  <c r="I44" i="11" l="1"/>
  <c r="M44" i="11" s="1"/>
  <c r="M45" i="11"/>
  <c r="J44" i="11"/>
  <c r="M18" i="11"/>
  <c r="J16" i="11"/>
  <c r="I16" i="11"/>
  <c r="M16" i="11" s="1"/>
</calcChain>
</file>

<file path=xl/comments1.xml><?xml version="1.0" encoding="utf-8"?>
<comments xmlns="http://schemas.openxmlformats.org/spreadsheetml/2006/main">
  <authors>
    <author>Kiran Menon</author>
  </authors>
  <commentList>
    <comment ref="O32" authorId="0">
      <text>
        <r>
          <rPr>
            <b/>
            <sz val="9"/>
            <color indexed="81"/>
            <rFont val="Tahoma"/>
            <family val="2"/>
          </rPr>
          <t>Kiran Menon:</t>
        </r>
        <r>
          <rPr>
            <sz val="9"/>
            <color indexed="81"/>
            <rFont val="Tahoma"/>
            <family val="2"/>
          </rPr>
          <t xml:space="preserve">
Postponned-1000 MT V1618TA shippment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 xml:space="preserve">Taken shutdown For catalyst /02D25Foundation work 
 02G1A E3 &amp; 02E17  leakage
V18 made towards month end .(270 MT -Deviation)
V1618 TA-1070
</t>
        </r>
      </text>
    </comment>
    <comment ref="Q42" authorId="0">
      <text>
        <r>
          <rPr>
            <sz val="9"/>
            <color indexed="81"/>
            <rFont val="Tahoma"/>
            <family val="2"/>
          </rPr>
          <t xml:space="preserve">
shown in sales
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100 MT in Sales and 60 MT in Procurement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Kiran Menon</author>
  </authors>
  <commentList>
    <comment ref="F89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>Reduced Seed alcohol which was consumed during October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8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4" authorId="0">
      <text>
        <r>
          <rPr>
            <b/>
            <sz val="9"/>
            <color indexed="81"/>
            <rFont val="Tahoma"/>
            <family val="2"/>
          </rPr>
          <t>Reduced Seed alcohol which was consumed during October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3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6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9" authorId="0">
      <text>
        <r>
          <rPr>
            <b/>
            <sz val="9"/>
            <color indexed="81"/>
            <rFont val="Tahoma"/>
            <family val="2"/>
          </rPr>
          <t>Reduced Seed alcohol which was consumed during October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0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1" authorId="0">
      <text>
        <r>
          <rPr>
            <b/>
            <sz val="9"/>
            <color indexed="81"/>
            <rFont val="Tahoma"/>
            <family val="2"/>
          </rPr>
          <t>Seed alcohol not reduced since run is going on</t>
        </r>
        <r>
          <rPr>
            <sz val="9"/>
            <color indexed="81"/>
            <rFont val="Tahoma"/>
            <family val="2"/>
          </rPr>
          <t xml:space="preserve">
Will reduce 167 MT seedalc  in the month of March'16</t>
        </r>
      </text>
    </comment>
    <comment ref="F343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6" authorId="0">
      <text>
        <r>
          <rPr>
            <b/>
            <sz val="9"/>
            <color indexed="81"/>
            <rFont val="Tahoma"/>
            <family val="2"/>
          </rPr>
          <t>Reduced Seed alcohol which was consumed during October end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9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0" authorId="0">
      <text>
        <r>
          <rPr>
            <b/>
            <sz val="9"/>
            <color indexed="81"/>
            <rFont val="Tahoma"/>
            <family val="2"/>
          </rPr>
          <t xml:space="preserve">Seed alcohol not reduced during -FEB '16 PRODUCTION ...so </t>
        </r>
        <r>
          <rPr>
            <sz val="9"/>
            <color indexed="81"/>
            <rFont val="Tahoma"/>
            <family val="2"/>
          </rPr>
          <t xml:space="preserve"> reduced 140 MT seed alc  in the month of March'16</t>
        </r>
      </text>
    </comment>
    <comment ref="F431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8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9" authorId="0">
      <text>
        <r>
          <rPr>
            <b/>
            <sz val="9"/>
            <color indexed="81"/>
            <rFont val="Tahoma"/>
            <family val="2"/>
          </rPr>
          <t xml:space="preserve">Seed alcohol not reduced during -FEB '16 PRODUCTION ...so </t>
        </r>
        <r>
          <rPr>
            <sz val="9"/>
            <color indexed="81"/>
            <rFont val="Tahoma"/>
            <family val="2"/>
          </rPr>
          <t xml:space="preserve"> reduced 140 MT seed alc  in the month of March'16</t>
        </r>
      </text>
    </comment>
    <comment ref="F520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7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8" authorId="0">
      <text>
        <r>
          <rPr>
            <b/>
            <sz val="9"/>
            <color indexed="81"/>
            <rFont val="Tahoma"/>
            <family val="2"/>
          </rPr>
          <t xml:space="preserve">Seed alcohol not reduced during -FEB '16 PRODUCTION ...so </t>
        </r>
        <r>
          <rPr>
            <sz val="9"/>
            <color indexed="81"/>
            <rFont val="Tahoma"/>
            <family val="2"/>
          </rPr>
          <t xml:space="preserve"> reduced 140 MT seed alc  in the month of March'16</t>
        </r>
      </text>
    </comment>
    <comment ref="F609" authorId="0">
      <text>
        <r>
          <rPr>
            <b/>
            <sz val="9"/>
            <color indexed="81"/>
            <rFont val="Tahoma"/>
            <family val="2"/>
          </rPr>
          <t>reduced Seed alcohol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2" authorId="0">
      <text>
        <r>
          <rPr>
            <b/>
            <sz val="9"/>
            <color indexed="81"/>
            <rFont val="Tahoma"/>
            <family val="2"/>
          </rPr>
          <t>C-401-302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02" authorId="0">
      <text>
        <r>
          <rPr>
            <b/>
            <sz val="9"/>
            <color indexed="81"/>
            <rFont val="Tahoma"/>
            <family val="2"/>
          </rPr>
          <t>C302-303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79" authorId="0">
      <text>
        <r>
          <rPr>
            <b/>
            <sz val="9"/>
            <color indexed="81"/>
            <rFont val="Tahoma"/>
            <family val="2"/>
          </rPr>
          <t>Quality not passing
as per specs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<sst xmlns="http://schemas.openxmlformats.org/spreadsheetml/2006/main" count="2475" uniqueCount="484">
  <si>
    <t>Aug'15</t>
  </si>
  <si>
    <t>Sept'15</t>
  </si>
  <si>
    <t>Oct'15</t>
  </si>
  <si>
    <t>Nov'15</t>
  </si>
  <si>
    <t>Dec'15</t>
  </si>
  <si>
    <t>Jan'16</t>
  </si>
  <si>
    <t>Feb'16</t>
  </si>
  <si>
    <t>March’16</t>
  </si>
  <si>
    <t>Confirmed order % at start of the month</t>
  </si>
  <si>
    <t>Fatty Alcohol</t>
  </si>
  <si>
    <t>Fatty Acid</t>
  </si>
  <si>
    <t>Glycerine</t>
  </si>
  <si>
    <t>S&amp;OP Achievement %</t>
  </si>
  <si>
    <t>SNOP</t>
  </si>
  <si>
    <t>Actual</t>
  </si>
  <si>
    <t>Total</t>
  </si>
  <si>
    <t>Deviation</t>
  </si>
  <si>
    <t>Sales</t>
  </si>
  <si>
    <t>Export Logistics</t>
  </si>
  <si>
    <t>Procurement</t>
  </si>
  <si>
    <t>Planning</t>
  </si>
  <si>
    <t>Operations</t>
  </si>
  <si>
    <t>EOU-DTA</t>
  </si>
  <si>
    <t>Pitch</t>
  </si>
  <si>
    <t>Plan (SNOP) v/s Actual</t>
  </si>
  <si>
    <t>Achiev %</t>
  </si>
  <si>
    <t>Apr-Sept'15</t>
  </si>
  <si>
    <t>Achiev % w/o Sales</t>
  </si>
  <si>
    <t>Average Per Month</t>
  </si>
  <si>
    <t>Fig in MT</t>
  </si>
  <si>
    <t>Closing Stock</t>
  </si>
  <si>
    <t>`</t>
  </si>
  <si>
    <t xml:space="preserve">Slow Moving </t>
  </si>
  <si>
    <t>Stock Ageing</t>
  </si>
  <si>
    <t>Qty. in Mt.</t>
  </si>
  <si>
    <t>Alcohol</t>
  </si>
  <si>
    <t>V 12-14</t>
  </si>
  <si>
    <t>V 12-16</t>
  </si>
  <si>
    <t>V 12-18</t>
  </si>
  <si>
    <t>V 16-18 50:50</t>
  </si>
  <si>
    <t>V 16-18 TA</t>
  </si>
  <si>
    <t>V 1698</t>
  </si>
  <si>
    <t>V 1898</t>
  </si>
  <si>
    <t>BA (1822/2270/2280)</t>
  </si>
  <si>
    <t>Pitch - Alcohol</t>
  </si>
  <si>
    <t>E -Wax</t>
  </si>
  <si>
    <t>Others - Alcohol</t>
  </si>
  <si>
    <t>Sub-Total</t>
  </si>
  <si>
    <t>Behenic Acid</t>
  </si>
  <si>
    <t>C1822 R</t>
  </si>
  <si>
    <t>Capric Acid - C10</t>
  </si>
  <si>
    <t>Caproic Acid C6</t>
  </si>
  <si>
    <t xml:space="preserve">Caprylic Acid - C8 </t>
  </si>
  <si>
    <t>Caprylic Capric acid C8 - C10</t>
  </si>
  <si>
    <t>Distilled Grade Stearic acids</t>
  </si>
  <si>
    <t xml:space="preserve">Erucic 45 </t>
  </si>
  <si>
    <t>PALMITIC - F.Acid</t>
  </si>
  <si>
    <t>Erucic Acid</t>
  </si>
  <si>
    <t>Oleic K</t>
  </si>
  <si>
    <t>UTSR</t>
  </si>
  <si>
    <t>Vegacid 18-80</t>
  </si>
  <si>
    <t>Vegacid 18-90</t>
  </si>
  <si>
    <t>Vegacid Superflex</t>
  </si>
  <si>
    <t>Pitch - Fatty Acid</t>
  </si>
  <si>
    <t>Others - Acids</t>
  </si>
  <si>
    <t>Glycerine BP</t>
  </si>
  <si>
    <t>Glycerine CP</t>
  </si>
  <si>
    <t>Glycerine IP</t>
  </si>
  <si>
    <t>Glycerine USP</t>
  </si>
  <si>
    <t>Pitch - Glycerine</t>
  </si>
  <si>
    <t>Glycerine-Others</t>
  </si>
  <si>
    <t>Intermediates (SFG &amp; RM)</t>
  </si>
  <si>
    <t>Slow Moving</t>
  </si>
  <si>
    <t>Alcohol Intermediates - PKO</t>
  </si>
  <si>
    <t>Alcohol Intermediates - Mustard</t>
  </si>
  <si>
    <t>Total of Intermediate Alcohol</t>
  </si>
  <si>
    <t>PALMITIC</t>
  </si>
  <si>
    <t>PFAD</t>
  </si>
  <si>
    <t>C16 rich (PFAD/PKO)</t>
  </si>
  <si>
    <t>RBDPS</t>
  </si>
  <si>
    <t>STEARIC</t>
  </si>
  <si>
    <t>Total of 1618 Base Materials</t>
  </si>
  <si>
    <t>EMO and equivalent</t>
  </si>
  <si>
    <t>Mustard Residue</t>
  </si>
  <si>
    <t>PFAD and equivalent</t>
  </si>
  <si>
    <t>RMO and equivalent</t>
  </si>
  <si>
    <t>Total of Mustard Based Materials</t>
  </si>
  <si>
    <t>B/P PKO</t>
  </si>
  <si>
    <t>Light End PKO</t>
  </si>
  <si>
    <t>PKO and equivalent</t>
  </si>
  <si>
    <t>Mix Residue</t>
  </si>
  <si>
    <t>PKO Residue</t>
  </si>
  <si>
    <t>Total of PKO Based Materials</t>
  </si>
  <si>
    <t>Crude Glycerine</t>
  </si>
  <si>
    <t xml:space="preserve">Others </t>
  </si>
  <si>
    <t>Average Inventory</t>
  </si>
  <si>
    <t>Finished Goods</t>
  </si>
  <si>
    <t>Gly Pitch</t>
  </si>
  <si>
    <t>Intermediate Alcohol</t>
  </si>
  <si>
    <t>PKO</t>
  </si>
  <si>
    <t>Mustard</t>
  </si>
  <si>
    <t>C1618 Base Material</t>
  </si>
  <si>
    <t>C16 Rich + Palmatic Acid</t>
  </si>
  <si>
    <t>PFAD &amp; Equivalent</t>
  </si>
  <si>
    <t>Mustard Equivalent</t>
  </si>
  <si>
    <t>PKO Based Material</t>
  </si>
  <si>
    <t>Inventory Trend</t>
  </si>
  <si>
    <t>Slow Moving Stock</t>
  </si>
  <si>
    <t>Int Alcohol-PKO</t>
  </si>
  <si>
    <t>Int Alcohol-Mustard</t>
  </si>
  <si>
    <t>Residue - Mustard</t>
  </si>
  <si>
    <t>Residue - PKO</t>
  </si>
  <si>
    <t>% to Total Inventory</t>
  </si>
  <si>
    <t>RM &amp; SFG</t>
  </si>
  <si>
    <t>Sales Order Booking</t>
  </si>
  <si>
    <t>Sales Order Booking ( SNOP v/s Actual)</t>
  </si>
  <si>
    <t>Dummerage and Detention Charges on Imports &amp; Local Bulk Movement</t>
  </si>
  <si>
    <t>Material</t>
  </si>
  <si>
    <t>Vendor</t>
  </si>
  <si>
    <t>PO Qty</t>
  </si>
  <si>
    <t>PO Rate</t>
  </si>
  <si>
    <t>BL Qty</t>
  </si>
  <si>
    <t>OTR Qty</t>
  </si>
  <si>
    <t>Taloja Receipt</t>
  </si>
  <si>
    <t>Month</t>
  </si>
  <si>
    <t>Pramod</t>
  </si>
  <si>
    <t>Pramod / Abhijeet</t>
  </si>
  <si>
    <t>Plant capacity utilisation Oct'15</t>
  </si>
  <si>
    <t>TALOJA</t>
  </si>
  <si>
    <t xml:space="preserve">Running days considered as per actual/day </t>
  </si>
  <si>
    <t>Utilisation(Based on SNOP)</t>
  </si>
  <si>
    <t xml:space="preserve">Reason for Downtime </t>
  </si>
  <si>
    <t>Production Plan</t>
  </si>
  <si>
    <t>Days planned</t>
  </si>
  <si>
    <t>Avg plan per day</t>
  </si>
  <si>
    <t>Actual Production (MT)</t>
  </si>
  <si>
    <t>Avg actual rate per day</t>
  </si>
  <si>
    <t>ALCOHOL</t>
  </si>
  <si>
    <t>VEGAROL 1214/1216</t>
  </si>
  <si>
    <t xml:space="preserve">1)Asssumed 3 days planned shutdown for Thermic fluid on Coal Boiler hookup.         2)Lost 3 days due to 02G3 Motor failure  3)Due to breakdown of 02G3 motor V1618 TA was increased and postponned Vegarol 22 </t>
  </si>
  <si>
    <t>VEGAROL 1698</t>
  </si>
  <si>
    <t>VEGAROL 1618 50:50</t>
  </si>
  <si>
    <t>VEGAROL 1618 TA</t>
  </si>
  <si>
    <t>VEGAROL 1898</t>
  </si>
  <si>
    <t>VEGAROL 1822</t>
  </si>
  <si>
    <t>VEGAROL 2270 /80/90</t>
  </si>
  <si>
    <t xml:space="preserve">Total running days </t>
  </si>
  <si>
    <t xml:space="preserve"> Shutdown</t>
  </si>
  <si>
    <t>Change Over/ no plans</t>
  </si>
  <si>
    <t xml:space="preserve">TOTAL </t>
  </si>
  <si>
    <t>SECTION 3   (302-303)</t>
  </si>
  <si>
    <t>DFA1214 from SPKO</t>
  </si>
  <si>
    <t>DFA1214 from Undistilled 1214 is planned due to delay in SPKO arrival .Also effected DFA1214 from SPKO feed rate also</t>
  </si>
  <si>
    <t>DFA1214 from HUL</t>
  </si>
  <si>
    <t>DFA1214 from Undistilled 1214</t>
  </si>
  <si>
    <t>Superflex from SPFAD</t>
  </si>
  <si>
    <t>C8 from L/E PKO+MCT</t>
  </si>
  <si>
    <t>C10 from L/E PKO+MCT</t>
  </si>
  <si>
    <t>Oleic-K from B/ PKO</t>
  </si>
  <si>
    <t>C16 99 % from C16 Rich</t>
  </si>
  <si>
    <t>DLGMFA From Collected Mixresidue</t>
  </si>
  <si>
    <t>SECTION 4</t>
  </si>
  <si>
    <t>DFA 1618 TA from SRBDPS</t>
  </si>
  <si>
    <t>DTP-7</t>
  </si>
  <si>
    <t>P-12</t>
  </si>
  <si>
    <t>Oleic 60/DFA1618 from B/ PKO</t>
  </si>
  <si>
    <t>DFA 1618 TA for Hul Bottoms</t>
  </si>
  <si>
    <t>DLGMFA</t>
  </si>
  <si>
    <t>DMUSTARD RESIDUE</t>
  </si>
  <si>
    <t>SECTION 5</t>
  </si>
  <si>
    <t>Erucic-90 %</t>
  </si>
  <si>
    <t>Erucic 90 was introduced to service orders and delayed DFA2022 from LCT</t>
  </si>
  <si>
    <t>Erucic G</t>
  </si>
  <si>
    <t>C16 99 % from SRBDPS</t>
  </si>
  <si>
    <t>DFA2022 (S RMO)</t>
  </si>
  <si>
    <t>DFA2022 (S LCT)</t>
  </si>
  <si>
    <t>LOOP REACTOR</t>
  </si>
  <si>
    <t>HDLGMFA</t>
  </si>
  <si>
    <t>Due to Alcohol shutdown ,hydrogen availabilty was limited and reduced programmes based on that</t>
  </si>
  <si>
    <t>H/LE MCT</t>
  </si>
  <si>
    <t>H RBDPS-P12</t>
  </si>
  <si>
    <t>Hyd SPFAD for Superflex</t>
  </si>
  <si>
    <t>H/LE PKO</t>
  </si>
  <si>
    <t>Lurgi Splittng Tower</t>
  </si>
  <si>
    <t>RMO</t>
  </si>
  <si>
    <t>Deacidified MCT</t>
  </si>
  <si>
    <t>Must LCT</t>
  </si>
  <si>
    <t>PKO Residue/Mix residue</t>
  </si>
  <si>
    <t>Jutasama Splitting Towe</t>
  </si>
  <si>
    <t>No plans</t>
  </si>
  <si>
    <t>Glycerolysis</t>
  </si>
  <si>
    <t xml:space="preserve">MCT </t>
  </si>
  <si>
    <t>LCT</t>
  </si>
  <si>
    <t>Stripped LCT</t>
  </si>
  <si>
    <t>SPD</t>
  </si>
  <si>
    <t>Plant capacity utilisation Nov'15</t>
  </si>
  <si>
    <t>1.Rate of V1214 was lower due to Catalyst deactivation .                                                                                                              2.Annual catalyst change                                          3.shutdown for compressor change over</t>
  </si>
  <si>
    <t>1)Upto11 th  Nov15, rate assumed was without E366 &amp; E365                                                            2)Rate planned Without E 365 EXCHANGER due to breakdown</t>
  </si>
  <si>
    <t>DFA14 rich from B/P of 1299%</t>
  </si>
  <si>
    <t>DFA 1618 TA from SPFAD</t>
  </si>
  <si>
    <t>DFA1618 TA from PFAD rate was assumed higher in SNOP than avg actual rates.Hence the difference</t>
  </si>
  <si>
    <t>Oleic 60 from B/ PKO</t>
  </si>
  <si>
    <t>DFA 1618 50:50 for Palmitic 85</t>
  </si>
  <si>
    <t>DFA 1618 TA from B/ PKO</t>
  </si>
  <si>
    <t>H RDDPS-P12</t>
  </si>
  <si>
    <t>Muster Residue</t>
  </si>
  <si>
    <t>MCT from Bad C8C10</t>
  </si>
  <si>
    <t>MCT from Bad C8C10(Import)</t>
  </si>
  <si>
    <t>DMRFA</t>
  </si>
  <si>
    <t>Plant capacity utilisation Dec'15</t>
  </si>
  <si>
    <t>Lost 3 days 02G3 foundation work</t>
  </si>
  <si>
    <t>DFA1214 from SPKO/Hul</t>
  </si>
  <si>
    <t>C8 C10 Run postponned &amp; taken Superflex run based on requirement</t>
  </si>
  <si>
    <t>Palmitic Acid from C16 RICH</t>
  </si>
  <si>
    <t>Palmitic Acid from RBDPS</t>
  </si>
  <si>
    <t>DFA 1618 TA from B/P RBDPS</t>
  </si>
  <si>
    <t>DFA 1618 TA from B/P C16 RICH</t>
  </si>
  <si>
    <t>Stearic 90</t>
  </si>
  <si>
    <t>DFA1618 TA/Oleic 60 from B/ PKO/HUL</t>
  </si>
  <si>
    <t xml:space="preserve">Palmitic ACID program shifted to C-302/303 COLUMN to accommodate Behenic Acid run </t>
  </si>
  <si>
    <t>DFA1618 TA from B/P 16 RICH</t>
  </si>
  <si>
    <t>DLGMFA (Collected)</t>
  </si>
  <si>
    <t>DMRFA(Fractionation)</t>
  </si>
  <si>
    <t>Oleic-K /DFA1898 from B/ PKO</t>
  </si>
  <si>
    <t>H/LEPKO/ MCT</t>
  </si>
  <si>
    <t>Hyd C22 for Behenic acid</t>
  </si>
  <si>
    <t>PKO Residue/Mix residue/Collected Mix residu</t>
  </si>
  <si>
    <t xml:space="preserve">Processed in Lurgi </t>
  </si>
  <si>
    <t>Plant capacity utilisation Jan'16</t>
  </si>
  <si>
    <t>Increased V1618 TA run size</t>
  </si>
  <si>
    <t>Stearic 90 feed from B/ PKO</t>
  </si>
  <si>
    <t>P-12 from RBDPS</t>
  </si>
  <si>
    <t>DFA 1618 50:50 for PFAD</t>
  </si>
  <si>
    <t>HFEED for Stearic 90</t>
  </si>
  <si>
    <t>STRIPPED LCT</t>
  </si>
  <si>
    <t>Plant capacity utilisation Feb'16</t>
  </si>
  <si>
    <t>V1698 rate was less due to purity &amp; SV issue</t>
  </si>
  <si>
    <t>1)DFA1218 -400 MT delayed due to Custom Software issue &amp; inorder to process the same ,Undistilled 1214 was processed &amp; effected overall DFA1214  feed rate.                   2)  Superflex program postponned to March inorder to take DFA1218/SPKO proceesing in view of EOU DTA</t>
  </si>
  <si>
    <t>DTP-7 run taken inorder to reduce inventory of DLGMFA &amp; meet supply,which was not planned in SNOP.                                     2)Lower  Feed rate of DFA1618 TA from DFA1218/SPKO due to distrubance in DFA1218 feed</t>
  </si>
  <si>
    <t>DTP -7 from DLGMFA</t>
  </si>
  <si>
    <t xml:space="preserve">Processed DFA2022 from LCT </t>
  </si>
  <si>
    <t>Lost 2 day due to Hydrogen non availability .Taken DTP -7 PROGRAM</t>
  </si>
  <si>
    <t>Hyd feed for DTP 7</t>
  </si>
  <si>
    <t>Mix residue</t>
  </si>
  <si>
    <t>Planned shutdown for Cleaning column</t>
  </si>
  <si>
    <t xml:space="preserve">Processed RMO  in Lurgi </t>
  </si>
  <si>
    <t>Posponned MCT run to March'16</t>
  </si>
  <si>
    <t>Plan</t>
  </si>
  <si>
    <t>Shutdown (days)</t>
  </si>
  <si>
    <t>Running (Days)</t>
  </si>
  <si>
    <t>Volume (MT)</t>
  </si>
  <si>
    <t>Capacity Utilisation (Monthly Plantwise Production)</t>
  </si>
  <si>
    <t>Achievment</t>
  </si>
  <si>
    <t>V1214/1216</t>
  </si>
  <si>
    <t>V16/18/22</t>
  </si>
  <si>
    <t>No of Runs</t>
  </si>
  <si>
    <t>Plan (Days)</t>
  </si>
  <si>
    <t>Actual (Days)</t>
  </si>
  <si>
    <t>% Achiev</t>
  </si>
  <si>
    <t>Peak achiev</t>
  </si>
  <si>
    <t>Avg per Day</t>
  </si>
  <si>
    <t>Sec 3 (302-303)</t>
  </si>
  <si>
    <t>Fatty Acid Dist</t>
  </si>
  <si>
    <t>Change Over / No Plan  (Days)</t>
  </si>
  <si>
    <t>Sec 4</t>
  </si>
  <si>
    <t>Total Days</t>
  </si>
  <si>
    <t>Sec 5</t>
  </si>
  <si>
    <t>Loop Reactor</t>
  </si>
  <si>
    <t>Lurgi Splitter</t>
  </si>
  <si>
    <t>Average</t>
  </si>
  <si>
    <t>Jutasama Splitting Tower</t>
  </si>
  <si>
    <t>Total (MT)</t>
  </si>
  <si>
    <t>RM+SFG (other than Palmatic)</t>
  </si>
  <si>
    <t>Achiev</t>
  </si>
  <si>
    <t>Avg PD</t>
  </si>
  <si>
    <t>Peak PD</t>
  </si>
  <si>
    <t>Utilisation</t>
  </si>
  <si>
    <t>Fatty Alcohol (Total)</t>
  </si>
  <si>
    <t>V1214/V1216</t>
  </si>
  <si>
    <t>V1618 TA</t>
  </si>
  <si>
    <t xml:space="preserve">Working </t>
  </si>
  <si>
    <t>Days</t>
  </si>
  <si>
    <t>Act-MT</t>
  </si>
  <si>
    <t>Plan/Act</t>
  </si>
  <si>
    <t>Without Sales deviation</t>
  </si>
  <si>
    <t>MT</t>
  </si>
  <si>
    <t>In Sewree (SPKO)</t>
  </si>
  <si>
    <t>Godrej (C1618)</t>
  </si>
  <si>
    <t>HUL (DFA 1218)</t>
  </si>
  <si>
    <t>Sales (Total)</t>
  </si>
  <si>
    <t>Supply Chain - Summary</t>
  </si>
  <si>
    <t>Flaking</t>
  </si>
  <si>
    <t>Druming</t>
  </si>
  <si>
    <t>Exports</t>
  </si>
  <si>
    <t>Stock No of Days</t>
  </si>
  <si>
    <t>Despatch Service Level (SNOP v/s Actual)</t>
  </si>
  <si>
    <t>Act/Peak</t>
  </si>
  <si>
    <t>Sales Forcast Accuracy</t>
  </si>
  <si>
    <t>On SNOP day</t>
  </si>
  <si>
    <t xml:space="preserve">Actual </t>
  </si>
  <si>
    <t>Loss of Sales</t>
  </si>
  <si>
    <t>Marketing &amp; Sales</t>
  </si>
  <si>
    <t>Total (FAL,FA,Gly)</t>
  </si>
  <si>
    <t>Sec 3 (Actual) Output</t>
  </si>
  <si>
    <t>yield</t>
  </si>
  <si>
    <t>Avg Peak PD</t>
  </si>
  <si>
    <t>On Output Basis</t>
  </si>
  <si>
    <t>Slow Moving (MT)</t>
  </si>
  <si>
    <t>Stock &gt; 180 Days (MT)</t>
  </si>
  <si>
    <t>Stock &gt;90 and &lt;180 Days (MT)</t>
  </si>
  <si>
    <t>Nos</t>
  </si>
  <si>
    <t>V22</t>
  </si>
  <si>
    <t>V1698</t>
  </si>
  <si>
    <t>V1898</t>
  </si>
  <si>
    <t>Apr-Sep'15</t>
  </si>
  <si>
    <t>Apr-Sep15</t>
  </si>
  <si>
    <t>Fatty Acid Distillation (Total)</t>
  </si>
  <si>
    <t>On Input Basis (Splitting)</t>
  </si>
  <si>
    <t>Loop Reactor (Hydro)</t>
  </si>
  <si>
    <t>SPD (Plain Dist)</t>
  </si>
  <si>
    <t>Glycerolysis (MCT/LCT)</t>
  </si>
  <si>
    <t>Note : Above stocks adjusted for Godrej/HUL/Outside Storage.</t>
  </si>
  <si>
    <t>Order Booking during Month</t>
  </si>
  <si>
    <t>Plant capacity utilisation March'16</t>
  </si>
  <si>
    <t>Reduced V1214 inview of EOU DTA &amp; increased V1618 TA</t>
  </si>
  <si>
    <t>VEGAROL 1618 TA/50:50</t>
  </si>
  <si>
    <t>Kept SPKO /DFA1218 Out in view of EOU DTA &amp; took DFA1618 TA run</t>
  </si>
  <si>
    <t>DFA1618 TA from SPFAD</t>
  </si>
  <si>
    <t>Oleic-K/Stearic 90 feed from B/ PKO</t>
  </si>
  <si>
    <t>Reduced DFA1618 TA from SPKO/B/PKP KO Route</t>
  </si>
  <si>
    <t xml:space="preserve">C16 rich processing taken in Section 5 instead of Section 3. Stearic 90 processing  taken in Section 3. </t>
  </si>
  <si>
    <t>DFA22 90 from SRMO</t>
  </si>
  <si>
    <t>feed for Behenic Acid</t>
  </si>
  <si>
    <t>V1618TA/5050</t>
  </si>
  <si>
    <t>Oct-March16</t>
  </si>
  <si>
    <t>Oct-March'16</t>
  </si>
  <si>
    <t>Capacity Utilisation - Oct-March'16 (Fatty Alcohol)</t>
  </si>
  <si>
    <t>Capacity Utilisation - Oct-March'16 (Fatty Acid)</t>
  </si>
  <si>
    <t>March'16</t>
  </si>
  <si>
    <t>Plant capacity utilisation April'16</t>
  </si>
  <si>
    <t>VEGAROL 1214</t>
  </si>
  <si>
    <t>Lost 7days due to NG Supply from gail &amp;  caloric plant  shutdown</t>
  </si>
  <si>
    <t>Plant capacity utilisation may'16</t>
  </si>
  <si>
    <t>Lost 3 days for catalyst &amp; 5 day for S/D for 02D25 Foundation job</t>
  </si>
  <si>
    <t>Lost 3 days for 02G1A E3 &amp; 02E17  leak</t>
  </si>
  <si>
    <t>Plant capacity utilisation June'16</t>
  </si>
  <si>
    <t>Lauric Acid</t>
  </si>
  <si>
    <t>DFA18 Rich for Stearic 90</t>
  </si>
  <si>
    <t>Stearic 90 from Hyd DFA 18 Rich</t>
  </si>
  <si>
    <t xml:space="preserve"> Behenic Acid</t>
  </si>
  <si>
    <t>Oleic -K</t>
  </si>
  <si>
    <t>DFA2022 from RMO</t>
  </si>
  <si>
    <t>Hyd feed for Behenic</t>
  </si>
  <si>
    <t>Palmitic Acid from SRBDPS</t>
  </si>
  <si>
    <t>DFA1214 from undistilled 1214</t>
  </si>
  <si>
    <t>DLGMFA from Residue</t>
  </si>
  <si>
    <t>DLGMFA fromB/P 16 rich</t>
  </si>
  <si>
    <t>Feed DLGMFA (Collected)</t>
  </si>
  <si>
    <t>Distilled Collected Mix Residue</t>
  </si>
  <si>
    <t>PKO Residue/Mix residue/Collected Mix residue</t>
  </si>
  <si>
    <t>Lauric Acid from DFA1214</t>
  </si>
  <si>
    <t>C810 from CNO</t>
  </si>
  <si>
    <t>DFA1618 TA/Oleic 60 from B/ PKO/HUL/ B/P CNO</t>
  </si>
  <si>
    <t>H/LEPKO/ MCT/CNO</t>
  </si>
  <si>
    <t>Mustard residue</t>
  </si>
  <si>
    <t>CNO</t>
  </si>
  <si>
    <t>DFA1214 from SPKO/Hul/CNO</t>
  </si>
  <si>
    <t>C-14 99</t>
  </si>
  <si>
    <t>C8 &amp; C10 from L/E PKO/CNO+MCT</t>
  </si>
  <si>
    <t>Oleic-K /DFA1898 from B/ PKO/BP CNO</t>
  </si>
  <si>
    <t>MCT AV 1</t>
  </si>
  <si>
    <t xml:space="preserve">DFA12 RICH </t>
  </si>
  <si>
    <t>DFA C-1698 B/P for C-1618</t>
  </si>
  <si>
    <t>Deacidified LCT</t>
  </si>
  <si>
    <t>DFA1898 from PFAD</t>
  </si>
  <si>
    <t>Lost 3.5 days due to 02G1 Motor problem</t>
  </si>
  <si>
    <t>Increased V1214 /1618 TA/V1698 and reduced change over time &amp; rampup</t>
  </si>
  <si>
    <t>April'16</t>
  </si>
  <si>
    <t>May'16</t>
  </si>
  <si>
    <t>June'16</t>
  </si>
  <si>
    <t>No of Runs/Month</t>
  </si>
  <si>
    <t>ABP Avg Peak PD</t>
  </si>
  <si>
    <t>Plant capacity utilisation July'16</t>
  </si>
  <si>
    <t>DFA1618 TA/Oleic 60 from B/ PKO/HUL/CNO</t>
  </si>
  <si>
    <t>P-12 From RBDPS</t>
  </si>
  <si>
    <t>DFA2022 From SRMO</t>
  </si>
  <si>
    <t xml:space="preserve">Increased V1214 run &amp; V1898 is made available </t>
  </si>
  <si>
    <t xml:space="preserve">But dropped Behenyl alcohol run due to RM connectivity </t>
  </si>
  <si>
    <t xml:space="preserve">Palmitic Acid </t>
  </si>
  <si>
    <t>Reduced Stearic 90 for making V1898 in consultation with Marketing</t>
  </si>
  <si>
    <t>DFA2022 from c20 rich</t>
  </si>
  <si>
    <t xml:space="preserve">C20 RICH from Vegacid 1880 </t>
  </si>
  <si>
    <t>Erucic 90 run size reduced based on availability of RMO</t>
  </si>
  <si>
    <t>July'16</t>
  </si>
  <si>
    <t>Plant capacity utilisation Aug'16</t>
  </si>
  <si>
    <t>DFA1898 From SPFAD</t>
  </si>
  <si>
    <t>DFA1898 from B/ PKO/BP CNO</t>
  </si>
  <si>
    <t>B/P RBDPS For DFA1618TA (Campaign run)</t>
  </si>
  <si>
    <t>DFA1618TA from B/P RBDPS</t>
  </si>
  <si>
    <t>DFA 1618 TA from B/PCNO</t>
  </si>
  <si>
    <t>VEGAROL 1895 ( from Vegacid 1890 route)-Trial run</t>
  </si>
  <si>
    <t>Lauric rich</t>
  </si>
  <si>
    <t>Lauric Acid -99%</t>
  </si>
  <si>
    <t>Lauric Acid (C-401-302)</t>
  </si>
  <si>
    <t>DFA 1618 50:50 for RBDPS</t>
  </si>
  <si>
    <t>H/LEPKO/ CNO</t>
  </si>
  <si>
    <t>Hyd MCT</t>
  </si>
  <si>
    <t>Hyd.b/p Undist.1214</t>
  </si>
  <si>
    <t>V18/V22</t>
  </si>
  <si>
    <t>Aug'16</t>
  </si>
  <si>
    <t>Palmitic &amp; C16 Rich</t>
  </si>
  <si>
    <t>Operations+Proc+logistic+planning</t>
  </si>
  <si>
    <t>Plant capacity utilisation Sep'16</t>
  </si>
  <si>
    <t>V1618TA feed rate low to low feed stock &amp; catalyst in final stage</t>
  </si>
  <si>
    <t>Also assumed 400 MT from Alcohol intermediate from  Alochol intermediate from Low purity (T-838/T-18)</t>
  </si>
  <si>
    <t>Palmitic Acid from SRBDPS/C16 RICH</t>
  </si>
  <si>
    <t>C-14 99/C14-98</t>
  </si>
  <si>
    <t>Lauric RICH</t>
  </si>
  <si>
    <t>DFA1618 TA from DLGMFA</t>
  </si>
  <si>
    <t>Stearic 90 from PKO/RMO route</t>
  </si>
  <si>
    <t xml:space="preserve">DFA1618 TA from B/P 14 99 </t>
  </si>
  <si>
    <t>Oleic-K</t>
  </si>
  <si>
    <t xml:space="preserve">Vegacid 1890 from Vegacid 1880 </t>
  </si>
  <si>
    <t>B/P CNO</t>
  </si>
  <si>
    <t>Sep'16</t>
  </si>
  <si>
    <t>Plant capacity utilisation Oct'16</t>
  </si>
  <si>
    <t>Due to urgency for V1214 ,Instead of V1618TA ,V1214 Run was taken towards end of the month</t>
  </si>
  <si>
    <t>Feed for Behenic Acid</t>
  </si>
  <si>
    <t>DFA1898 For Stearic 90</t>
  </si>
  <si>
    <t>Hyd.Behenic Acid</t>
  </si>
  <si>
    <t>Hyd Dfa2022</t>
  </si>
  <si>
    <t>DLGMFA From B/P 14 99</t>
  </si>
  <si>
    <t>DFA1618 TA</t>
  </si>
  <si>
    <t>Change Over /No plans(Days)</t>
  </si>
  <si>
    <t>V1698/V198</t>
  </si>
  <si>
    <t>Oct'16</t>
  </si>
  <si>
    <t>Plant capacity utilisation Nov'16</t>
  </si>
  <si>
    <t>E-WAX/Others</t>
  </si>
  <si>
    <t>Nov'16</t>
  </si>
  <si>
    <t>Dec'16</t>
  </si>
  <si>
    <t>Erucic 70 From DMRFA</t>
  </si>
  <si>
    <t>DLGMFA from Collected Mix Residue</t>
  </si>
  <si>
    <t>H/LEPKO/ CNO/MCT</t>
  </si>
  <si>
    <t>Collected Mix Residue</t>
  </si>
  <si>
    <t>DLGMFA COLLECTED</t>
  </si>
  <si>
    <t>Plant capacity utilisation  Dec'16</t>
  </si>
  <si>
    <t>Oleic-K/dfa1898</t>
  </si>
  <si>
    <t>MCT</t>
  </si>
  <si>
    <t>DFA 1618 TA from RBDPS</t>
  </si>
  <si>
    <t>C16 99 % from C16 Rich/RBDPS</t>
  </si>
  <si>
    <t>Oleic-K/DFA1898</t>
  </si>
  <si>
    <t>Palmitic Acid</t>
  </si>
  <si>
    <t>Jan'17</t>
  </si>
  <si>
    <t>Plant capacity utilisation  Jan'17</t>
  </si>
  <si>
    <t>Superflex from S Hyd PFAD</t>
  </si>
  <si>
    <t>DFA1214 redistilled from Undistilled DFA1214</t>
  </si>
  <si>
    <t>C16 98 from C16 rich/PFAD</t>
  </si>
  <si>
    <t>DFA 1618 TA from SB/PCNO</t>
  </si>
  <si>
    <t>DLGMFA From Residue</t>
  </si>
  <si>
    <t>EOU-DTA/Excise issues</t>
  </si>
  <si>
    <t>Feb'17</t>
  </si>
  <si>
    <t>Plant capacity utilisation  Feb'17</t>
  </si>
  <si>
    <t>VEGAROL 1898/20 rich</t>
  </si>
  <si>
    <t>C1698 from SPFAD</t>
  </si>
  <si>
    <t>DFA2022 (S LCT)/20 RICH</t>
  </si>
  <si>
    <t>DFA1618 TA FROM b/p pfad</t>
  </si>
  <si>
    <t>DFA1618 5050 From SPFAD</t>
  </si>
  <si>
    <t xml:space="preserve">Distilled Split Pko Resdiue for DFA C1618 </t>
  </si>
  <si>
    <t>V1698/V1898</t>
  </si>
  <si>
    <t>April to March'17</t>
  </si>
  <si>
    <t>April-March'17</t>
  </si>
  <si>
    <t>Apr-Mar'17</t>
  </si>
  <si>
    <t>Pastillation</t>
  </si>
  <si>
    <t>April-Mar'17</t>
  </si>
  <si>
    <t>Plant capacity utilisation  March'17</t>
  </si>
  <si>
    <t>C16 98 from C16 rich &amp; SPFAD</t>
  </si>
  <si>
    <t>DFA 1618 TA from SPFAD/B/PFAD</t>
  </si>
  <si>
    <t>Lauric Rich</t>
  </si>
  <si>
    <t>Behenic acid feed</t>
  </si>
  <si>
    <t>Stearic 92 from PKO/RMO route</t>
  </si>
  <si>
    <t xml:space="preserve">DFA1898 </t>
  </si>
  <si>
    <t>March'17</t>
  </si>
  <si>
    <t>Capacity Utilisation - April-March'17 (Fatty Alcohol)</t>
  </si>
  <si>
    <t>Capacity Utilisation - Apr-Mar'17 (Fatty Acid)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</si>
</sst>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0.0%"/>
    <numFmt numFmtId="166" formatCode="_ * #,##0.0_ ;_ * \-#,##0.0_ ;_ * &quot;-&quot;??_ ;_ @_ "/>
    <numFmt numFmtId="167" formatCode="_ * #,##0_ ;_ * \-#,##0_ ;_ * &quot;-&quot;??_ ;_ @_ "/>
    <numFmt numFmtId="168" formatCode="mmm/yyyy"/>
    <numFmt numFmtId="169" formatCode="_(* #,##0_);_(* \(#,##0\);_(* &quot;-&quot;??_);_(@_)"/>
    <numFmt numFmtId="170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sz val="10"/>
      <color theme="1"/>
      <name val="Bookman Old Style"/>
      <family val="2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12"/>
      <color theme="1"/>
      <name val="Bookman Old Style"/>
      <family val="1"/>
    </font>
    <font>
      <sz val="9"/>
      <color theme="1"/>
      <name val="Bookman Old Style"/>
      <family val="1"/>
    </font>
    <font>
      <sz val="10"/>
      <name val="Arial"/>
      <family val="2"/>
    </font>
    <font>
      <sz val="14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b/>
      <sz val="12"/>
      <color indexed="47"/>
      <name val="Comic Sans MS"/>
      <family val="4"/>
    </font>
    <font>
      <sz val="12"/>
      <color indexed="10"/>
      <name val="Comic Sans MS"/>
      <family val="4"/>
    </font>
    <font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</cellStyleXfs>
  <cellXfs count="438">
    <xf numFmtId="0" fontId="0" fillId="0" borderId="0" xfId="0"/>
    <xf numFmtId="0" fontId="4" fillId="0" borderId="1" xfId="0" applyFont="1" applyBorder="1" applyAlignment="1">
      <alignment horizontal="center" wrapText="1" readingOrder="1"/>
    </xf>
    <xf numFmtId="0" fontId="5" fillId="0" borderId="1" xfId="0" applyFont="1" applyBorder="1" applyAlignment="1">
      <alignment horizontal="center" wrapText="1" readingOrder="1"/>
    </xf>
    <xf numFmtId="0" fontId="5" fillId="0" borderId="1" xfId="0" applyFont="1" applyBorder="1" applyAlignment="1">
      <alignment horizontal="left" wrapText="1" readingOrder="1"/>
    </xf>
    <xf numFmtId="9" fontId="5" fillId="0" borderId="1" xfId="0" applyNumberFormat="1" applyFont="1" applyBorder="1" applyAlignment="1">
      <alignment horizontal="center" wrapText="1" readingOrder="1"/>
    </xf>
    <xf numFmtId="0" fontId="6" fillId="0" borderId="1" xfId="0" applyFont="1" applyBorder="1" applyAlignment="1">
      <alignment horizontal="left" wrapText="1" readingOrder="1"/>
    </xf>
    <xf numFmtId="9" fontId="6" fillId="0" borderId="1" xfId="0" applyNumberFormat="1" applyFont="1" applyBorder="1" applyAlignment="1">
      <alignment horizontal="center" wrapText="1" readingOrder="1"/>
    </xf>
    <xf numFmtId="0" fontId="7" fillId="0" borderId="1" xfId="0" applyFont="1" applyBorder="1" applyAlignment="1">
      <alignment horizontal="left" wrapText="1" readingOrder="1"/>
    </xf>
    <xf numFmtId="0" fontId="7" fillId="0" borderId="1" xfId="0" applyFont="1" applyBorder="1" applyAlignment="1">
      <alignment horizontal="center" wrapText="1" readingOrder="1"/>
    </xf>
    <xf numFmtId="17" fontId="0" fillId="0" borderId="0" xfId="0" applyNumberFormat="1"/>
    <xf numFmtId="0" fontId="3" fillId="0" borderId="0" xfId="0" applyFont="1"/>
    <xf numFmtId="17" fontId="3" fillId="0" borderId="0" xfId="0" applyNumberFormat="1" applyFont="1"/>
    <xf numFmtId="9" fontId="3" fillId="0" borderId="0" xfId="2" applyFont="1"/>
    <xf numFmtId="165" fontId="3" fillId="0" borderId="0" xfId="2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3" fillId="0" borderId="0" xfId="1" applyNumberFormat="1" applyFont="1"/>
    <xf numFmtId="0" fontId="3" fillId="0" borderId="2" xfId="0" applyFont="1" applyFill="1" applyBorder="1"/>
    <xf numFmtId="168" fontId="3" fillId="0" borderId="3" xfId="0" applyNumberFormat="1" applyFont="1" applyFill="1" applyBorder="1" applyAlignment="1">
      <alignment horizontal="center"/>
    </xf>
    <xf numFmtId="168" fontId="3" fillId="0" borderId="2" xfId="0" applyNumberFormat="1" applyFont="1" applyFill="1" applyBorder="1" applyAlignment="1">
      <alignment horizontal="center"/>
    </xf>
    <xf numFmtId="0" fontId="9" fillId="0" borderId="2" xfId="3" applyFont="1" applyFill="1" applyBorder="1" applyAlignment="1">
      <alignment vertical="center"/>
    </xf>
    <xf numFmtId="0" fontId="9" fillId="0" borderId="3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0" xfId="3" applyFont="1" applyAlignment="1">
      <alignment vertical="center"/>
    </xf>
    <xf numFmtId="0" fontId="9" fillId="2" borderId="2" xfId="3" applyFont="1" applyFill="1" applyBorder="1" applyAlignment="1">
      <alignment vertical="center"/>
    </xf>
    <xf numFmtId="0" fontId="9" fillId="0" borderId="2" xfId="3" applyFont="1" applyBorder="1" applyAlignment="1">
      <alignment horizontal="center" vertical="center"/>
    </xf>
    <xf numFmtId="0" fontId="10" fillId="0" borderId="2" xfId="3" applyFont="1" applyBorder="1" applyAlignment="1">
      <alignment vertical="center"/>
    </xf>
    <xf numFmtId="169" fontId="10" fillId="0" borderId="2" xfId="4" applyNumberFormat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/>
    </xf>
    <xf numFmtId="169" fontId="9" fillId="0" borderId="2" xfId="4" applyNumberFormat="1" applyFont="1" applyFill="1" applyBorder="1" applyAlignment="1">
      <alignment horizontal="center" vertical="center"/>
    </xf>
    <xf numFmtId="0" fontId="10" fillId="0" borderId="2" xfId="3" applyFont="1" applyBorder="1" applyAlignment="1">
      <alignment vertical="center" wrapText="1"/>
    </xf>
    <xf numFmtId="0" fontId="9" fillId="0" borderId="2" xfId="3" applyFont="1" applyBorder="1" applyAlignment="1">
      <alignment vertical="center" wrapText="1"/>
    </xf>
    <xf numFmtId="167" fontId="9" fillId="0" borderId="2" xfId="1" applyNumberFormat="1" applyFont="1" applyFill="1" applyBorder="1" applyAlignment="1">
      <alignment vertical="center"/>
    </xf>
    <xf numFmtId="0" fontId="9" fillId="0" borderId="2" xfId="3" applyFont="1" applyBorder="1" applyAlignment="1">
      <alignment vertical="center"/>
    </xf>
    <xf numFmtId="0" fontId="12" fillId="0" borderId="0" xfId="3" applyFont="1" applyAlignment="1">
      <alignment vertical="center"/>
    </xf>
    <xf numFmtId="167" fontId="0" fillId="0" borderId="0" xfId="0" applyNumberFormat="1"/>
    <xf numFmtId="0" fontId="3" fillId="0" borderId="0" xfId="0" applyFont="1" applyAlignment="1">
      <alignment horizontal="right"/>
    </xf>
    <xf numFmtId="0" fontId="14" fillId="0" borderId="0" xfId="5" applyFont="1" applyAlignment="1"/>
    <xf numFmtId="0" fontId="13" fillId="0" borderId="0" xfId="5" applyFill="1"/>
    <xf numFmtId="0" fontId="13" fillId="0" borderId="0" xfId="5"/>
    <xf numFmtId="0" fontId="15" fillId="0" borderId="0" xfId="5" applyFont="1" applyFill="1" applyAlignment="1">
      <alignment horizontal="right"/>
    </xf>
    <xf numFmtId="0" fontId="13" fillId="0" borderId="0" xfId="5" applyFill="1" applyAlignment="1">
      <alignment horizontal="left"/>
    </xf>
    <xf numFmtId="0" fontId="16" fillId="0" borderId="0" xfId="5" applyFont="1" applyFill="1" applyBorder="1" applyAlignment="1">
      <alignment horizontal="center"/>
    </xf>
    <xf numFmtId="0" fontId="16" fillId="0" borderId="0" xfId="5" applyFont="1" applyFill="1" applyBorder="1" applyAlignment="1">
      <alignment horizontal="center" vertical="top" wrapText="1"/>
    </xf>
    <xf numFmtId="0" fontId="15" fillId="5" borderId="6" xfId="5" applyFont="1" applyFill="1" applyBorder="1" applyAlignment="1">
      <alignment horizontal="left" vertical="top" wrapText="1"/>
    </xf>
    <xf numFmtId="0" fontId="15" fillId="5" borderId="6" xfId="5" applyFont="1" applyFill="1" applyBorder="1" applyAlignment="1">
      <alignment horizontal="center" vertical="top" wrapText="1"/>
    </xf>
    <xf numFmtId="0" fontId="15" fillId="5" borderId="9" xfId="5" applyFont="1" applyFill="1" applyBorder="1" applyAlignment="1">
      <alignment horizontal="left" vertical="top" wrapText="1"/>
    </xf>
    <xf numFmtId="0" fontId="15" fillId="5" borderId="10" xfId="5" applyFont="1" applyFill="1" applyBorder="1" applyAlignment="1">
      <alignment horizontal="center" vertical="top" wrapText="1"/>
    </xf>
    <xf numFmtId="0" fontId="15" fillId="6" borderId="11" xfId="5" applyFont="1" applyFill="1" applyBorder="1" applyAlignment="1">
      <alignment horizontal="center" vertical="top" wrapText="1"/>
    </xf>
    <xf numFmtId="0" fontId="15" fillId="5" borderId="12" xfId="5" applyFont="1" applyFill="1" applyBorder="1" applyAlignment="1">
      <alignment horizontal="center" vertical="top" wrapText="1"/>
    </xf>
    <xf numFmtId="1" fontId="16" fillId="5" borderId="15" xfId="5" applyNumberFormat="1" applyFont="1" applyFill="1" applyBorder="1" applyAlignment="1">
      <alignment horizontal="left"/>
    </xf>
    <xf numFmtId="1" fontId="16" fillId="5" borderId="15" xfId="5" applyNumberFormat="1" applyFont="1" applyFill="1" applyBorder="1" applyAlignment="1">
      <alignment horizontal="center"/>
    </xf>
    <xf numFmtId="1" fontId="16" fillId="6" borderId="15" xfId="5" applyNumberFormat="1" applyFont="1" applyFill="1" applyBorder="1" applyAlignment="1">
      <alignment horizontal="center"/>
    </xf>
    <xf numFmtId="1" fontId="16" fillId="6" borderId="16" xfId="5" applyNumberFormat="1" applyFont="1" applyFill="1" applyBorder="1" applyAlignment="1">
      <alignment horizontal="center" vertical="center" wrapText="1"/>
    </xf>
    <xf numFmtId="9" fontId="16" fillId="6" borderId="16" xfId="2" applyFont="1" applyFill="1" applyBorder="1" applyAlignment="1">
      <alignment horizontal="center" vertical="center" wrapText="1"/>
    </xf>
    <xf numFmtId="2" fontId="19" fillId="0" borderId="0" xfId="0" applyNumberFormat="1" applyFont="1" applyFill="1" applyAlignment="1">
      <alignment wrapText="1"/>
    </xf>
    <xf numFmtId="1" fontId="16" fillId="5" borderId="2" xfId="5" applyNumberFormat="1" applyFont="1" applyFill="1" applyBorder="1" applyAlignment="1">
      <alignment horizontal="left"/>
    </xf>
    <xf numFmtId="1" fontId="16" fillId="5" borderId="2" xfId="5" applyNumberFormat="1" applyFont="1" applyFill="1" applyBorder="1" applyAlignment="1">
      <alignment horizontal="center"/>
    </xf>
    <xf numFmtId="1" fontId="16" fillId="6" borderId="2" xfId="5" applyNumberFormat="1" applyFont="1" applyFill="1" applyBorder="1" applyAlignment="1">
      <alignment horizontal="center"/>
    </xf>
    <xf numFmtId="0" fontId="15" fillId="7" borderId="21" xfId="5" applyFont="1" applyFill="1" applyBorder="1" applyAlignment="1">
      <alignment horizontal="left"/>
    </xf>
    <xf numFmtId="1" fontId="16" fillId="7" borderId="22" xfId="5" applyNumberFormat="1" applyFont="1" applyFill="1" applyBorder="1" applyAlignment="1">
      <alignment horizontal="center"/>
    </xf>
    <xf numFmtId="1" fontId="16" fillId="7" borderId="23" xfId="5" applyNumberFormat="1" applyFont="1" applyFill="1" applyBorder="1" applyAlignment="1">
      <alignment horizontal="center"/>
    </xf>
    <xf numFmtId="9" fontId="16" fillId="7" borderId="23" xfId="2" applyNumberFormat="1" applyFont="1" applyFill="1" applyBorder="1" applyAlignment="1">
      <alignment horizontal="center"/>
    </xf>
    <xf numFmtId="1" fontId="16" fillId="7" borderId="2" xfId="5" applyNumberFormat="1" applyFont="1" applyFill="1" applyBorder="1" applyAlignment="1">
      <alignment horizontal="center"/>
    </xf>
    <xf numFmtId="1" fontId="16" fillId="7" borderId="24" xfId="5" applyNumberFormat="1" applyFont="1" applyFill="1" applyBorder="1" applyAlignment="1">
      <alignment horizontal="center"/>
    </xf>
    <xf numFmtId="0" fontId="16" fillId="8" borderId="2" xfId="5" applyFont="1" applyFill="1" applyBorder="1" applyAlignment="1">
      <alignment horizontal="left"/>
    </xf>
    <xf numFmtId="0" fontId="16" fillId="8" borderId="22" xfId="5" applyFont="1" applyFill="1" applyBorder="1" applyAlignment="1">
      <alignment horizontal="center"/>
    </xf>
    <xf numFmtId="1" fontId="16" fillId="8" borderId="23" xfId="5" applyNumberFormat="1" applyFont="1" applyFill="1" applyBorder="1" applyAlignment="1">
      <alignment horizontal="center"/>
    </xf>
    <xf numFmtId="1" fontId="16" fillId="8" borderId="2" xfId="5" applyNumberFormat="1" applyFont="1" applyFill="1" applyBorder="1" applyAlignment="1">
      <alignment horizontal="center" vertical="center" wrapText="1"/>
    </xf>
    <xf numFmtId="1" fontId="16" fillId="8" borderId="24" xfId="5" applyNumberFormat="1" applyFont="1" applyFill="1" applyBorder="1" applyAlignment="1">
      <alignment horizontal="center" vertical="center" wrapText="1"/>
    </xf>
    <xf numFmtId="1" fontId="15" fillId="6" borderId="27" xfId="5" applyNumberFormat="1" applyFont="1" applyFill="1" applyBorder="1" applyAlignment="1">
      <alignment horizontal="left"/>
    </xf>
    <xf numFmtId="1" fontId="15" fillId="6" borderId="10" xfId="5" applyNumberFormat="1" applyFont="1" applyFill="1" applyBorder="1" applyAlignment="1">
      <alignment horizontal="center"/>
    </xf>
    <xf numFmtId="1" fontId="15" fillId="5" borderId="10" xfId="5" applyNumberFormat="1" applyFont="1" applyFill="1" applyBorder="1" applyAlignment="1">
      <alignment horizontal="center"/>
    </xf>
    <xf numFmtId="9" fontId="15" fillId="6" borderId="2" xfId="2" applyFont="1" applyFill="1" applyBorder="1" applyAlignment="1">
      <alignment horizontal="center" vertical="center" wrapText="1"/>
    </xf>
    <xf numFmtId="2" fontId="20" fillId="0" borderId="0" xfId="5" applyNumberFormat="1" applyFont="1" applyFill="1"/>
    <xf numFmtId="0" fontId="20" fillId="0" borderId="0" xfId="5" applyFont="1" applyFill="1"/>
    <xf numFmtId="0" fontId="16" fillId="5" borderId="15" xfId="5" applyFont="1" applyFill="1" applyBorder="1" applyAlignment="1">
      <alignment horizontal="center"/>
    </xf>
    <xf numFmtId="2" fontId="13" fillId="0" borderId="0" xfId="5" applyNumberFormat="1" applyFill="1"/>
    <xf numFmtId="1" fontId="16" fillId="5" borderId="30" xfId="5" applyNumberFormat="1" applyFont="1" applyFill="1" applyBorder="1" applyAlignment="1">
      <alignment horizontal="left"/>
    </xf>
    <xf numFmtId="1" fontId="16" fillId="5" borderId="30" xfId="5" applyNumberFormat="1" applyFont="1" applyFill="1" applyBorder="1" applyAlignment="1">
      <alignment horizontal="center"/>
    </xf>
    <xf numFmtId="0" fontId="16" fillId="5" borderId="15" xfId="5" applyFont="1" applyFill="1" applyBorder="1" applyAlignment="1">
      <alignment horizontal="left"/>
    </xf>
    <xf numFmtId="1" fontId="16" fillId="8" borderId="16" xfId="5" applyNumberFormat="1" applyFont="1" applyFill="1" applyBorder="1" applyAlignment="1">
      <alignment horizontal="center" vertical="center" wrapText="1"/>
    </xf>
    <xf numFmtId="1" fontId="15" fillId="6" borderId="2" xfId="5" applyNumberFormat="1" applyFont="1" applyFill="1" applyBorder="1" applyAlignment="1">
      <alignment horizontal="center"/>
    </xf>
    <xf numFmtId="1" fontId="16" fillId="6" borderId="31" xfId="5" applyNumberFormat="1" applyFont="1" applyFill="1" applyBorder="1" applyAlignment="1">
      <alignment horizontal="center"/>
    </xf>
    <xf numFmtId="0" fontId="16" fillId="6" borderId="15" xfId="5" applyFont="1" applyFill="1" applyBorder="1" applyAlignment="1">
      <alignment horizontal="center"/>
    </xf>
    <xf numFmtId="0" fontId="16" fillId="6" borderId="31" xfId="5" applyFont="1" applyFill="1" applyBorder="1" applyAlignment="1">
      <alignment horizontal="center"/>
    </xf>
    <xf numFmtId="1" fontId="16" fillId="6" borderId="24" xfId="5" applyNumberFormat="1" applyFont="1" applyFill="1" applyBorder="1" applyAlignment="1">
      <alignment horizontal="center"/>
    </xf>
    <xf numFmtId="1" fontId="16" fillId="8" borderId="24" xfId="5" applyNumberFormat="1" applyFont="1" applyFill="1" applyBorder="1" applyAlignment="1">
      <alignment horizontal="center"/>
    </xf>
    <xf numFmtId="0" fontId="16" fillId="5" borderId="32" xfId="5" applyFont="1" applyFill="1" applyBorder="1" applyAlignment="1">
      <alignment horizontal="left"/>
    </xf>
    <xf numFmtId="1" fontId="16" fillId="5" borderId="31" xfId="5" applyNumberFormat="1" applyFont="1" applyFill="1" applyBorder="1" applyAlignment="1">
      <alignment horizontal="center"/>
    </xf>
    <xf numFmtId="170" fontId="16" fillId="6" borderId="15" xfId="5" applyNumberFormat="1" applyFont="1" applyFill="1" applyBorder="1" applyAlignment="1">
      <alignment horizontal="center"/>
    </xf>
    <xf numFmtId="9" fontId="16" fillId="6" borderId="23" xfId="2" applyFont="1" applyFill="1" applyBorder="1" applyAlignment="1">
      <alignment horizontal="center" vertical="center" wrapText="1"/>
    </xf>
    <xf numFmtId="9" fontId="16" fillId="6" borderId="24" xfId="2" applyFont="1" applyFill="1" applyBorder="1" applyAlignment="1">
      <alignment horizontal="center" vertical="center" wrapText="1"/>
    </xf>
    <xf numFmtId="1" fontId="16" fillId="6" borderId="2" xfId="5" applyNumberFormat="1" applyFont="1" applyFill="1" applyBorder="1" applyAlignment="1">
      <alignment horizontal="center" vertical="center" wrapText="1"/>
    </xf>
    <xf numFmtId="0" fontId="16" fillId="5" borderId="24" xfId="5" applyFont="1" applyFill="1" applyBorder="1" applyAlignment="1">
      <alignment horizontal="center"/>
    </xf>
    <xf numFmtId="1" fontId="16" fillId="5" borderId="24" xfId="5" applyNumberFormat="1" applyFont="1" applyFill="1" applyBorder="1" applyAlignment="1">
      <alignment horizontal="center"/>
    </xf>
    <xf numFmtId="1" fontId="16" fillId="6" borderId="23" xfId="5" applyNumberFormat="1" applyFont="1" applyFill="1" applyBorder="1" applyAlignment="1">
      <alignment horizontal="center" vertical="center" wrapText="1"/>
    </xf>
    <xf numFmtId="1" fontId="16" fillId="8" borderId="15" xfId="5" applyNumberFormat="1" applyFont="1" applyFill="1" applyBorder="1" applyAlignment="1">
      <alignment horizontal="center"/>
    </xf>
    <xf numFmtId="0" fontId="15" fillId="6" borderId="10" xfId="5" applyFont="1" applyFill="1" applyBorder="1" applyAlignment="1">
      <alignment horizontal="center"/>
    </xf>
    <xf numFmtId="1" fontId="16" fillId="6" borderId="24" xfId="5" applyNumberFormat="1" applyFont="1" applyFill="1" applyBorder="1" applyAlignment="1">
      <alignment horizontal="center" vertical="center" wrapText="1"/>
    </xf>
    <xf numFmtId="2" fontId="13" fillId="0" borderId="0" xfId="5" applyNumberFormat="1" applyFont="1" applyFill="1"/>
    <xf numFmtId="1" fontId="16" fillId="5" borderId="24" xfId="5" applyNumberFormat="1" applyFont="1" applyFill="1" applyBorder="1" applyAlignment="1">
      <alignment horizontal="left"/>
    </xf>
    <xf numFmtId="0" fontId="16" fillId="6" borderId="24" xfId="5" applyFont="1" applyFill="1" applyBorder="1" applyAlignment="1">
      <alignment horizontal="center"/>
    </xf>
    <xf numFmtId="1" fontId="16" fillId="6" borderId="35" xfId="5" applyNumberFormat="1" applyFont="1" applyFill="1" applyBorder="1" applyAlignment="1">
      <alignment horizontal="center" vertical="center" wrapText="1"/>
    </xf>
    <xf numFmtId="1" fontId="15" fillId="6" borderId="11" xfId="5" applyNumberFormat="1" applyFont="1" applyFill="1" applyBorder="1" applyAlignment="1">
      <alignment horizontal="center"/>
    </xf>
    <xf numFmtId="1" fontId="15" fillId="6" borderId="15" xfId="5" applyNumberFormat="1" applyFont="1" applyFill="1" applyBorder="1" applyAlignment="1">
      <alignment horizontal="center"/>
    </xf>
    <xf numFmtId="0" fontId="16" fillId="5" borderId="21" xfId="5" applyFont="1" applyFill="1" applyBorder="1" applyAlignment="1">
      <alignment horizontal="left" vertical="center" wrapText="1"/>
    </xf>
    <xf numFmtId="9" fontId="16" fillId="6" borderId="24" xfId="2" applyFont="1" applyFill="1" applyBorder="1" applyAlignment="1">
      <alignment vertical="top"/>
    </xf>
    <xf numFmtId="1" fontId="15" fillId="8" borderId="2" xfId="5" applyNumberFormat="1" applyFont="1" applyFill="1" applyBorder="1" applyAlignment="1">
      <alignment horizontal="center" vertical="center" wrapText="1"/>
    </xf>
    <xf numFmtId="1" fontId="15" fillId="8" borderId="23" xfId="5" applyNumberFormat="1" applyFont="1" applyFill="1" applyBorder="1" applyAlignment="1">
      <alignment horizontal="center"/>
    </xf>
    <xf numFmtId="1" fontId="15" fillId="8" borderId="16" xfId="5" applyNumberFormat="1" applyFont="1" applyFill="1" applyBorder="1" applyAlignment="1">
      <alignment horizontal="center" vertical="center" wrapText="1"/>
    </xf>
    <xf numFmtId="1" fontId="15" fillId="6" borderId="21" xfId="5" applyNumberFormat="1" applyFont="1" applyFill="1" applyBorder="1" applyAlignment="1">
      <alignment horizontal="left"/>
    </xf>
    <xf numFmtId="1" fontId="16" fillId="6" borderId="15" xfId="5" applyNumberFormat="1" applyFont="1" applyFill="1" applyBorder="1" applyAlignment="1">
      <alignment horizontal="center" vertical="center" wrapText="1"/>
    </xf>
    <xf numFmtId="9" fontId="16" fillId="6" borderId="15" xfId="2" applyFont="1" applyFill="1" applyBorder="1" applyAlignment="1">
      <alignment vertical="top"/>
    </xf>
    <xf numFmtId="1" fontId="16" fillId="5" borderId="16" xfId="5" applyNumberFormat="1" applyFont="1" applyFill="1" applyBorder="1" applyAlignment="1">
      <alignment horizontal="center"/>
    </xf>
    <xf numFmtId="0" fontId="13" fillId="0" borderId="0" xfId="5" applyFill="1" applyAlignment="1">
      <alignment horizontal="center"/>
    </xf>
    <xf numFmtId="0" fontId="13" fillId="0" borderId="0" xfId="5" applyFont="1" applyFill="1" applyAlignment="1">
      <alignment horizontal="center" vertical="top" wrapText="1"/>
    </xf>
    <xf numFmtId="0" fontId="13" fillId="6" borderId="0" xfId="5" applyFill="1" applyAlignment="1">
      <alignment horizontal="center"/>
    </xf>
    <xf numFmtId="0" fontId="13" fillId="0" borderId="0" xfId="5" applyFont="1" applyAlignment="1">
      <alignment horizontal="center" vertical="top" wrapText="1"/>
    </xf>
    <xf numFmtId="0" fontId="13" fillId="5" borderId="0" xfId="5" applyFill="1" applyAlignment="1">
      <alignment horizontal="left"/>
    </xf>
    <xf numFmtId="0" fontId="13" fillId="5" borderId="0" xfId="5" applyFill="1" applyAlignment="1">
      <alignment horizontal="center"/>
    </xf>
    <xf numFmtId="0" fontId="16" fillId="5" borderId="16" xfId="5" applyFont="1" applyFill="1" applyBorder="1" applyAlignment="1">
      <alignment horizontal="left"/>
    </xf>
    <xf numFmtId="1" fontId="15" fillId="6" borderId="35" xfId="5" applyNumberFormat="1" applyFont="1" applyFill="1" applyBorder="1" applyAlignment="1">
      <alignment horizontal="center"/>
    </xf>
    <xf numFmtId="1" fontId="16" fillId="6" borderId="31" xfId="5" applyNumberFormat="1" applyFont="1" applyFill="1" applyBorder="1" applyAlignment="1">
      <alignment horizontal="center" vertical="center" wrapText="1"/>
    </xf>
    <xf numFmtId="170" fontId="16" fillId="6" borderId="16" xfId="5" applyNumberFormat="1" applyFont="1" applyFill="1" applyBorder="1" applyAlignment="1">
      <alignment horizontal="center" vertical="center" wrapText="1"/>
    </xf>
    <xf numFmtId="170" fontId="16" fillId="7" borderId="2" xfId="5" applyNumberFormat="1" applyFont="1" applyFill="1" applyBorder="1" applyAlignment="1">
      <alignment horizontal="center"/>
    </xf>
    <xf numFmtId="2" fontId="15" fillId="6" borderId="10" xfId="5" applyNumberFormat="1" applyFont="1" applyFill="1" applyBorder="1" applyAlignment="1">
      <alignment horizontal="center"/>
    </xf>
    <xf numFmtId="0" fontId="13" fillId="6" borderId="2" xfId="5" applyFill="1" applyBorder="1" applyAlignment="1">
      <alignment horizontal="center"/>
    </xf>
    <xf numFmtId="170" fontId="16" fillId="7" borderId="23" xfId="5" applyNumberFormat="1" applyFont="1" applyFill="1" applyBorder="1" applyAlignment="1">
      <alignment horizontal="center"/>
    </xf>
    <xf numFmtId="170" fontId="16" fillId="8" borderId="23" xfId="5" applyNumberFormat="1" applyFont="1" applyFill="1" applyBorder="1" applyAlignment="1">
      <alignment horizontal="center"/>
    </xf>
    <xf numFmtId="0" fontId="15" fillId="0" borderId="2" xfId="5" applyFont="1" applyFill="1" applyBorder="1" applyAlignment="1">
      <alignment horizontal="left"/>
    </xf>
    <xf numFmtId="0" fontId="16" fillId="0" borderId="22" xfId="5" applyFont="1" applyFill="1" applyBorder="1" applyAlignment="1">
      <alignment horizontal="center"/>
    </xf>
    <xf numFmtId="1" fontId="16" fillId="0" borderId="2" xfId="5" applyNumberFormat="1" applyFont="1" applyFill="1" applyBorder="1" applyAlignment="1">
      <alignment horizontal="center" vertical="center" wrapText="1"/>
    </xf>
    <xf numFmtId="1" fontId="16" fillId="0" borderId="23" xfId="5" applyNumberFormat="1" applyFont="1" applyFill="1" applyBorder="1" applyAlignment="1">
      <alignment horizontal="center"/>
    </xf>
    <xf numFmtId="1" fontId="16" fillId="0" borderId="15" xfId="5" applyNumberFormat="1" applyFont="1" applyFill="1" applyBorder="1" applyAlignment="1">
      <alignment horizontal="center"/>
    </xf>
    <xf numFmtId="1" fontId="0" fillId="0" borderId="0" xfId="0" applyNumberFormat="1"/>
    <xf numFmtId="0" fontId="3" fillId="0" borderId="37" xfId="0" applyFont="1" applyBorder="1"/>
    <xf numFmtId="0" fontId="0" fillId="0" borderId="38" xfId="0" applyBorder="1"/>
    <xf numFmtId="0" fontId="0" fillId="0" borderId="17" xfId="0" applyBorder="1"/>
    <xf numFmtId="0" fontId="3" fillId="0" borderId="39" xfId="0" applyFont="1" applyBorder="1"/>
    <xf numFmtId="0" fontId="3" fillId="0" borderId="0" xfId="0" applyFont="1" applyBorder="1"/>
    <xf numFmtId="167" fontId="0" fillId="0" borderId="0" xfId="1" applyNumberFormat="1" applyFont="1" applyBorder="1"/>
    <xf numFmtId="0" fontId="0" fillId="0" borderId="0" xfId="0" applyBorder="1"/>
    <xf numFmtId="0" fontId="0" fillId="0" borderId="19" xfId="0" applyBorder="1"/>
    <xf numFmtId="9" fontId="3" fillId="0" borderId="0" xfId="2" applyFont="1" applyBorder="1"/>
    <xf numFmtId="1" fontId="0" fillId="0" borderId="0" xfId="0" applyNumberFormat="1" applyBorder="1"/>
    <xf numFmtId="9" fontId="0" fillId="0" borderId="19" xfId="2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3" fillId="0" borderId="41" xfId="0" applyFont="1" applyBorder="1"/>
    <xf numFmtId="0" fontId="0" fillId="0" borderId="28" xfId="0" applyBorder="1"/>
    <xf numFmtId="1" fontId="2" fillId="0" borderId="0" xfId="0" applyNumberFormat="1" applyFont="1"/>
    <xf numFmtId="164" fontId="0" fillId="0" borderId="0" xfId="0" applyNumberFormat="1" applyBorder="1"/>
    <xf numFmtId="166" fontId="0" fillId="0" borderId="0" xfId="0" applyNumberFormat="1" applyBorder="1"/>
    <xf numFmtId="167" fontId="0" fillId="0" borderId="19" xfId="1" applyNumberFormat="1" applyFont="1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9" fontId="3" fillId="0" borderId="2" xfId="0" applyNumberFormat="1" applyFont="1" applyBorder="1"/>
    <xf numFmtId="167" fontId="3" fillId="0" borderId="2" xfId="1" applyNumberFormat="1" applyFont="1" applyBorder="1"/>
    <xf numFmtId="166" fontId="3" fillId="0" borderId="2" xfId="1" applyNumberFormat="1" applyFont="1" applyBorder="1"/>
    <xf numFmtId="165" fontId="3" fillId="0" borderId="2" xfId="2" applyNumberFormat="1" applyFont="1" applyBorder="1"/>
    <xf numFmtId="9" fontId="3" fillId="0" borderId="2" xfId="2" applyNumberFormat="1" applyFont="1" applyBorder="1"/>
    <xf numFmtId="167" fontId="0" fillId="0" borderId="2" xfId="1" applyNumberFormat="1" applyFont="1" applyBorder="1"/>
    <xf numFmtId="166" fontId="0" fillId="0" borderId="2" xfId="1" applyNumberFormat="1" applyFont="1" applyBorder="1"/>
    <xf numFmtId="9" fontId="0" fillId="0" borderId="2" xfId="0" applyNumberFormat="1" applyBorder="1"/>
    <xf numFmtId="165" fontId="0" fillId="0" borderId="2" xfId="2" applyNumberFormat="1" applyFont="1" applyBorder="1"/>
    <xf numFmtId="0" fontId="0" fillId="0" borderId="43" xfId="0" applyBorder="1"/>
    <xf numFmtId="0" fontId="0" fillId="0" borderId="10" xfId="0" applyBorder="1"/>
    <xf numFmtId="0" fontId="0" fillId="0" borderId="21" xfId="0" applyBorder="1"/>
    <xf numFmtId="0" fontId="3" fillId="0" borderId="43" xfId="0" applyFont="1" applyBorder="1"/>
    <xf numFmtId="0" fontId="3" fillId="0" borderId="21" xfId="0" applyFont="1" applyBorder="1"/>
    <xf numFmtId="165" fontId="3" fillId="0" borderId="43" xfId="2" applyNumberFormat="1" applyFont="1" applyBorder="1"/>
    <xf numFmtId="0" fontId="0" fillId="0" borderId="27" xfId="0" applyBorder="1"/>
    <xf numFmtId="9" fontId="0" fillId="0" borderId="10" xfId="0" applyNumberFormat="1" applyBorder="1"/>
    <xf numFmtId="165" fontId="3" fillId="0" borderId="12" xfId="2" applyNumberFormat="1" applyFont="1" applyBorder="1"/>
    <xf numFmtId="167" fontId="12" fillId="0" borderId="0" xfId="1" applyNumberFormat="1" applyFont="1" applyAlignment="1">
      <alignment vertical="center"/>
    </xf>
    <xf numFmtId="0" fontId="3" fillId="2" borderId="37" xfId="0" applyFont="1" applyFill="1" applyBorder="1"/>
    <xf numFmtId="0" fontId="0" fillId="2" borderId="38" xfId="0" applyFill="1" applyBorder="1"/>
    <xf numFmtId="0" fontId="23" fillId="0" borderId="39" xfId="0" applyFont="1" applyBorder="1"/>
    <xf numFmtId="17" fontId="3" fillId="2" borderId="31" xfId="0" applyNumberFormat="1" applyFont="1" applyFill="1" applyBorder="1"/>
    <xf numFmtId="167" fontId="3" fillId="0" borderId="43" xfId="1" applyNumberFormat="1" applyFont="1" applyBorder="1"/>
    <xf numFmtId="167" fontId="0" fillId="0" borderId="43" xfId="1" applyNumberFormat="1" applyFont="1" applyBorder="1"/>
    <xf numFmtId="0" fontId="3" fillId="0" borderId="10" xfId="0" applyFont="1" applyFill="1" applyBorder="1"/>
    <xf numFmtId="167" fontId="3" fillId="0" borderId="10" xfId="1" applyNumberFormat="1" applyFont="1" applyBorder="1"/>
    <xf numFmtId="167" fontId="3" fillId="0" borderId="12" xfId="1" applyNumberFormat="1" applyFont="1" applyBorder="1"/>
    <xf numFmtId="9" fontId="3" fillId="0" borderId="10" xfId="2" applyNumberFormat="1" applyFont="1" applyBorder="1"/>
    <xf numFmtId="167" fontId="0" fillId="0" borderId="10" xfId="1" applyNumberFormat="1" applyFont="1" applyBorder="1"/>
    <xf numFmtId="166" fontId="0" fillId="0" borderId="10" xfId="1" applyNumberFormat="1" applyFont="1" applyBorder="1"/>
    <xf numFmtId="0" fontId="3" fillId="0" borderId="15" xfId="0" applyFont="1" applyBorder="1" applyAlignment="1">
      <alignment horizontal="right"/>
    </xf>
    <xf numFmtId="0" fontId="0" fillId="0" borderId="10" xfId="0" applyFill="1" applyBorder="1"/>
    <xf numFmtId="167" fontId="0" fillId="0" borderId="12" xfId="1" applyNumberFormat="1" applyFont="1" applyBorder="1"/>
    <xf numFmtId="0" fontId="0" fillId="0" borderId="27" xfId="0" applyFont="1" applyFill="1" applyBorder="1"/>
    <xf numFmtId="0" fontId="0" fillId="2" borderId="6" xfId="0" applyFill="1" applyBorder="1"/>
    <xf numFmtId="0" fontId="3" fillId="2" borderId="6" xfId="0" applyFont="1" applyFill="1" applyBorder="1"/>
    <xf numFmtId="0" fontId="3" fillId="2" borderId="21" xfId="0" applyFont="1" applyFill="1" applyBorder="1"/>
    <xf numFmtId="0" fontId="23" fillId="0" borderId="27" xfId="0" applyFont="1" applyBorder="1"/>
    <xf numFmtId="0" fontId="23" fillId="0" borderId="10" xfId="0" applyFont="1" applyFill="1" applyBorder="1"/>
    <xf numFmtId="0" fontId="2" fillId="0" borderId="10" xfId="0" applyFont="1" applyBorder="1"/>
    <xf numFmtId="9" fontId="0" fillId="0" borderId="2" xfId="0" applyNumberFormat="1" applyBorder="1" applyAlignment="1">
      <alignment horizontal="right"/>
    </xf>
    <xf numFmtId="0" fontId="3" fillId="0" borderId="47" xfId="0" applyFont="1" applyBorder="1" applyAlignment="1">
      <alignment horizontal="right"/>
    </xf>
    <xf numFmtId="0" fontId="23" fillId="0" borderId="0" xfId="0" applyFont="1"/>
    <xf numFmtId="0" fontId="3" fillId="0" borderId="43" xfId="0" applyFont="1" applyBorder="1" applyAlignment="1">
      <alignment horizontal="right"/>
    </xf>
    <xf numFmtId="9" fontId="0" fillId="0" borderId="0" xfId="2" applyFont="1"/>
    <xf numFmtId="165" fontId="0" fillId="0" borderId="0" xfId="2" applyNumberFormat="1" applyFont="1"/>
    <xf numFmtId="164" fontId="0" fillId="0" borderId="0" xfId="0" applyNumberFormat="1"/>
    <xf numFmtId="165" fontId="0" fillId="0" borderId="10" xfId="2" applyNumberFormat="1" applyFont="1" applyBorder="1"/>
    <xf numFmtId="0" fontId="0" fillId="0" borderId="15" xfId="0" applyBorder="1"/>
    <xf numFmtId="0" fontId="0" fillId="0" borderId="31" xfId="0" applyBorder="1"/>
    <xf numFmtId="165" fontId="0" fillId="0" borderId="31" xfId="2" applyNumberFormat="1" applyFont="1" applyBorder="1" applyAlignment="1">
      <alignment horizontal="right"/>
    </xf>
    <xf numFmtId="0" fontId="3" fillId="0" borderId="40" xfId="0" applyFont="1" applyBorder="1"/>
    <xf numFmtId="165" fontId="0" fillId="0" borderId="15" xfId="2" applyNumberFormat="1" applyFont="1" applyBorder="1"/>
    <xf numFmtId="0" fontId="3" fillId="2" borderId="6" xfId="0" applyFont="1" applyFill="1" applyBorder="1" applyAlignment="1">
      <alignment horizontal="right"/>
    </xf>
    <xf numFmtId="17" fontId="3" fillId="2" borderId="15" xfId="0" applyNumberFormat="1" applyFont="1" applyFill="1" applyBorder="1"/>
    <xf numFmtId="17" fontId="3" fillId="2" borderId="47" xfId="0" applyNumberFormat="1" applyFont="1" applyFill="1" applyBorder="1"/>
    <xf numFmtId="17" fontId="3" fillId="2" borderId="48" xfId="0" applyNumberFormat="1" applyFont="1" applyFill="1" applyBorder="1"/>
    <xf numFmtId="167" fontId="3" fillId="0" borderId="49" xfId="1" applyNumberFormat="1" applyFont="1" applyBorder="1"/>
    <xf numFmtId="167" fontId="0" fillId="0" borderId="49" xfId="1" applyNumberFormat="1" applyFont="1" applyBorder="1"/>
    <xf numFmtId="167" fontId="0" fillId="0" borderId="50" xfId="1" applyNumberFormat="1" applyFont="1" applyBorder="1"/>
    <xf numFmtId="167" fontId="3" fillId="0" borderId="18" xfId="1" applyNumberFormat="1" applyFont="1" applyBorder="1"/>
    <xf numFmtId="167" fontId="0" fillId="0" borderId="18" xfId="1" applyNumberFormat="1" applyFont="1" applyBorder="1"/>
    <xf numFmtId="167" fontId="0" fillId="0" borderId="26" xfId="1" applyNumberFormat="1" applyFont="1" applyBorder="1"/>
    <xf numFmtId="1" fontId="3" fillId="0" borderId="0" xfId="0" applyNumberFormat="1" applyFont="1"/>
    <xf numFmtId="0" fontId="0" fillId="0" borderId="51" xfId="0" applyBorder="1"/>
    <xf numFmtId="0" fontId="3" fillId="0" borderId="23" xfId="0" applyFont="1" applyBorder="1" applyAlignment="1">
      <alignment horizontal="right"/>
    </xf>
    <xf numFmtId="0" fontId="23" fillId="0" borderId="32" xfId="0" applyFont="1" applyBorder="1"/>
    <xf numFmtId="0" fontId="0" fillId="0" borderId="42" xfId="0" applyBorder="1"/>
    <xf numFmtId="0" fontId="3" fillId="0" borderId="0" xfId="0" applyFont="1" applyFill="1" applyBorder="1"/>
    <xf numFmtId="167" fontId="3" fillId="0" borderId="21" xfId="1" applyNumberFormat="1" applyFont="1" applyBorder="1"/>
    <xf numFmtId="167" fontId="0" fillId="0" borderId="21" xfId="1" applyNumberFormat="1" applyFont="1" applyBorder="1"/>
    <xf numFmtId="17" fontId="3" fillId="2" borderId="39" xfId="0" applyNumberFormat="1" applyFont="1" applyFill="1" applyBorder="1"/>
    <xf numFmtId="0" fontId="15" fillId="5" borderId="7" xfId="5" applyFont="1" applyFill="1" applyBorder="1" applyAlignment="1">
      <alignment horizontal="center" wrapText="1"/>
    </xf>
    <xf numFmtId="0" fontId="18" fillId="0" borderId="29" xfId="5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 readingOrder="1"/>
    </xf>
    <xf numFmtId="9" fontId="23" fillId="0" borderId="10" xfId="0" applyNumberFormat="1" applyFont="1" applyBorder="1"/>
    <xf numFmtId="165" fontId="2" fillId="0" borderId="10" xfId="2" applyNumberFormat="1" applyFont="1" applyBorder="1"/>
    <xf numFmtId="165" fontId="23" fillId="0" borderId="31" xfId="2" applyNumberFormat="1" applyFont="1" applyBorder="1" applyAlignment="1">
      <alignment horizontal="right"/>
    </xf>
    <xf numFmtId="0" fontId="15" fillId="5" borderId="7" xfId="5" applyFont="1" applyFill="1" applyBorder="1" applyAlignment="1">
      <alignment horizontal="center" wrapText="1"/>
    </xf>
    <xf numFmtId="0" fontId="18" fillId="0" borderId="29" xfId="5" applyFont="1" applyFill="1" applyBorder="1" applyAlignment="1">
      <alignment horizontal="left" vertical="center" wrapText="1"/>
    </xf>
    <xf numFmtId="1" fontId="16" fillId="6" borderId="0" xfId="5" applyNumberFormat="1" applyFont="1" applyFill="1" applyBorder="1" applyAlignment="1">
      <alignment horizontal="center" vertical="center" wrapText="1"/>
    </xf>
    <xf numFmtId="1" fontId="16" fillId="7" borderId="35" xfId="5" applyNumberFormat="1" applyFont="1" applyFill="1" applyBorder="1" applyAlignment="1">
      <alignment horizontal="center"/>
    </xf>
    <xf numFmtId="1" fontId="16" fillId="8" borderId="0" xfId="5" applyNumberFormat="1" applyFont="1" applyFill="1" applyBorder="1" applyAlignment="1">
      <alignment horizontal="center" vertical="center" wrapText="1"/>
    </xf>
    <xf numFmtId="0" fontId="16" fillId="5" borderId="30" xfId="5" applyFont="1" applyFill="1" applyBorder="1" applyAlignment="1">
      <alignment horizontal="left"/>
    </xf>
    <xf numFmtId="0" fontId="16" fillId="5" borderId="52" xfId="5" applyFont="1" applyFill="1" applyBorder="1" applyAlignment="1">
      <alignment horizontal="left" vertical="center" wrapText="1"/>
    </xf>
    <xf numFmtId="0" fontId="16" fillId="5" borderId="16" xfId="5" applyFont="1" applyFill="1" applyBorder="1" applyAlignment="1">
      <alignment horizontal="center"/>
    </xf>
    <xf numFmtId="10" fontId="15" fillId="6" borderId="2" xfId="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69" fontId="0" fillId="0" borderId="0" xfId="1" applyNumberFormat="1" applyFont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170" fontId="0" fillId="0" borderId="10" xfId="0" applyNumberFormat="1" applyBorder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0" fontId="14" fillId="0" borderId="0" xfId="5" applyFont="1" applyAlignment="1">
      <alignment vertical="distributed" wrapText="1"/>
    </xf>
    <xf numFmtId="0" fontId="16" fillId="0" borderId="0" xfId="5" applyFont="1" applyFill="1" applyBorder="1" applyAlignment="1">
      <alignment vertical="distributed" wrapText="1"/>
    </xf>
    <xf numFmtId="0" fontId="15" fillId="5" borderId="7" xfId="5" applyFont="1" applyFill="1" applyBorder="1" applyAlignment="1">
      <alignment vertical="distributed" wrapText="1"/>
    </xf>
    <xf numFmtId="0" fontId="15" fillId="5" borderId="13" xfId="5" applyFont="1" applyFill="1" applyBorder="1" applyAlignment="1">
      <alignment vertical="distributed" wrapText="1"/>
    </xf>
    <xf numFmtId="0" fontId="16" fillId="6" borderId="33" xfId="0" applyFont="1" applyFill="1" applyBorder="1" applyAlignment="1">
      <alignment vertical="distributed" wrapText="1"/>
    </xf>
    <xf numFmtId="0" fontId="16" fillId="6" borderId="34" xfId="0" applyFont="1" applyFill="1" applyBorder="1" applyAlignment="1">
      <alignment vertical="distributed" wrapText="1"/>
    </xf>
    <xf numFmtId="0" fontId="16" fillId="6" borderId="53" xfId="0" applyFont="1" applyFill="1" applyBorder="1" applyAlignment="1">
      <alignment vertical="distributed" wrapText="1"/>
    </xf>
    <xf numFmtId="10" fontId="16" fillId="6" borderId="33" xfId="2" applyNumberFormat="1" applyFont="1" applyFill="1" applyBorder="1" applyAlignment="1">
      <alignment vertical="distributed" wrapText="1"/>
    </xf>
    <xf numFmtId="10" fontId="16" fillId="6" borderId="34" xfId="2" applyNumberFormat="1" applyFont="1" applyFill="1" applyBorder="1" applyAlignment="1">
      <alignment vertical="distributed" wrapText="1"/>
    </xf>
    <xf numFmtId="10" fontId="16" fillId="6" borderId="53" xfId="2" applyNumberFormat="1" applyFont="1" applyFill="1" applyBorder="1" applyAlignment="1">
      <alignment vertical="distributed" wrapText="1"/>
    </xf>
    <xf numFmtId="0" fontId="16" fillId="6" borderId="33" xfId="5" applyFont="1" applyFill="1" applyBorder="1" applyAlignment="1">
      <alignment vertical="distributed" wrapText="1"/>
    </xf>
    <xf numFmtId="0" fontId="16" fillId="6" borderId="34" xfId="5" applyFont="1" applyFill="1" applyBorder="1" applyAlignment="1">
      <alignment vertical="distributed" wrapText="1"/>
    </xf>
    <xf numFmtId="0" fontId="16" fillId="6" borderId="53" xfId="5" applyFont="1" applyFill="1" applyBorder="1" applyAlignment="1">
      <alignment vertical="distributed" wrapText="1"/>
    </xf>
    <xf numFmtId="0" fontId="16" fillId="6" borderId="33" xfId="1" applyNumberFormat="1" applyFont="1" applyFill="1" applyBorder="1" applyAlignment="1">
      <alignment vertical="distributed" wrapText="1"/>
    </xf>
    <xf numFmtId="0" fontId="16" fillId="6" borderId="34" xfId="1" applyNumberFormat="1" applyFont="1" applyFill="1" applyBorder="1" applyAlignment="1">
      <alignment vertical="distributed" wrapText="1"/>
    </xf>
    <xf numFmtId="0" fontId="16" fillId="6" borderId="47" xfId="1" applyNumberFormat="1" applyFont="1" applyFill="1" applyBorder="1" applyAlignment="1">
      <alignment vertical="distributed" wrapText="1"/>
    </xf>
    <xf numFmtId="0" fontId="16" fillId="6" borderId="23" xfId="1" applyNumberFormat="1" applyFont="1" applyFill="1" applyBorder="1" applyAlignment="1">
      <alignment vertical="distributed" wrapText="1"/>
    </xf>
    <xf numFmtId="0" fontId="16" fillId="6" borderId="24" xfId="1" applyNumberFormat="1" applyFont="1" applyFill="1" applyBorder="1" applyAlignment="1">
      <alignment vertical="distributed" wrapText="1"/>
    </xf>
    <xf numFmtId="0" fontId="16" fillId="6" borderId="15" xfId="1" applyNumberFormat="1" applyFont="1" applyFill="1" applyBorder="1" applyAlignment="1">
      <alignment vertical="distributed" wrapText="1"/>
    </xf>
    <xf numFmtId="0" fontId="0" fillId="0" borderId="0" xfId="0" applyAlignment="1">
      <alignment vertical="distributed" wrapText="1"/>
    </xf>
    <xf numFmtId="170" fontId="16" fillId="8" borderId="2" xfId="5" applyNumberFormat="1" applyFont="1" applyFill="1" applyBorder="1" applyAlignment="1">
      <alignment horizontal="center" vertical="center" wrapText="1"/>
    </xf>
    <xf numFmtId="0" fontId="16" fillId="6" borderId="23" xfId="1" applyNumberFormat="1" applyFont="1" applyFill="1" applyBorder="1" applyAlignment="1">
      <alignment horizontal="left" vertical="top" wrapText="1"/>
    </xf>
    <xf numFmtId="0" fontId="16" fillId="6" borderId="24" xfId="1" applyNumberFormat="1" applyFont="1" applyFill="1" applyBorder="1" applyAlignment="1">
      <alignment horizontal="left" vertical="top" wrapText="1"/>
    </xf>
    <xf numFmtId="0" fontId="16" fillId="6" borderId="15" xfId="1" applyNumberFormat="1" applyFont="1" applyFill="1" applyBorder="1" applyAlignment="1">
      <alignment horizontal="left" vertical="top" wrapText="1"/>
    </xf>
    <xf numFmtId="0" fontId="15" fillId="5" borderId="7" xfId="5" applyFont="1" applyFill="1" applyBorder="1" applyAlignment="1">
      <alignment vertical="justify" wrapText="1"/>
    </xf>
    <xf numFmtId="0" fontId="0" fillId="0" borderId="13" xfId="0" applyBorder="1" applyAlignment="1">
      <alignment vertical="justify" wrapText="1"/>
    </xf>
    <xf numFmtId="0" fontId="16" fillId="6" borderId="33" xfId="0" applyFont="1" applyFill="1" applyBorder="1" applyAlignment="1">
      <alignment vertical="top" wrapText="1"/>
    </xf>
    <xf numFmtId="0" fontId="16" fillId="6" borderId="34" xfId="0" applyFont="1" applyFill="1" applyBorder="1" applyAlignment="1">
      <alignment vertical="top" wrapText="1"/>
    </xf>
    <xf numFmtId="0" fontId="16" fillId="6" borderId="53" xfId="0" applyFont="1" applyFill="1" applyBorder="1" applyAlignment="1">
      <alignment vertical="top" wrapText="1"/>
    </xf>
    <xf numFmtId="10" fontId="16" fillId="6" borderId="33" xfId="2" applyNumberFormat="1" applyFont="1" applyFill="1" applyBorder="1" applyAlignment="1">
      <alignment vertical="top" wrapText="1"/>
    </xf>
    <xf numFmtId="10" fontId="16" fillId="6" borderId="34" xfId="2" applyNumberFormat="1" applyFont="1" applyFill="1" applyBorder="1" applyAlignment="1">
      <alignment vertical="top" wrapText="1"/>
    </xf>
    <xf numFmtId="0" fontId="0" fillId="6" borderId="34" xfId="0" applyFill="1" applyBorder="1" applyAlignment="1">
      <alignment vertical="top" wrapText="1"/>
    </xf>
    <xf numFmtId="0" fontId="0" fillId="6" borderId="53" xfId="0" applyFill="1" applyBorder="1" applyAlignment="1">
      <alignment vertical="top" wrapText="1"/>
    </xf>
    <xf numFmtId="0" fontId="16" fillId="6" borderId="33" xfId="5" applyFont="1" applyFill="1" applyBorder="1" applyAlignment="1">
      <alignment vertical="top" wrapText="1"/>
    </xf>
    <xf numFmtId="0" fontId="16" fillId="6" borderId="34" xfId="5" applyFont="1" applyFill="1" applyBorder="1" applyAlignment="1">
      <alignment vertical="top" wrapText="1"/>
    </xf>
    <xf numFmtId="0" fontId="0" fillId="6" borderId="34" xfId="0" applyFill="1" applyBorder="1" applyAlignment="1">
      <alignment wrapText="1"/>
    </xf>
    <xf numFmtId="0" fontId="0" fillId="6" borderId="53" xfId="0" applyFill="1" applyBorder="1" applyAlignment="1">
      <alignment wrapText="1"/>
    </xf>
    <xf numFmtId="0" fontId="16" fillId="6" borderId="33" xfId="1" applyNumberFormat="1" applyFont="1" applyFill="1" applyBorder="1" applyAlignment="1">
      <alignment vertical="top" wrapText="1"/>
    </xf>
    <xf numFmtId="0" fontId="16" fillId="6" borderId="34" xfId="1" applyNumberFormat="1" applyFont="1" applyFill="1" applyBorder="1" applyAlignment="1">
      <alignment vertical="top" wrapText="1"/>
    </xf>
    <xf numFmtId="0" fontId="16" fillId="6" borderId="47" xfId="1" applyNumberFormat="1" applyFont="1" applyFill="1" applyBorder="1" applyAlignment="1">
      <alignment vertical="top" wrapText="1"/>
    </xf>
    <xf numFmtId="0" fontId="16" fillId="6" borderId="23" xfId="1" applyNumberFormat="1" applyFont="1" applyFill="1" applyBorder="1" applyAlignment="1">
      <alignment vertical="top" wrapText="1"/>
    </xf>
    <xf numFmtId="0" fontId="16" fillId="6" borderId="24" xfId="1" applyNumberFormat="1" applyFont="1" applyFill="1" applyBorder="1" applyAlignment="1">
      <alignment vertical="top" wrapText="1"/>
    </xf>
    <xf numFmtId="0" fontId="16" fillId="6" borderId="15" xfId="1" applyNumberFormat="1" applyFont="1" applyFill="1" applyBorder="1" applyAlignment="1">
      <alignment vertical="top" wrapText="1"/>
    </xf>
    <xf numFmtId="0" fontId="15" fillId="5" borderId="13" xfId="5" applyFont="1" applyFill="1" applyBorder="1" applyAlignment="1">
      <alignment vertical="justify" wrapText="1"/>
    </xf>
    <xf numFmtId="10" fontId="16" fillId="6" borderId="53" xfId="2" applyNumberFormat="1" applyFont="1" applyFill="1" applyBorder="1" applyAlignment="1">
      <alignment vertical="top" wrapText="1"/>
    </xf>
    <xf numFmtId="0" fontId="16" fillId="6" borderId="53" xfId="5" applyFont="1" applyFill="1" applyBorder="1" applyAlignment="1">
      <alignment vertical="top" wrapText="1"/>
    </xf>
    <xf numFmtId="0" fontId="0" fillId="0" borderId="37" xfId="0" applyBorder="1"/>
    <xf numFmtId="17" fontId="3" fillId="0" borderId="0" xfId="0" applyNumberFormat="1" applyFont="1" applyBorder="1"/>
    <xf numFmtId="1" fontId="0" fillId="0" borderId="19" xfId="0" applyNumberFormat="1" applyBorder="1"/>
    <xf numFmtId="17" fontId="3" fillId="2" borderId="54" xfId="0" applyNumberFormat="1" applyFont="1" applyFill="1" applyBorder="1"/>
    <xf numFmtId="9" fontId="0" fillId="0" borderId="3" xfId="0" applyNumberFormat="1" applyBorder="1" applyAlignment="1">
      <alignment horizontal="right"/>
    </xf>
    <xf numFmtId="9" fontId="23" fillId="0" borderId="11" xfId="0" applyNumberFormat="1" applyFont="1" applyBorder="1"/>
    <xf numFmtId="17" fontId="3" fillId="2" borderId="2" xfId="0" applyNumberFormat="1" applyFont="1" applyFill="1" applyBorder="1"/>
    <xf numFmtId="9" fontId="23" fillId="0" borderId="2" xfId="0" applyNumberFormat="1" applyFont="1" applyBorder="1"/>
    <xf numFmtId="165" fontId="0" fillId="0" borderId="54" xfId="2" applyNumberFormat="1" applyFont="1" applyBorder="1" applyAlignment="1">
      <alignment horizontal="right"/>
    </xf>
    <xf numFmtId="165" fontId="0" fillId="0" borderId="11" xfId="2" applyNumberFormat="1" applyFont="1" applyBorder="1"/>
    <xf numFmtId="165" fontId="23" fillId="0" borderId="11" xfId="2" applyNumberFormat="1" applyFont="1" applyBorder="1"/>
    <xf numFmtId="165" fontId="0" fillId="0" borderId="55" xfId="2" applyNumberFormat="1" applyFont="1" applyBorder="1"/>
    <xf numFmtId="165" fontId="2" fillId="0" borderId="11" xfId="2" applyNumberFormat="1" applyFont="1" applyBorder="1"/>
    <xf numFmtId="165" fontId="0" fillId="0" borderId="2" xfId="2" applyNumberFormat="1" applyFont="1" applyBorder="1" applyAlignment="1">
      <alignment horizontal="right"/>
    </xf>
    <xf numFmtId="0" fontId="3" fillId="2" borderId="56" xfId="0" applyFont="1" applyFill="1" applyBorder="1"/>
    <xf numFmtId="165" fontId="3" fillId="0" borderId="3" xfId="2" applyNumberFormat="1" applyFont="1" applyBorder="1"/>
    <xf numFmtId="165" fontId="0" fillId="0" borderId="3" xfId="2" applyNumberFormat="1" applyFont="1" applyBorder="1"/>
    <xf numFmtId="0" fontId="0" fillId="0" borderId="3" xfId="0" applyBorder="1"/>
    <xf numFmtId="0" fontId="2" fillId="0" borderId="11" xfId="0" applyFont="1" applyBorder="1"/>
    <xf numFmtId="0" fontId="2" fillId="0" borderId="2" xfId="0" applyFont="1" applyBorder="1"/>
    <xf numFmtId="17" fontId="3" fillId="2" borderId="23" xfId="0" applyNumberFormat="1" applyFont="1" applyFill="1" applyBorder="1"/>
    <xf numFmtId="9" fontId="23" fillId="0" borderId="2" xfId="2" applyNumberFormat="1" applyFont="1" applyBorder="1"/>
    <xf numFmtId="170" fontId="0" fillId="0" borderId="2" xfId="0" applyNumberFormat="1" applyBorder="1"/>
    <xf numFmtId="0" fontId="3" fillId="2" borderId="29" xfId="0" applyFont="1" applyFill="1" applyBorder="1"/>
    <xf numFmtId="0" fontId="3" fillId="0" borderId="19" xfId="0" applyFont="1" applyBorder="1"/>
    <xf numFmtId="167" fontId="0" fillId="0" borderId="39" xfId="0" applyNumberFormat="1" applyBorder="1"/>
    <xf numFmtId="167" fontId="0" fillId="0" borderId="39" xfId="1" applyNumberFormat="1" applyFont="1" applyBorder="1"/>
    <xf numFmtId="164" fontId="0" fillId="0" borderId="39" xfId="1" applyNumberFormat="1" applyFont="1" applyBorder="1"/>
    <xf numFmtId="9" fontId="0" fillId="0" borderId="39" xfId="2" applyFont="1" applyBorder="1"/>
    <xf numFmtId="166" fontId="0" fillId="0" borderId="39" xfId="1" applyNumberFormat="1" applyFont="1" applyBorder="1"/>
    <xf numFmtId="167" fontId="3" fillId="0" borderId="19" xfId="1" applyNumberFormat="1" applyFont="1" applyBorder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170" fontId="16" fillId="6" borderId="2" xfId="5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Border="1"/>
    <xf numFmtId="1" fontId="2" fillId="0" borderId="41" xfId="0" applyNumberFormat="1" applyFont="1" applyBorder="1"/>
    <xf numFmtId="0" fontId="2" fillId="0" borderId="0" xfId="0" applyFont="1" applyFill="1" applyBorder="1"/>
    <xf numFmtId="170" fontId="0" fillId="0" borderId="19" xfId="0" applyNumberFormat="1" applyBorder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1" fontId="16" fillId="6" borderId="30" xfId="5" applyNumberFormat="1" applyFont="1" applyFill="1" applyBorder="1" applyAlignment="1">
      <alignment horizontal="center"/>
    </xf>
    <xf numFmtId="170" fontId="16" fillId="8" borderId="16" xfId="5" applyNumberFormat="1" applyFont="1" applyFill="1" applyBorder="1" applyAlignment="1">
      <alignment horizontal="center" vertical="center" wrapText="1"/>
    </xf>
    <xf numFmtId="17" fontId="3" fillId="0" borderId="0" xfId="0" applyNumberFormat="1" applyFont="1" applyBorder="1" applyAlignment="1">
      <alignment horizontal="left"/>
    </xf>
    <xf numFmtId="170" fontId="0" fillId="0" borderId="0" xfId="0" applyNumberFormat="1" applyBorder="1"/>
    <xf numFmtId="0" fontId="3" fillId="2" borderId="5" xfId="0" applyFont="1" applyFill="1" applyBorder="1"/>
    <xf numFmtId="0" fontId="0" fillId="0" borderId="57" xfId="0" applyBorder="1"/>
    <xf numFmtId="0" fontId="0" fillId="0" borderId="8" xfId="0" applyBorder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right"/>
    </xf>
    <xf numFmtId="167" fontId="9" fillId="0" borderId="2" xfId="1" applyNumberFormat="1" applyFont="1" applyFill="1" applyBorder="1" applyAlignment="1">
      <alignment horizontal="center" vertical="center"/>
    </xf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169" fontId="3" fillId="0" borderId="0" xfId="1" applyNumberFormat="1" applyFont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167" fontId="10" fillId="0" borderId="2" xfId="1" applyNumberFormat="1" applyFont="1" applyFill="1" applyBorder="1" applyAlignment="1">
      <alignment vertical="center"/>
    </xf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9" fontId="16" fillId="6" borderId="15" xfId="2" applyFont="1" applyFill="1" applyBorder="1" applyAlignment="1">
      <alignment horizontal="center" vertical="center" wrapText="1"/>
    </xf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0" fontId="15" fillId="7" borderId="52" xfId="5" applyFont="1" applyFill="1" applyBorder="1" applyAlignment="1">
      <alignment horizontal="left"/>
    </xf>
    <xf numFmtId="0" fontId="16" fillId="8" borderId="52" xfId="5" applyFont="1" applyFill="1" applyBorder="1" applyAlignment="1">
      <alignment horizontal="left"/>
    </xf>
    <xf numFmtId="1" fontId="15" fillId="6" borderId="58" xfId="5" applyNumberFormat="1" applyFont="1" applyFill="1" applyBorder="1" applyAlignment="1">
      <alignment horizontal="left"/>
    </xf>
    <xf numFmtId="0" fontId="3" fillId="0" borderId="12" xfId="0" applyFont="1" applyBorder="1"/>
    <xf numFmtId="0" fontId="18" fillId="0" borderId="29" xfId="5" applyFont="1" applyFill="1" applyBorder="1" applyAlignment="1">
      <alignment horizontal="left" vertical="center" wrapText="1"/>
    </xf>
    <xf numFmtId="0" fontId="15" fillId="5" borderId="7" xfId="5" applyFont="1" applyFill="1" applyBorder="1" applyAlignment="1">
      <alignment horizontal="center" wrapText="1"/>
    </xf>
    <xf numFmtId="9" fontId="3" fillId="0" borderId="19" xfId="2" applyFont="1" applyBorder="1"/>
    <xf numFmtId="1" fontId="0" fillId="0" borderId="2" xfId="0" applyNumberFormat="1" applyBorder="1"/>
    <xf numFmtId="1" fontId="16" fillId="5" borderId="16" xfId="5" applyNumberFormat="1" applyFont="1" applyFill="1" applyBorder="1" applyAlignment="1">
      <alignment horizontal="left"/>
    </xf>
    <xf numFmtId="169" fontId="10" fillId="0" borderId="0" xfId="3" applyNumberFormat="1" applyFont="1" applyAlignment="1">
      <alignment vertical="center"/>
    </xf>
    <xf numFmtId="0" fontId="3" fillId="0" borderId="27" xfId="0" applyFont="1" applyBorder="1"/>
    <xf numFmtId="169" fontId="0" fillId="0" borderId="19" xfId="1" applyNumberFormat="1" applyFont="1" applyBorder="1"/>
    <xf numFmtId="9" fontId="3" fillId="0" borderId="39" xfId="2" applyFont="1" applyBorder="1"/>
    <xf numFmtId="164" fontId="0" fillId="0" borderId="39" xfId="0" applyNumberFormat="1" applyBorder="1"/>
    <xf numFmtId="166" fontId="0" fillId="0" borderId="39" xfId="0" applyNumberFormat="1" applyBorder="1"/>
    <xf numFmtId="167" fontId="0" fillId="0" borderId="19" xfId="0" applyNumberFormat="1" applyBorder="1"/>
    <xf numFmtId="166" fontId="0" fillId="0" borderId="19" xfId="1" applyNumberFormat="1" applyFont="1" applyBorder="1"/>
    <xf numFmtId="1" fontId="0" fillId="0" borderId="39" xfId="0" applyNumberFormat="1" applyBorder="1"/>
    <xf numFmtId="1" fontId="2" fillId="0" borderId="40" xfId="0" applyNumberFormat="1" applyFont="1" applyBorder="1"/>
    <xf numFmtId="0" fontId="3" fillId="0" borderId="3" xfId="0" applyFont="1" applyBorder="1"/>
    <xf numFmtId="17" fontId="3" fillId="0" borderId="39" xfId="0" applyNumberFormat="1" applyFont="1" applyBorder="1"/>
    <xf numFmtId="1" fontId="2" fillId="0" borderId="39" xfId="0" applyNumberFormat="1" applyFont="1" applyBorder="1"/>
    <xf numFmtId="166" fontId="3" fillId="0" borderId="12" xfId="1" applyNumberFormat="1" applyFont="1" applyBorder="1"/>
    <xf numFmtId="165" fontId="2" fillId="0" borderId="2" xfId="2" applyNumberFormat="1" applyFont="1" applyBorder="1" applyAlignment="1">
      <alignment horizontal="right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4" fillId="9" borderId="0" xfId="0" applyFont="1" applyFill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/>
    </xf>
    <xf numFmtId="0" fontId="18" fillId="0" borderId="7" xfId="5" applyFont="1" applyFill="1" applyBorder="1" applyAlignment="1">
      <alignment horizontal="left" vertical="center" wrapText="1"/>
    </xf>
    <xf numFmtId="0" fontId="18" fillId="0" borderId="29" xfId="5" applyFont="1" applyFill="1" applyBorder="1" applyAlignment="1">
      <alignment horizontal="left" vertical="center" wrapText="1"/>
    </xf>
    <xf numFmtId="0" fontId="18" fillId="0" borderId="13" xfId="5" applyFont="1" applyFill="1" applyBorder="1" applyAlignment="1">
      <alignment horizontal="left" vertical="center" wrapText="1"/>
    </xf>
    <xf numFmtId="0" fontId="17" fillId="4" borderId="5" xfId="5" applyFont="1" applyFill="1" applyBorder="1" applyAlignment="1">
      <alignment vertical="top"/>
    </xf>
    <xf numFmtId="0" fontId="17" fillId="4" borderId="8" xfId="5" applyFont="1" applyFill="1" applyBorder="1" applyAlignment="1">
      <alignment vertical="top"/>
    </xf>
    <xf numFmtId="0" fontId="15" fillId="5" borderId="7" xfId="5" applyFont="1" applyFill="1" applyBorder="1" applyAlignment="1">
      <alignment horizontal="center" wrapText="1"/>
    </xf>
    <xf numFmtId="0" fontId="15" fillId="5" borderId="13" xfId="5" applyFont="1" applyFill="1" applyBorder="1" applyAlignment="1">
      <alignment horizontal="center" wrapText="1"/>
    </xf>
    <xf numFmtId="0" fontId="15" fillId="5" borderId="7" xfId="5" applyFont="1" applyFill="1" applyBorder="1" applyAlignment="1">
      <alignment horizontal="center" vertical="justify" wrapText="1"/>
    </xf>
    <xf numFmtId="0" fontId="15" fillId="5" borderId="13" xfId="5" applyFont="1" applyFill="1" applyBorder="1" applyAlignment="1">
      <alignment horizontal="center" vertical="justify" wrapText="1"/>
    </xf>
    <xf numFmtId="0" fontId="18" fillId="0" borderId="37" xfId="5" applyFont="1" applyFill="1" applyBorder="1" applyAlignment="1">
      <alignment horizontal="left" vertical="center"/>
    </xf>
    <xf numFmtId="0" fontId="18" fillId="0" borderId="39" xfId="5" applyFont="1" applyFill="1" applyBorder="1" applyAlignment="1">
      <alignment horizontal="left" vertical="center"/>
    </xf>
    <xf numFmtId="0" fontId="18" fillId="0" borderId="40" xfId="5" applyFont="1" applyFill="1" applyBorder="1" applyAlignment="1">
      <alignment horizontal="left" vertical="center"/>
    </xf>
    <xf numFmtId="0" fontId="18" fillId="0" borderId="7" xfId="5" applyFont="1" applyFill="1" applyBorder="1" applyAlignment="1">
      <alignment horizontal="center" vertical="center"/>
    </xf>
    <xf numFmtId="0" fontId="18" fillId="0" borderId="29" xfId="5" applyFont="1" applyFill="1" applyBorder="1" applyAlignment="1">
      <alignment horizontal="center" vertical="center"/>
    </xf>
    <xf numFmtId="0" fontId="18" fillId="0" borderId="13" xfId="5" applyFont="1" applyFill="1" applyBorder="1" applyAlignment="1">
      <alignment horizontal="center" vertical="center"/>
    </xf>
    <xf numFmtId="0" fontId="18" fillId="0" borderId="7" xfId="5" applyFont="1" applyFill="1" applyBorder="1" applyAlignment="1">
      <alignment vertical="center"/>
    </xf>
    <xf numFmtId="0" fontId="18" fillId="0" borderId="29" xfId="5" applyFont="1" applyFill="1" applyBorder="1" applyAlignment="1">
      <alignment vertical="center"/>
    </xf>
    <xf numFmtId="0" fontId="18" fillId="0" borderId="13" xfId="5" applyFont="1" applyFill="1" applyBorder="1" applyAlignment="1">
      <alignment vertical="center"/>
    </xf>
    <xf numFmtId="0" fontId="18" fillId="0" borderId="39" xfId="5" applyFont="1" applyFill="1" applyBorder="1" applyAlignment="1">
      <alignment horizontal="left" vertical="center" wrapText="1"/>
    </xf>
    <xf numFmtId="0" fontId="18" fillId="0" borderId="14" xfId="5" applyFont="1" applyFill="1" applyBorder="1" applyAlignment="1">
      <alignment vertical="center"/>
    </xf>
    <xf numFmtId="0" fontId="18" fillId="0" borderId="18" xfId="5" applyFont="1" applyFill="1" applyBorder="1" applyAlignment="1">
      <alignment vertical="center"/>
    </xf>
    <xf numFmtId="0" fontId="18" fillId="0" borderId="20" xfId="5" applyFont="1" applyFill="1" applyBorder="1" applyAlignment="1">
      <alignment vertical="center"/>
    </xf>
    <xf numFmtId="0" fontId="18" fillId="0" borderId="26" xfId="5" applyFont="1" applyFill="1" applyBorder="1" applyAlignment="1">
      <alignment vertical="center"/>
    </xf>
    <xf numFmtId="0" fontId="18" fillId="0" borderId="14" xfId="5" applyFont="1" applyFill="1" applyBorder="1" applyAlignment="1">
      <alignment horizontal="left" vertical="center"/>
    </xf>
    <xf numFmtId="0" fontId="18" fillId="0" borderId="18" xfId="5" applyFont="1" applyFill="1" applyBorder="1" applyAlignment="1">
      <alignment horizontal="left" vertical="center"/>
    </xf>
    <xf numFmtId="0" fontId="18" fillId="0" borderId="20" xfId="5" applyFont="1" applyFill="1" applyBorder="1" applyAlignment="1">
      <alignment horizontal="left" vertical="center"/>
    </xf>
    <xf numFmtId="0" fontId="18" fillId="0" borderId="25" xfId="5" applyFont="1" applyFill="1" applyBorder="1" applyAlignment="1">
      <alignment horizontal="left" vertical="center"/>
    </xf>
    <xf numFmtId="0" fontId="18" fillId="0" borderId="26" xfId="5" applyFont="1" applyFill="1" applyBorder="1" applyAlignment="1">
      <alignment horizontal="left" vertical="center"/>
    </xf>
    <xf numFmtId="0" fontId="18" fillId="0" borderId="36" xfId="5" applyFont="1" applyFill="1" applyBorder="1" applyAlignment="1">
      <alignment vertical="center"/>
    </xf>
    <xf numFmtId="0" fontId="0" fillId="0" borderId="8" xfId="0" applyBorder="1" applyAlignment="1">
      <alignment vertical="top"/>
    </xf>
    <xf numFmtId="0" fontId="0" fillId="0" borderId="13" xfId="0" applyBorder="1" applyAlignment="1">
      <alignment horizontal="center" vertical="justify" wrapText="1"/>
    </xf>
    <xf numFmtId="167" fontId="3" fillId="0" borderId="0" xfId="0" applyNumberFormat="1" applyFont="1"/>
  </cellXfs>
  <cellStyles count="7">
    <cellStyle name="Comma" xfId="1" builtinId="3"/>
    <cellStyle name="Comma 9" xfId="4"/>
    <cellStyle name="Normal" xfId="0" builtinId="0"/>
    <cellStyle name="Normal 2" xfId="6"/>
    <cellStyle name="Normal 9" xfId="3"/>
    <cellStyle name="Normal_Overall Equipment Effectiveness report format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showGridLines="0" tabSelected="1" topLeftCell="K4" zoomScale="87" zoomScaleNormal="87" workbookViewId="0">
      <selection activeCell="S27" sqref="Q27:S28"/>
    </sheetView>
  </sheetViews>
  <sheetFormatPr defaultRowHeight="15" x14ac:dyDescent="0.25"/>
  <cols>
    <col min="1" max="1" width="31.5703125" customWidth="1"/>
    <col min="2" max="2" width="27.85546875" bestFit="1" customWidth="1"/>
    <col min="3" max="3" width="11.28515625" bestFit="1" customWidth="1"/>
    <col min="4" max="4" width="13.28515625" bestFit="1" customWidth="1"/>
    <col min="5" max="5" width="13.28515625" customWidth="1"/>
    <col min="6" max="6" width="3.7109375" customWidth="1"/>
    <col min="7" max="7" width="26.140625" customWidth="1"/>
    <col min="9" max="9" width="9.7109375" customWidth="1"/>
    <col min="10" max="10" width="13.85546875" customWidth="1"/>
    <col min="11" max="11" width="10.5703125" bestFit="1" customWidth="1"/>
    <col min="12" max="12" width="15.5703125" customWidth="1"/>
    <col min="13" max="13" width="10.28515625" bestFit="1" customWidth="1"/>
    <col min="14" max="14" width="3.140625" customWidth="1"/>
    <col min="15" max="15" width="10" customWidth="1"/>
    <col min="16" max="16" width="29.28515625" bestFit="1" customWidth="1"/>
    <col min="17" max="18" width="8.140625" bestFit="1" customWidth="1"/>
    <col min="19" max="19" width="1.7109375" customWidth="1"/>
    <col min="20" max="20" width="11.5703125" customWidth="1"/>
    <col min="21" max="21" width="13.28515625" bestFit="1" customWidth="1"/>
    <col min="22" max="22" width="12.42578125" bestFit="1" customWidth="1"/>
  </cols>
  <sheetData>
    <row r="1" spans="1:22" ht="19.5" thickBot="1" x14ac:dyDescent="0.35">
      <c r="A1" s="394" t="s">
        <v>290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</row>
    <row r="2" spans="1:22" ht="15.75" thickBot="1" x14ac:dyDescent="0.3">
      <c r="A2" s="348" t="s">
        <v>114</v>
      </c>
      <c r="B2" s="180"/>
      <c r="C2" s="182">
        <v>42248</v>
      </c>
      <c r="D2" s="304" t="s">
        <v>334</v>
      </c>
      <c r="E2" s="307" t="s">
        <v>471</v>
      </c>
      <c r="F2" s="9"/>
      <c r="G2" s="395" t="s">
        <v>336</v>
      </c>
      <c r="H2" s="396"/>
      <c r="I2" s="396"/>
      <c r="J2" s="396"/>
      <c r="K2" s="396"/>
      <c r="L2" s="396"/>
      <c r="M2" s="397"/>
      <c r="O2" s="393" t="s">
        <v>106</v>
      </c>
      <c r="P2" s="393"/>
      <c r="Q2" s="393"/>
      <c r="R2" s="393"/>
      <c r="S2" s="393"/>
      <c r="T2" s="393"/>
      <c r="U2" s="393"/>
      <c r="V2" s="393"/>
    </row>
    <row r="3" spans="1:22" x14ac:dyDescent="0.25">
      <c r="A3" s="349"/>
      <c r="B3" s="142" t="s">
        <v>298</v>
      </c>
      <c r="C3" s="201">
        <f>+'Sales Order Position'!C3</f>
        <v>0.56999999999999995</v>
      </c>
      <c r="D3" s="305">
        <f>AVERAGE('Sales Order Position'!D3:I3)</f>
        <v>0.625</v>
      </c>
      <c r="E3" s="201">
        <f>AVERAGE('Sales Order Position'!J3:U3)</f>
        <v>0.69666666666666677</v>
      </c>
      <c r="G3" s="147"/>
      <c r="H3" s="191" t="s">
        <v>273</v>
      </c>
      <c r="I3" s="191" t="s">
        <v>274</v>
      </c>
      <c r="J3" s="191" t="s">
        <v>280</v>
      </c>
      <c r="K3" s="191" t="s">
        <v>380</v>
      </c>
      <c r="L3" s="191" t="s">
        <v>275</v>
      </c>
      <c r="M3" s="202" t="s">
        <v>276</v>
      </c>
      <c r="O3" s="232">
        <v>42064</v>
      </c>
      <c r="P3" s="142"/>
      <c r="Q3" s="215">
        <v>42248</v>
      </c>
      <c r="R3" s="216">
        <v>42401</v>
      </c>
      <c r="S3" s="142"/>
      <c r="T3" s="324" t="s">
        <v>315</v>
      </c>
      <c r="U3" s="217" t="s">
        <v>334</v>
      </c>
      <c r="V3" s="217" t="str">
        <f>E2</f>
        <v>Apr-Mar'17</v>
      </c>
    </row>
    <row r="4" spans="1:22" x14ac:dyDescent="0.25">
      <c r="A4" s="349"/>
      <c r="B4" s="142" t="s">
        <v>299</v>
      </c>
      <c r="C4" s="201">
        <f>+'Sales Order Position'!C8</f>
        <v>0.86533136422374013</v>
      </c>
      <c r="D4" s="305">
        <f>AVERAGE('Sales Order Position'!D4:I4)</f>
        <v>0.70499999999999996</v>
      </c>
      <c r="E4" s="201">
        <f>AVERAGE('Sales Order Position'!J4:U4)</f>
        <v>0.76749999999999996</v>
      </c>
      <c r="G4" s="147"/>
      <c r="H4" s="157" t="s">
        <v>283</v>
      </c>
      <c r="I4" s="157" t="s">
        <v>282</v>
      </c>
      <c r="J4" s="157" t="s">
        <v>281</v>
      </c>
      <c r="K4" s="157" t="s">
        <v>310</v>
      </c>
      <c r="L4" s="159" t="s">
        <v>285</v>
      </c>
      <c r="M4" s="204" t="s">
        <v>296</v>
      </c>
      <c r="O4" s="230">
        <f>SUM(O5:O9)</f>
        <v>23435</v>
      </c>
      <c r="P4" s="158" t="s">
        <v>271</v>
      </c>
      <c r="Q4" s="161">
        <f>+'Inventory Sum'!AE4</f>
        <v>24518.27</v>
      </c>
      <c r="R4" s="183">
        <f>+'Inventory Sum'!AF4</f>
        <v>16414.989999999998</v>
      </c>
      <c r="S4" s="142"/>
      <c r="T4" s="221">
        <f>+'Inventory Sum'!AB4</f>
        <v>24107.05666666666</v>
      </c>
      <c r="U4" s="218">
        <f>+'Inventory Sum'!AC4</f>
        <v>19322.548722388725</v>
      </c>
      <c r="V4" s="218">
        <f>+'Inventory Sum'!AD4</f>
        <v>18919.816806666669</v>
      </c>
    </row>
    <row r="5" spans="1:22" ht="15.75" thickBot="1" x14ac:dyDescent="0.3">
      <c r="A5" s="350"/>
      <c r="B5" s="150" t="s">
        <v>322</v>
      </c>
      <c r="C5" s="236">
        <f t="shared" ref="C5" si="0">+C4-C3</f>
        <v>0.29533136422374018</v>
      </c>
      <c r="D5" s="306">
        <f>+D4-D3</f>
        <v>7.999999999999996E-2</v>
      </c>
      <c r="E5" s="308">
        <f>+E4-E3</f>
        <v>7.0833333333333193E-2</v>
      </c>
      <c r="G5" s="173" t="s">
        <v>277</v>
      </c>
      <c r="H5" s="160">
        <f>+'Capacity Utilisation'!V6</f>
        <v>0.94908624284168586</v>
      </c>
      <c r="I5" s="161">
        <f>+(I6*J6+I7*J7+I8*J8)/J5</f>
        <v>235.05702614379086</v>
      </c>
      <c r="J5" s="162">
        <f>+'Capacity Utilisation'!V9</f>
        <v>25.5</v>
      </c>
      <c r="K5" s="162"/>
      <c r="L5" s="161">
        <f>+(L6*J6+L7*J7+L8*J8)/J5</f>
        <v>321.69934640522871</v>
      </c>
      <c r="M5" s="174">
        <f>+I5/L5</f>
        <v>0.73067299878098346</v>
      </c>
      <c r="N5" s="35"/>
      <c r="O5" s="231">
        <f>4125+2285+355</f>
        <v>6765</v>
      </c>
      <c r="P5" s="158" t="str">
        <f>+'Inventory Sum'!A6</f>
        <v>Finished Goods</v>
      </c>
      <c r="Q5" s="165">
        <f>SUM('Inventory Sum'!AE6:AE8)</f>
        <v>8611.7560000000012</v>
      </c>
      <c r="R5" s="184">
        <f>SUM('Inventory Sum'!AF6:AF8)</f>
        <v>6235.5700000000006</v>
      </c>
      <c r="S5" s="142"/>
      <c r="T5" s="222">
        <f>SUM('Inventory Sum'!AB6:AB8)</f>
        <v>8503.0611666666646</v>
      </c>
      <c r="U5" s="219">
        <f>SUM('Inventory Sum'!AC6:AC8)</f>
        <v>6517.2166666666653</v>
      </c>
      <c r="V5" s="219">
        <f>SUM('Inventory Sum'!AD6:AD8)</f>
        <v>6816.0358861666655</v>
      </c>
    </row>
    <row r="6" spans="1:22" ht="15.75" thickBot="1" x14ac:dyDescent="0.3">
      <c r="G6" s="171" t="s">
        <v>278</v>
      </c>
      <c r="H6" s="164">
        <f>+'Capacity Utilisation'!V16/'Capacity Utilisation'!V15</f>
        <v>0.82080572645527683</v>
      </c>
      <c r="I6" s="165">
        <f>+'Capacity Utilisation'!X18</f>
        <v>277.49799999999999</v>
      </c>
      <c r="J6" s="166">
        <f>+'Capacity Utilisation'!V18</f>
        <v>10.416666666666666</v>
      </c>
      <c r="K6" s="166">
        <f>+'Capacity Utilisation'!V19</f>
        <v>1.8333333333333333</v>
      </c>
      <c r="L6" s="165">
        <f>+'Capacity Utilisation'!Y18</f>
        <v>400</v>
      </c>
      <c r="M6" s="174">
        <f>+I6/L6</f>
        <v>0.69374499999999995</v>
      </c>
      <c r="N6" s="207"/>
      <c r="O6" s="231">
        <v>3183</v>
      </c>
      <c r="P6" s="158" t="s">
        <v>98</v>
      </c>
      <c r="Q6" s="165">
        <f>SUM('Inventory Sum'!AE10:AE11)</f>
        <v>2114.02</v>
      </c>
      <c r="R6" s="184">
        <f>SUM('Inventory Sum'!AF10:AF11)</f>
        <v>2570.4499999999998</v>
      </c>
      <c r="S6" s="142"/>
      <c r="T6" s="222">
        <f>SUM('Inventory Sum'!AB10:AB11)</f>
        <v>2756.1683333333335</v>
      </c>
      <c r="U6" s="219">
        <f>SUM('Inventory Sum'!AC10:AC11)</f>
        <v>2399.1333333333337</v>
      </c>
      <c r="V6" s="219">
        <f>SUM('Inventory Sum'!AD10:AD11)</f>
        <v>2424.5265529166663</v>
      </c>
    </row>
    <row r="7" spans="1:22" ht="15.75" thickBot="1" x14ac:dyDescent="0.3">
      <c r="A7" s="179" t="s">
        <v>300</v>
      </c>
      <c r="B7" s="195"/>
      <c r="C7" s="214" t="s">
        <v>314</v>
      </c>
      <c r="D7" s="304" t="s">
        <v>334</v>
      </c>
      <c r="E7" s="321" t="str">
        <f>E2</f>
        <v>Apr-Mar'17</v>
      </c>
      <c r="G7" s="171" t="s">
        <v>279</v>
      </c>
      <c r="H7" s="164">
        <f>+'Capacity Utilisation'!V22/'Capacity Utilisation'!V21</f>
        <v>1.1638940150681456</v>
      </c>
      <c r="I7" s="165">
        <f>+'Capacity Utilisation'!X24</f>
        <v>219.98528000000005</v>
      </c>
      <c r="J7" s="166">
        <f>+'Capacity Utilisation'!V24</f>
        <v>10.416666666666666</v>
      </c>
      <c r="K7" s="166">
        <f>+'Capacity Utilisation'!V25</f>
        <v>1.1666666666666667</v>
      </c>
      <c r="L7" s="165">
        <f>+'Capacity Utilisation'!Y24</f>
        <v>280</v>
      </c>
      <c r="M7" s="174">
        <f>+I7/L7</f>
        <v>0.78566171428571441</v>
      </c>
      <c r="N7" s="207"/>
      <c r="O7" s="231">
        <f>23435-O5-O6-O8-O9</f>
        <v>10988</v>
      </c>
      <c r="P7" s="158" t="s">
        <v>272</v>
      </c>
      <c r="Q7" s="165">
        <f>SUM('Inventory Sum'!AE13:AE18)-'Inventory Sum'!AE14</f>
        <v>9607.6299999999992</v>
      </c>
      <c r="R7" s="184">
        <f>SUM('Inventory Sum'!AF13:AF18)-'Inventory Sum'!AF14</f>
        <v>5692.13</v>
      </c>
      <c r="S7" s="142"/>
      <c r="T7" s="222">
        <f>SUM('Inventory Sum'!AB13:AB18)-'Inventory Sum'!AB14</f>
        <v>9530.74</v>
      </c>
      <c r="U7" s="219">
        <f>SUM('Inventory Sum'!AC13:AC18)-'Inventory Sum'!AC14</f>
        <v>7193.1687223887238</v>
      </c>
      <c r="V7" s="219">
        <f>SUM('Inventory Sum'!AD13:AD18)-'Inventory Sum'!AD14</f>
        <v>7989.2756925833328</v>
      </c>
    </row>
    <row r="8" spans="1:22" ht="15.75" thickBot="1" x14ac:dyDescent="0.3">
      <c r="A8" s="136" t="s">
        <v>302</v>
      </c>
      <c r="B8" s="210" t="s">
        <v>301</v>
      </c>
      <c r="C8" s="211">
        <f>+('SNOP vs Actual'!AA31+'SNOP vs Actual'!AA39+'SNOP vs Actual'!AA47)/('SNOP vs Actual'!AA3+'SNOP vs Actual'!AA8+'SNOP vs Actual'!AA13)</f>
        <v>0.17202784877060018</v>
      </c>
      <c r="D8" s="309">
        <f>+('SNOP vs Actual'!AB31+'SNOP vs Actual'!AB39+'SNOP vs Actual'!AB47)/('SNOP vs Actual'!AB3+'SNOP vs Actual'!AB8+'SNOP vs Actual'!AB13)</f>
        <v>0.11261339985065379</v>
      </c>
      <c r="E8" s="389">
        <f>+('SNOP vs Actual'!AC31+'SNOP vs Actual'!AC39+'SNOP vs Actual'!AC47)/('SNOP vs Actual'!AC3+'SNOP vs Actual'!AC8+'SNOP vs Actual'!AC13)</f>
        <v>0.10345641575043353</v>
      </c>
      <c r="G8" s="194" t="s">
        <v>254</v>
      </c>
      <c r="H8" s="188">
        <f>+'Capacity Utilisation'!V28/'Capacity Utilisation'!V27</f>
        <v>0.9840444444444445</v>
      </c>
      <c r="I8" s="189">
        <f>+'Capacity Utilisation'!X30</f>
        <v>173.965</v>
      </c>
      <c r="J8" s="190">
        <f>+'Capacity Utilisation'!V30</f>
        <v>4.666666666666667</v>
      </c>
      <c r="K8" s="190">
        <f>+'Capacity Utilisation'!V31</f>
        <v>0.83333333333333337</v>
      </c>
      <c r="L8" s="189">
        <f>+'Capacity Utilisation'!Y30</f>
        <v>240</v>
      </c>
      <c r="M8" s="177">
        <f>+I8/L8</f>
        <v>0.72485416666666669</v>
      </c>
      <c r="O8" s="231">
        <v>2424</v>
      </c>
      <c r="P8" s="158" t="s">
        <v>410</v>
      </c>
      <c r="Q8" s="165">
        <f>+'Inventory Sum'!AE14</f>
        <v>3999.5699999999997</v>
      </c>
      <c r="R8" s="184">
        <f>+'Inventory Sum'!AF14</f>
        <v>1445.88</v>
      </c>
      <c r="S8" s="142"/>
      <c r="T8" s="222">
        <f>+'Inventory Sum'!AB14</f>
        <v>3192.3716666666664</v>
      </c>
      <c r="U8" s="219">
        <f>+'Inventory Sum'!AC14</f>
        <v>2860.146666666667</v>
      </c>
      <c r="V8" s="219">
        <f>+'Inventory Sum'!AD14</f>
        <v>914.39941666666675</v>
      </c>
    </row>
    <row r="9" spans="1:22" ht="15.75" thickBot="1" x14ac:dyDescent="0.3">
      <c r="A9" s="212"/>
      <c r="B9" s="192" t="s">
        <v>411</v>
      </c>
      <c r="C9" s="208">
        <f>(SUM('SNOP vs Actual'!AA32:AA36,'SNOP vs Actual'!AA40:AA44,'SNOP vs Actual'!AA48:AA52))/('SNOP vs Actual'!AA3+'SNOP vs Actual'!AA8+'SNOP vs Actual'!AA13)</f>
        <v>4.8929232396228081E-2</v>
      </c>
      <c r="D9" s="310">
        <f>(SUM('SNOP vs Actual'!AB32:AB36,'SNOP vs Actual'!AB40:AB44,'SNOP vs Actual'!AB48:AB52))/('SNOP vs Actual'!AB3+'SNOP vs Actual'!AB8+'SNOP vs Actual'!AB13)</f>
        <v>5.6338475715352478E-2</v>
      </c>
      <c r="E9" s="168">
        <f>(SUM('SNOP vs Actual'!AC32:AC36,'SNOP vs Actual'!AC40:AC44,'SNOP vs Actual'!AC48:AC52))/('SNOP vs Actual'!AC3+'SNOP vs Actual'!AC8+'SNOP vs Actual'!AC13)</f>
        <v>7.3894845791380309E-2</v>
      </c>
      <c r="J9" s="14"/>
      <c r="K9" s="14"/>
      <c r="O9" s="231">
        <v>75</v>
      </c>
      <c r="P9" s="185" t="s">
        <v>97</v>
      </c>
      <c r="Q9" s="189">
        <f>+'Inventory Sum'!AE19</f>
        <v>185.29400000000001</v>
      </c>
      <c r="R9" s="193">
        <f>+'Inventory Sum'!AF19</f>
        <v>470.96</v>
      </c>
      <c r="S9" s="142"/>
      <c r="T9" s="223">
        <f>+'Inventory Sum'!AB19</f>
        <v>124.71550000000001</v>
      </c>
      <c r="U9" s="220">
        <f>+'Inventory Sum'!AC19</f>
        <v>352.88333333333338</v>
      </c>
      <c r="V9" s="220">
        <f>+'Inventory Sum'!AD19</f>
        <v>775.57925833333354</v>
      </c>
    </row>
    <row r="10" spans="1:22" x14ac:dyDescent="0.25">
      <c r="A10" s="136" t="s">
        <v>9</v>
      </c>
      <c r="B10" s="210" t="s">
        <v>301</v>
      </c>
      <c r="C10" s="211">
        <f>+'SNOP vs Actual'!AD31</f>
        <v>0.14963259853039412</v>
      </c>
      <c r="D10" s="309">
        <f>+'SNOP vs Actual'!AE31</f>
        <v>0.11505750459070262</v>
      </c>
      <c r="E10" s="314">
        <f>+'SNOP vs Actual'!AF31</f>
        <v>5.2960232874782853E-2</v>
      </c>
      <c r="G10" s="203" t="s">
        <v>472</v>
      </c>
      <c r="O10" s="181" t="s">
        <v>321</v>
      </c>
      <c r="P10" s="142"/>
      <c r="Q10" s="141"/>
      <c r="R10" s="155"/>
      <c r="S10" s="142"/>
      <c r="T10" s="141"/>
      <c r="U10" s="155"/>
      <c r="V10" s="155"/>
    </row>
    <row r="11" spans="1:22" ht="15.75" thickBot="1" x14ac:dyDescent="0.3">
      <c r="A11" s="212"/>
      <c r="B11" s="192" t="s">
        <v>411</v>
      </c>
      <c r="C11" s="208">
        <f>+'SNOP vs Actual'!AD36</f>
        <v>3.4031025012988943E-2</v>
      </c>
      <c r="D11" s="311">
        <f>+'SNOP vs Actual'!AE36</f>
        <v>4.9627911471924226E-2</v>
      </c>
      <c r="E11" s="322">
        <f>+'SNOP vs Actual'!AF36</f>
        <v>9.386982174436985E-2</v>
      </c>
      <c r="O11" s="147"/>
      <c r="P11" s="158" t="s">
        <v>289</v>
      </c>
      <c r="Q11" s="165">
        <f>+'SNOP vs Actual'!H25</f>
        <v>9375</v>
      </c>
      <c r="R11" s="184">
        <f>+'SNOP vs Actual'!M25</f>
        <v>9709</v>
      </c>
      <c r="S11" s="142"/>
      <c r="T11" s="165">
        <f>AVERAGE('SNOP vs Actual'!C25:H25)</f>
        <v>8453.6666666666661</v>
      </c>
      <c r="U11" s="184">
        <f>AVERAGE('SNOP vs Actual'!I25:N25)</f>
        <v>10182.833333333334</v>
      </c>
      <c r="V11" s="184">
        <f>AVERAGE('SNOP vs Actual'!O25:Z25)</f>
        <v>8940.0333333333328</v>
      </c>
    </row>
    <row r="12" spans="1:22" ht="15.75" thickBot="1" x14ac:dyDescent="0.3">
      <c r="A12" s="136" t="s">
        <v>10</v>
      </c>
      <c r="B12" s="210" t="s">
        <v>301</v>
      </c>
      <c r="C12" s="238">
        <f>+'SNOP vs Actual'!AD39</f>
        <v>0.22851727042965458</v>
      </c>
      <c r="D12" s="309">
        <f>+'SNOP vs Actual'!AE39</f>
        <v>0.13917309878537665</v>
      </c>
      <c r="E12" s="313">
        <f>+'SNOP vs Actual'!AF39</f>
        <v>0.17687829971571681</v>
      </c>
      <c r="G12" s="390" t="s">
        <v>337</v>
      </c>
      <c r="H12" s="391"/>
      <c r="I12" s="391"/>
      <c r="J12" s="391"/>
      <c r="K12" s="391"/>
      <c r="L12" s="391"/>
      <c r="M12" s="392"/>
      <c r="O12" s="148"/>
      <c r="P12" s="185" t="s">
        <v>294</v>
      </c>
      <c r="Q12" s="186">
        <f>Q4/Q11*30</f>
        <v>78.458464000000006</v>
      </c>
      <c r="R12" s="187">
        <f>+R4/R11*30</f>
        <v>50.720949634359862</v>
      </c>
      <c r="S12" s="149"/>
      <c r="T12" s="186">
        <f>T4/T11*30</f>
        <v>85.550061117463812</v>
      </c>
      <c r="U12" s="187">
        <f>+U4/U11*30</f>
        <v>56.926833887588103</v>
      </c>
      <c r="V12" s="388">
        <f>+V4/V11*30</f>
        <v>63.48908142027809</v>
      </c>
    </row>
    <row r="13" spans="1:22" ht="15.75" thickBot="1" x14ac:dyDescent="0.3">
      <c r="A13" s="212"/>
      <c r="B13" s="192" t="s">
        <v>411</v>
      </c>
      <c r="C13" s="208">
        <f>+'SNOP vs Actual'!AD44</f>
        <v>5.1305812973883751E-2</v>
      </c>
      <c r="D13" s="310">
        <f>+'SNOP vs Actual'!AE44</f>
        <v>4.2960569616466222E-2</v>
      </c>
      <c r="E13" s="168">
        <f>+'SNOP vs Actual'!AF44</f>
        <v>5.2118586706376063E-2</v>
      </c>
      <c r="G13" s="171"/>
      <c r="H13" s="157" t="s">
        <v>273</v>
      </c>
      <c r="I13" s="158" t="s">
        <v>274</v>
      </c>
      <c r="J13" s="158" t="s">
        <v>280</v>
      </c>
      <c r="K13" s="158"/>
      <c r="L13" s="158" t="s">
        <v>305</v>
      </c>
      <c r="M13" s="172" t="s">
        <v>276</v>
      </c>
      <c r="O13" s="11"/>
    </row>
    <row r="14" spans="1:22" ht="15.75" thickBot="1" x14ac:dyDescent="0.3">
      <c r="A14" s="139" t="s">
        <v>11</v>
      </c>
      <c r="B14" s="209" t="s">
        <v>301</v>
      </c>
      <c r="C14" s="213">
        <f>+'SNOP vs Actual'!AD47</f>
        <v>5.0090924119689205E-2</v>
      </c>
      <c r="D14" s="312">
        <f>+'SNOP vs Actual'!AE47</f>
        <v>0</v>
      </c>
      <c r="E14" s="313">
        <f>+'SNOP vs Actual'!AF47</f>
        <v>0.15873697776823115</v>
      </c>
      <c r="G14" s="225"/>
      <c r="H14" s="226" t="s">
        <v>283</v>
      </c>
      <c r="I14" s="226" t="s">
        <v>282</v>
      </c>
      <c r="J14" s="226" t="s">
        <v>281</v>
      </c>
      <c r="K14" s="226"/>
      <c r="L14" s="226" t="s">
        <v>285</v>
      </c>
      <c r="M14" s="204" t="s">
        <v>296</v>
      </c>
      <c r="O14" s="158">
        <f>10256+75</f>
        <v>10331</v>
      </c>
      <c r="P14" s="17" t="s">
        <v>307</v>
      </c>
      <c r="Q14" s="161">
        <f>+'Inventory Sum'!AE22</f>
        <v>9395.4240000000009</v>
      </c>
      <c r="R14" s="161">
        <f>+'Inventory Sum'!AF22</f>
        <v>5894.17</v>
      </c>
      <c r="T14" s="161">
        <f>+'Inventory Sum'!AB22</f>
        <v>9227.708833333334</v>
      </c>
      <c r="U14" s="161">
        <f>+'Inventory Sum'!AC22</f>
        <v>6840.3083333333343</v>
      </c>
      <c r="V14" s="161">
        <f>+'Inventory Sum'!AD22</f>
        <v>5781.1776445833339</v>
      </c>
    </row>
    <row r="15" spans="1:22" ht="15.75" thickBot="1" x14ac:dyDescent="0.3">
      <c r="A15" s="148"/>
      <c r="B15" s="192" t="s">
        <v>411</v>
      </c>
      <c r="C15" s="237">
        <f>+'SNOP vs Actual'!AD52</f>
        <v>0.10596792858323689</v>
      </c>
      <c r="D15" s="313">
        <f>+'SNOP vs Actual'!AE52</f>
        <v>0.15991735537190083</v>
      </c>
      <c r="E15" s="168">
        <f>+'SNOP vs Actual'!AF52</f>
        <v>2.3198367522285469E-2</v>
      </c>
      <c r="G15" s="227" t="s">
        <v>306</v>
      </c>
      <c r="H15" s="210"/>
      <c r="I15" s="210"/>
      <c r="J15" s="210"/>
      <c r="K15" s="210"/>
      <c r="L15" s="210"/>
      <c r="M15" s="228"/>
      <c r="O15" s="156">
        <v>462</v>
      </c>
      <c r="P15" s="17" t="s">
        <v>308</v>
      </c>
      <c r="Q15" s="165">
        <f>+'Inventory Sum'!AE30</f>
        <v>675</v>
      </c>
      <c r="R15" s="165">
        <f>+'Inventory Sum'!AF30</f>
        <v>181.53</v>
      </c>
      <c r="T15" s="165">
        <f>+'Inventory Sum'!AB30</f>
        <v>588.07499999999993</v>
      </c>
      <c r="U15" s="165">
        <f>+'Inventory Sum'!AC30</f>
        <v>345.2621666666667</v>
      </c>
      <c r="V15" s="165">
        <f>+'Inventory Sum'!AD30</f>
        <v>709.54410066666662</v>
      </c>
    </row>
    <row r="16" spans="1:22" ht="15.75" thickBot="1" x14ac:dyDescent="0.3">
      <c r="G16" s="173" t="s">
        <v>316</v>
      </c>
      <c r="H16" s="160">
        <f>+('Capacity Utilisation'!V35+'Capacity Utilisation'!V48+'Capacity Utilisation'!V61)/('Capacity Utilisation'!V34+'Capacity Utilisation'!V47+'Capacity Utilisation'!V60)</f>
        <v>1.1385360042974009</v>
      </c>
      <c r="I16" s="161">
        <f>(+I17*J17+I18*J18+I19*J19)/SUM(J17:J19)</f>
        <v>108.67153144057326</v>
      </c>
      <c r="J16" s="162">
        <f>(+J17*I17+J18*I18+J19*I19)/SUM(I17:I19)</f>
        <v>22.801566945709318</v>
      </c>
      <c r="K16" s="162"/>
      <c r="L16" s="161">
        <f>+(L17*J17+L18*J18+L19*J19)/SUM(J17:J19)</f>
        <v>163.35967877440081</v>
      </c>
      <c r="M16" s="174">
        <f>+I16/L16</f>
        <v>0.66522860632364678</v>
      </c>
      <c r="O16" s="156">
        <v>1891</v>
      </c>
      <c r="P16" s="158" t="s">
        <v>309</v>
      </c>
      <c r="Q16" s="165">
        <f>+'Inventory Sum'!AE31</f>
        <v>2063</v>
      </c>
      <c r="R16" s="165">
        <f>+'Inventory Sum'!AF31</f>
        <v>1432.41</v>
      </c>
      <c r="T16" s="165">
        <f>+'Inventory Sum'!AB31</f>
        <v>826.26841999999999</v>
      </c>
      <c r="U16" s="165">
        <f>+'Inventory Sum'!AC31</f>
        <v>1298.367</v>
      </c>
      <c r="V16" s="165">
        <f>+'Inventory Sum'!AD31</f>
        <v>930.9219956666667</v>
      </c>
    </row>
    <row r="17" spans="1:22" x14ac:dyDescent="0.25">
      <c r="A17" s="179" t="s">
        <v>295</v>
      </c>
      <c r="B17" s="195"/>
      <c r="C17" s="196" t="s">
        <v>314</v>
      </c>
      <c r="D17" s="315" t="s">
        <v>334</v>
      </c>
      <c r="E17" s="307" t="str">
        <f>E7</f>
        <v>Apr-Mar'17</v>
      </c>
      <c r="G17" s="171" t="str">
        <f>+'Capacity Utilisation'!A34</f>
        <v>Sec 3 (302-303)</v>
      </c>
      <c r="H17" s="164">
        <f>+'Capacity Utilisation'!V36</f>
        <v>1.1077120976591075</v>
      </c>
      <c r="I17" s="165">
        <f>+'Capacity Utilisation'!X39</f>
        <v>172.07300426136362</v>
      </c>
      <c r="J17" s="166">
        <f>+'Capacity Utilisation'!V39</f>
        <v>23.466666666666669</v>
      </c>
      <c r="K17" s="166"/>
      <c r="L17" s="165">
        <f>+'Capacity Utilisation'!Y39</f>
        <v>293.44000000000005</v>
      </c>
      <c r="M17" s="174">
        <f>+I17/L17</f>
        <v>0.58639927842613004</v>
      </c>
      <c r="O17" s="35">
        <f t="shared" ref="O17" si="1">O15+O16</f>
        <v>2353</v>
      </c>
      <c r="Q17" s="35">
        <f t="shared" ref="Q17" si="2">Q15+Q16</f>
        <v>2738</v>
      </c>
      <c r="R17" s="35">
        <f t="shared" ref="R17" si="3">R15+R16</f>
        <v>1613.94</v>
      </c>
      <c r="T17" s="35">
        <f t="shared" ref="T17:U17" si="4">T15+T16</f>
        <v>1414.3434199999999</v>
      </c>
      <c r="U17" s="35">
        <f t="shared" si="4"/>
        <v>1643.6291666666666</v>
      </c>
      <c r="V17" s="437">
        <f>V15+V16</f>
        <v>1640.4660963333333</v>
      </c>
    </row>
    <row r="18" spans="1:22" x14ac:dyDescent="0.25">
      <c r="A18" s="197" t="s">
        <v>15</v>
      </c>
      <c r="B18" s="158" t="s">
        <v>15</v>
      </c>
      <c r="C18" s="163">
        <f>+'SNOP vs Actual'!AA26</f>
        <v>0.84728718428437777</v>
      </c>
      <c r="D18" s="163">
        <f>+'SNOP vs Actual'!AB26</f>
        <v>0.91887623888947378</v>
      </c>
      <c r="E18" s="163">
        <f>+'SNOP vs Actual'!AC26</f>
        <v>0.91666011586376595</v>
      </c>
      <c r="G18" s="171" t="str">
        <f>+'Capacity Utilisation'!A47</f>
        <v>Sec 4</v>
      </c>
      <c r="H18" s="164">
        <f>+'Capacity Utilisation'!V49</f>
        <v>1.1528163536137197</v>
      </c>
      <c r="I18" s="165">
        <f>+'Capacity Utilisation'!X52</f>
        <v>84.276037313432838</v>
      </c>
      <c r="J18" s="166">
        <f>+'Capacity Utilisation'!V52</f>
        <v>22.333333333333332</v>
      </c>
      <c r="K18" s="166"/>
      <c r="L18" s="165">
        <f>+'Capacity Utilisation'!Y52</f>
        <v>117.86</v>
      </c>
      <c r="M18" s="174">
        <f>+I18/L18</f>
        <v>0.71505207291220807</v>
      </c>
    </row>
    <row r="19" spans="1:22" x14ac:dyDescent="0.25">
      <c r="A19" s="171"/>
      <c r="B19" s="156" t="s">
        <v>9</v>
      </c>
      <c r="C19" s="168">
        <f>+'SNOP vs Actual'!AA5</f>
        <v>0.8601647739924293</v>
      </c>
      <c r="D19" s="317">
        <f>+'SNOP vs Actual'!AB5</f>
        <v>0.86612061467091905</v>
      </c>
      <c r="E19" s="168">
        <f>+'SNOP vs Actual'!AC5</f>
        <v>0.92168646415324662</v>
      </c>
      <c r="G19" s="171" t="str">
        <f>+'Capacity Utilisation'!A60</f>
        <v>Sec 5</v>
      </c>
      <c r="H19" s="164">
        <f>+'Capacity Utilisation'!V62</f>
        <v>1.2153018353448275</v>
      </c>
      <c r="I19" s="165">
        <f>+'Capacity Utilisation'!X65</f>
        <v>65.115479399538103</v>
      </c>
      <c r="J19" s="166">
        <f>+'Capacity Utilisation'!V65</f>
        <v>21.650000000000002</v>
      </c>
      <c r="K19" s="166"/>
      <c r="L19" s="165">
        <f>+'Capacity Utilisation'!Y65</f>
        <v>69.3</v>
      </c>
      <c r="M19" s="174">
        <f t="shared" ref="M19" si="5">+I19/L19</f>
        <v>0.93961730735264226</v>
      </c>
    </row>
    <row r="20" spans="1:22" x14ac:dyDescent="0.25">
      <c r="A20" s="171"/>
      <c r="B20" s="156" t="s">
        <v>10</v>
      </c>
      <c r="C20" s="168">
        <f>+'SNOP vs Actual'!AA10</f>
        <v>0.79970513900589724</v>
      </c>
      <c r="D20" s="317">
        <f>+'SNOP vs Actual'!AB10</f>
        <v>1.0120863998085323</v>
      </c>
      <c r="E20" s="168">
        <f>+'SNOP vs Actual'!AC10</f>
        <v>0.84211181805875202</v>
      </c>
      <c r="G20" s="171"/>
      <c r="H20" s="156"/>
      <c r="I20" s="165"/>
      <c r="J20" s="156"/>
      <c r="K20" s="156"/>
      <c r="L20" s="156"/>
      <c r="M20" s="169"/>
    </row>
    <row r="21" spans="1:22" x14ac:dyDescent="0.25">
      <c r="A21" s="171"/>
      <c r="B21" s="156" t="s">
        <v>11</v>
      </c>
      <c r="C21" s="168">
        <f>+'SNOP vs Actual'!AA15</f>
        <v>0.88527029261034884</v>
      </c>
      <c r="D21" s="317">
        <f>+'SNOP vs Actual'!AB15</f>
        <v>0.88719008264462806</v>
      </c>
      <c r="E21" s="168">
        <f>+'SNOP vs Actual'!AC15</f>
        <v>0.82504564493609711</v>
      </c>
      <c r="G21" s="171" t="s">
        <v>318</v>
      </c>
      <c r="H21" s="164">
        <f>+'Capacity Utilisation'!V75</f>
        <v>0.91447163814180943</v>
      </c>
      <c r="I21" s="165">
        <f>+'Capacity Utilisation'!X78</f>
        <v>68.48233380281691</v>
      </c>
      <c r="J21" s="166">
        <f>+'Capacity Utilisation'!V78</f>
        <v>23.666666666666668</v>
      </c>
      <c r="K21" s="166"/>
      <c r="L21" s="165">
        <f>+'Capacity Utilisation'!Y78</f>
        <v>80</v>
      </c>
      <c r="M21" s="174">
        <f>+I21/L21</f>
        <v>0.85602917253521138</v>
      </c>
    </row>
    <row r="22" spans="1:22" x14ac:dyDescent="0.25">
      <c r="A22" s="171"/>
      <c r="B22" s="156"/>
      <c r="C22" s="156"/>
      <c r="D22" s="318"/>
      <c r="E22" s="156"/>
      <c r="G22" s="171" t="s">
        <v>320</v>
      </c>
      <c r="H22" s="167">
        <f>+'Capacity Utilisation'!V127</f>
        <v>0.79379533712374584</v>
      </c>
      <c r="I22" s="165">
        <f>+'Capacity Utilisation'!X117</f>
        <v>17.658585858585855</v>
      </c>
      <c r="J22" s="156">
        <f>+'Capacity Utilisation'!V121</f>
        <v>14</v>
      </c>
      <c r="K22" s="156"/>
      <c r="L22" s="156">
        <f>+'Capacity Utilisation'!Y117</f>
        <v>18</v>
      </c>
      <c r="M22" s="174">
        <f>+I22/L22</f>
        <v>0.98103254769921422</v>
      </c>
    </row>
    <row r="23" spans="1:22" ht="15.75" thickBot="1" x14ac:dyDescent="0.3">
      <c r="A23" s="197" t="s">
        <v>284</v>
      </c>
      <c r="B23" s="158" t="s">
        <v>15</v>
      </c>
      <c r="C23" s="163">
        <f>+'SNOP vs Actual'!AA27</f>
        <v>1.0123343445633082</v>
      </c>
      <c r="D23" s="316">
        <f>+'SNOP vs Actual'!AB27</f>
        <v>1.0285170782620408</v>
      </c>
      <c r="E23" s="163">
        <f>+'SNOP vs Actual'!AC27</f>
        <v>0.92838450621343749</v>
      </c>
      <c r="G23" s="175" t="s">
        <v>319</v>
      </c>
      <c r="H23" s="176">
        <f>+'Capacity Utilisation'!V127</f>
        <v>0.79379533712374584</v>
      </c>
      <c r="I23" s="189">
        <f>+'Capacity Utilisation'!X130</f>
        <v>86.307202109090923</v>
      </c>
      <c r="J23" s="252">
        <f>+'Capacity Utilisation'!V130</f>
        <v>4.583333333333333</v>
      </c>
      <c r="K23" s="170"/>
      <c r="L23" s="170">
        <f>+'Capacity Utilisation'!Y130</f>
        <v>72</v>
      </c>
      <c r="M23" s="177">
        <f>+I23/L23</f>
        <v>1.1987111404040407</v>
      </c>
    </row>
    <row r="24" spans="1:22" x14ac:dyDescent="0.25">
      <c r="A24" s="171"/>
      <c r="B24" s="156" t="s">
        <v>9</v>
      </c>
      <c r="C24" s="168">
        <f>+'SNOP vs Actual'!AA6</f>
        <v>1.0115213406650956</v>
      </c>
      <c r="D24" s="317">
        <f>+'SNOP vs Actual'!AB6</f>
        <v>0.97873095615136796</v>
      </c>
      <c r="E24" s="168">
        <f>+'SNOP vs Actual'!AC6</f>
        <v>0.97322889296514803</v>
      </c>
      <c r="G24" s="181" t="s">
        <v>317</v>
      </c>
      <c r="H24" s="142"/>
      <c r="I24" s="142"/>
      <c r="J24" s="142"/>
      <c r="K24" s="142"/>
      <c r="L24" s="142"/>
      <c r="M24" s="143"/>
    </row>
    <row r="25" spans="1:22" x14ac:dyDescent="0.25">
      <c r="A25" s="171"/>
      <c r="B25" s="156" t="s">
        <v>10</v>
      </c>
      <c r="C25" s="168">
        <f>+'SNOP vs Actual'!AA11</f>
        <v>1.0365820365820366</v>
      </c>
      <c r="D25" s="317">
        <f>+'SNOP vs Actual'!AB11</f>
        <v>1.1757141864182941</v>
      </c>
      <c r="E25" s="168">
        <f>+'SNOP vs Actual'!AC11</f>
        <v>0.88236595744680857</v>
      </c>
      <c r="G25" s="171" t="str">
        <f>+'Capacity Utilisation'!A86</f>
        <v>Lurgi Splitter</v>
      </c>
      <c r="H25" s="164">
        <f>+'Capacity Utilisation'!V88</f>
        <v>1.1835643170801253</v>
      </c>
      <c r="I25" s="165">
        <f>+'Capacity Utilisation'!X91</f>
        <v>141.19104663244477</v>
      </c>
      <c r="J25" s="166">
        <f>+'Capacity Utilisation'!V91</f>
        <v>24.49848484848485</v>
      </c>
      <c r="K25" s="166"/>
      <c r="L25" s="156">
        <f>+'Capacity Utilisation'!Y91</f>
        <v>160</v>
      </c>
      <c r="M25" s="174">
        <f>+I25/L25</f>
        <v>0.88244404145277977</v>
      </c>
    </row>
    <row r="26" spans="1:22" ht="15.75" thickBot="1" x14ac:dyDescent="0.3">
      <c r="A26" s="171"/>
      <c r="B26" s="156" t="s">
        <v>11</v>
      </c>
      <c r="C26" s="168">
        <f>+'SNOP vs Actual'!AA16</f>
        <v>0.93195266272189348</v>
      </c>
      <c r="D26" s="317">
        <f>+'SNOP vs Actual'!AB16</f>
        <v>0.88719008264462806</v>
      </c>
      <c r="E26" s="168">
        <f>+'SNOP vs Actual'!AC16</f>
        <v>0.9807225839397421</v>
      </c>
      <c r="G26" s="175" t="str">
        <f>+'Capacity Utilisation'!A99</f>
        <v>Jutasama Splitting Tower</v>
      </c>
      <c r="H26" s="176">
        <f>+'Capacity Utilisation'!V101</f>
        <v>0.48031548387096779</v>
      </c>
      <c r="I26" s="189">
        <f>+'Capacity Utilisation'!X104</f>
        <v>238.23648</v>
      </c>
      <c r="J26" s="190">
        <f>+'Capacity Utilisation'!V104</f>
        <v>2.0833333333333335</v>
      </c>
      <c r="K26" s="190"/>
      <c r="L26" s="170">
        <v>600</v>
      </c>
      <c r="M26" s="177">
        <f>+I26/L26</f>
        <v>0.39706079999999999</v>
      </c>
    </row>
    <row r="27" spans="1:22" x14ac:dyDescent="0.25">
      <c r="A27" s="171"/>
      <c r="B27" s="156"/>
      <c r="C27" s="156"/>
      <c r="D27" s="318"/>
      <c r="E27" s="156"/>
      <c r="G27" s="203" t="s">
        <v>291</v>
      </c>
    </row>
    <row r="28" spans="1:22" ht="15.75" thickBot="1" x14ac:dyDescent="0.3">
      <c r="A28" s="198" t="s">
        <v>293</v>
      </c>
      <c r="B28" s="199" t="s">
        <v>15</v>
      </c>
      <c r="C28" s="200"/>
      <c r="D28" s="319"/>
      <c r="E28" s="320"/>
      <c r="G28" s="203" t="s">
        <v>292</v>
      </c>
    </row>
    <row r="29" spans="1:22" ht="15.75" thickBot="1" x14ac:dyDescent="0.3"/>
    <row r="30" spans="1:22" ht="15.75" thickBot="1" x14ac:dyDescent="0.3">
      <c r="G30" s="395" t="s">
        <v>482</v>
      </c>
      <c r="H30" s="396"/>
      <c r="I30" s="396"/>
      <c r="J30" s="396"/>
      <c r="K30" s="396"/>
      <c r="L30" s="396"/>
      <c r="M30" s="397"/>
    </row>
    <row r="31" spans="1:22" x14ac:dyDescent="0.25">
      <c r="G31" s="147"/>
      <c r="H31" s="191" t="s">
        <v>273</v>
      </c>
      <c r="I31" s="191" t="s">
        <v>274</v>
      </c>
      <c r="J31" s="191" t="s">
        <v>280</v>
      </c>
      <c r="K31" s="191" t="s">
        <v>255</v>
      </c>
      <c r="L31" s="191" t="s">
        <v>275</v>
      </c>
      <c r="M31" s="202" t="s">
        <v>276</v>
      </c>
    </row>
    <row r="32" spans="1:22" x14ac:dyDescent="0.25">
      <c r="G32" s="147"/>
      <c r="H32" s="157" t="s">
        <v>283</v>
      </c>
      <c r="I32" s="157" t="s">
        <v>282</v>
      </c>
      <c r="J32" s="157" t="s">
        <v>281</v>
      </c>
      <c r="K32" s="157" t="s">
        <v>310</v>
      </c>
      <c r="L32" s="159" t="s">
        <v>285</v>
      </c>
      <c r="M32" s="204" t="s">
        <v>296</v>
      </c>
    </row>
    <row r="33" spans="7:13" x14ac:dyDescent="0.25">
      <c r="G33" s="173" t="s">
        <v>277</v>
      </c>
      <c r="H33" s="160">
        <f>+'Capacity Utilisation'!W6</f>
        <v>0.93104123727461796</v>
      </c>
      <c r="I33" s="161">
        <f>+(I34*J34+I35*J35+I36*J36)/J33</f>
        <v>204.05961364726699</v>
      </c>
      <c r="J33" s="162">
        <f>+'Capacity Utilisation'!W9</f>
        <v>24.318333333333332</v>
      </c>
      <c r="K33" s="162"/>
      <c r="L33" s="161">
        <f>+(L34*J34+L35*J35+L36*J36)/J33</f>
        <v>324.23493934617227</v>
      </c>
      <c r="M33" s="174">
        <f>+I33/L33</f>
        <v>0.62935726192481978</v>
      </c>
    </row>
    <row r="34" spans="7:13" x14ac:dyDescent="0.25">
      <c r="G34" s="171" t="s">
        <v>278</v>
      </c>
      <c r="H34" s="164">
        <f>+'Capacity Utilisation'!W16/'Capacity Utilisation'!W15</f>
        <v>0.89907903200295236</v>
      </c>
      <c r="I34" s="165">
        <f>+'Capacity Utilisation'!AA18</f>
        <v>251.70231734317341</v>
      </c>
      <c r="J34" s="166">
        <f>+'Capacity Utilisation'!W18</f>
        <v>11.291666666666666</v>
      </c>
      <c r="K34" s="166">
        <f>+'Capacity Utilisation'!W19</f>
        <v>1.0833333333333333</v>
      </c>
      <c r="L34" s="161">
        <f>'Capacity Utilisation'!AB18</f>
        <v>400</v>
      </c>
      <c r="M34" s="174">
        <f>+I34/L34</f>
        <v>0.62925579335793347</v>
      </c>
    </row>
    <row r="35" spans="7:13" x14ac:dyDescent="0.25">
      <c r="G35" s="171" t="s">
        <v>279</v>
      </c>
      <c r="H35" s="164">
        <f>+'Capacity Utilisation'!W22/'Capacity Utilisation'!W21</f>
        <v>0.95189545959212296</v>
      </c>
      <c r="I35" s="165">
        <f>+'Capacity Utilisation'!AA24</f>
        <v>188.32123699421967</v>
      </c>
      <c r="J35" s="166">
        <f>+'Capacity Utilisation'!W24</f>
        <v>7.208333333333333</v>
      </c>
      <c r="K35" s="166">
        <f>+'Capacity Utilisation'!W25</f>
        <v>0.58333333333333337</v>
      </c>
      <c r="L35" s="161">
        <f>'Capacity Utilisation'!AB24</f>
        <v>280</v>
      </c>
      <c r="M35" s="174">
        <f>+I35/L35</f>
        <v>0.67257584640792745</v>
      </c>
    </row>
    <row r="36" spans="7:13" ht="15.75" thickBot="1" x14ac:dyDescent="0.3">
      <c r="G36" s="194" t="s">
        <v>254</v>
      </c>
      <c r="H36" s="188">
        <f>+'Capacity Utilisation'!W28/'Capacity Utilisation'!W27</f>
        <v>1.0961946652150245</v>
      </c>
      <c r="I36" s="189">
        <f>+'Capacity Utilisation'!AA30</f>
        <v>131.09747142001513</v>
      </c>
      <c r="J36" s="190">
        <f>+'Capacity Utilisation'!W30</f>
        <v>5.8183333333333325</v>
      </c>
      <c r="K36" s="190">
        <f>+'Capacity Utilisation'!V31</f>
        <v>0.83333333333333337</v>
      </c>
      <c r="L36" s="161">
        <f>'Capacity Utilisation'!AB30</f>
        <v>232</v>
      </c>
      <c r="M36" s="177">
        <f>+I36/L36</f>
        <v>0.56507530784489279</v>
      </c>
    </row>
    <row r="37" spans="7:13" x14ac:dyDescent="0.25">
      <c r="J37" s="14"/>
      <c r="K37" s="14"/>
    </row>
    <row r="38" spans="7:13" x14ac:dyDescent="0.25">
      <c r="G38" s="203"/>
    </row>
    <row r="39" spans="7:13" ht="15.75" thickBot="1" x14ac:dyDescent="0.3"/>
    <row r="40" spans="7:13" x14ac:dyDescent="0.25">
      <c r="G40" s="390" t="s">
        <v>483</v>
      </c>
      <c r="H40" s="391"/>
      <c r="I40" s="391"/>
      <c r="J40" s="391"/>
      <c r="K40" s="391"/>
      <c r="L40" s="391"/>
      <c r="M40" s="392"/>
    </row>
    <row r="41" spans="7:13" x14ac:dyDescent="0.25">
      <c r="G41" s="171"/>
      <c r="H41" s="157" t="s">
        <v>273</v>
      </c>
      <c r="I41" s="158" t="s">
        <v>274</v>
      </c>
      <c r="J41" s="158" t="s">
        <v>280</v>
      </c>
      <c r="K41" s="158"/>
      <c r="L41" s="158" t="s">
        <v>381</v>
      </c>
      <c r="M41" s="172" t="s">
        <v>276</v>
      </c>
    </row>
    <row r="42" spans="7:13" ht="15.75" thickBot="1" x14ac:dyDescent="0.3">
      <c r="G42" s="225"/>
      <c r="H42" s="226" t="s">
        <v>283</v>
      </c>
      <c r="I42" s="226" t="s">
        <v>282</v>
      </c>
      <c r="J42" s="226" t="s">
        <v>281</v>
      </c>
      <c r="K42" s="226"/>
      <c r="L42" s="226" t="s">
        <v>285</v>
      </c>
      <c r="M42" s="204" t="s">
        <v>296</v>
      </c>
    </row>
    <row r="43" spans="7:13" x14ac:dyDescent="0.25">
      <c r="G43" s="227" t="s">
        <v>306</v>
      </c>
      <c r="H43" s="210"/>
      <c r="I43" s="210"/>
      <c r="J43" s="210"/>
      <c r="K43" s="210"/>
      <c r="L43" s="210"/>
      <c r="M43" s="228"/>
    </row>
    <row r="44" spans="7:13" x14ac:dyDescent="0.25">
      <c r="G44" s="173" t="s">
        <v>316</v>
      </c>
      <c r="H44" s="160">
        <f>+('Capacity Utilisation'!W35+'Capacity Utilisation'!W48+'Capacity Utilisation'!W61)/('Capacity Utilisation'!W34+'Capacity Utilisation'!W47+'Capacity Utilisation'!W60)</f>
        <v>0.99796614835775888</v>
      </c>
      <c r="I44" s="161">
        <f>(+I45*J45+I46*J46+I47*J47)/SUM(J45:J47)</f>
        <v>115.71820435365466</v>
      </c>
      <c r="J44" s="162">
        <f>(+J45*I45+J46*I46+J47*I47)/SUM(I45:I47)</f>
        <v>22.900970043957493</v>
      </c>
      <c r="K44" s="162"/>
      <c r="L44" s="161">
        <f>+(L45*J45+L46*J46+L47*J47)/SUM(J45:J47)</f>
        <v>174.17182020352962</v>
      </c>
      <c r="M44" s="174">
        <f>+I44/L44</f>
        <v>0.66439108357730536</v>
      </c>
    </row>
    <row r="45" spans="7:13" x14ac:dyDescent="0.25">
      <c r="G45" s="171" t="s">
        <v>261</v>
      </c>
      <c r="H45" s="164">
        <f>+'Capacity Utilisation'!W36</f>
        <v>0.98723522357068705</v>
      </c>
      <c r="I45" s="165">
        <f>+'Capacity Utilisation'!AA39</f>
        <v>178.0561194511703</v>
      </c>
      <c r="J45" s="166">
        <f>+'Capacity Utilisation'!W39</f>
        <v>25.8125</v>
      </c>
      <c r="K45" s="166"/>
      <c r="L45" s="165">
        <f>'Capacity Utilisation'!AB39</f>
        <v>295.98355229337648</v>
      </c>
      <c r="M45" s="174">
        <f>+I45/L45</f>
        <v>0.60157437152008542</v>
      </c>
    </row>
    <row r="46" spans="7:13" x14ac:dyDescent="0.25">
      <c r="G46" s="171" t="s">
        <v>264</v>
      </c>
      <c r="H46" s="164">
        <f>+'Capacity Utilisation'!W49</f>
        <v>0.8944147587522443</v>
      </c>
      <c r="I46" s="165">
        <f>+'Capacity Utilisation'!AA52</f>
        <v>81.336982959183686</v>
      </c>
      <c r="J46" s="166">
        <f>+'Capacity Utilisation'!W52</f>
        <v>16.333333333333332</v>
      </c>
      <c r="K46" s="166"/>
      <c r="L46" s="165">
        <f>'Capacity Utilisation'!AB52</f>
        <v>117.82741250786336</v>
      </c>
      <c r="M46" s="174">
        <f>+I46/L46</f>
        <v>0.69030611152354349</v>
      </c>
    </row>
    <row r="47" spans="7:13" x14ac:dyDescent="0.25">
      <c r="G47" s="171" t="s">
        <v>266</v>
      </c>
      <c r="H47" s="164">
        <f>+'Capacity Utilisation'!W62</f>
        <v>1.1407011791489112</v>
      </c>
      <c r="I47" s="165">
        <f>+'Capacity Utilisation'!AA65</f>
        <v>70.419286126126124</v>
      </c>
      <c r="J47" s="166">
        <f>+'Capacity Utilisation'!W65</f>
        <v>23.125</v>
      </c>
      <c r="K47" s="166"/>
      <c r="L47" s="165">
        <f>'Capacity Utilisation'!AB65</f>
        <v>78</v>
      </c>
      <c r="M47" s="174">
        <f t="shared" ref="M47" si="6">+I47/L47</f>
        <v>0.90281136059136058</v>
      </c>
    </row>
    <row r="48" spans="7:13" x14ac:dyDescent="0.25">
      <c r="G48" s="171"/>
      <c r="H48" s="156"/>
      <c r="I48" s="165"/>
      <c r="J48" s="156"/>
      <c r="K48" s="156"/>
      <c r="L48" s="156"/>
      <c r="M48" s="169"/>
    </row>
    <row r="49" spans="7:13" x14ac:dyDescent="0.25">
      <c r="G49" s="171" t="s">
        <v>318</v>
      </c>
      <c r="H49" s="164">
        <f>+'Capacity Utilisation'!W75</f>
        <v>0.99184815926686665</v>
      </c>
      <c r="I49" s="165">
        <f>+'Capacity Utilisation'!AA78</f>
        <v>79.435710218285337</v>
      </c>
      <c r="J49" s="166">
        <f>+'Capacity Utilisation'!W78</f>
        <v>26.341666666666669</v>
      </c>
      <c r="K49" s="166"/>
      <c r="L49" s="165">
        <f>'Capacity Utilisation'!AB78</f>
        <v>90</v>
      </c>
      <c r="M49" s="174">
        <f>+I49/L49</f>
        <v>0.8826190024253926</v>
      </c>
    </row>
    <row r="50" spans="7:13" x14ac:dyDescent="0.25">
      <c r="G50" s="171" t="s">
        <v>320</v>
      </c>
      <c r="H50" s="167">
        <f>+'Capacity Utilisation'!W127</f>
        <v>1.064113863983051</v>
      </c>
      <c r="I50" s="165">
        <f>+'Capacity Utilisation'!AA117</f>
        <v>17.943986013986017</v>
      </c>
      <c r="J50" s="323">
        <f>+'Capacity Utilisation'!W121</f>
        <v>18.583333333333332</v>
      </c>
      <c r="K50" s="156"/>
      <c r="L50" s="156">
        <f>'Capacity Utilisation'!AB117</f>
        <v>18</v>
      </c>
      <c r="M50" s="174">
        <f>+I50/L50</f>
        <v>0.99688811188811199</v>
      </c>
    </row>
    <row r="51" spans="7:13" ht="15.75" thickBot="1" x14ac:dyDescent="0.3">
      <c r="G51" s="175" t="s">
        <v>319</v>
      </c>
      <c r="H51" s="176">
        <f>+'Capacity Utilisation'!W127</f>
        <v>1.064113863983051</v>
      </c>
      <c r="I51" s="189">
        <f>+'Capacity Utilisation'!AA130</f>
        <v>53.687900403764189</v>
      </c>
      <c r="J51" s="252">
        <f>+'Capacity Utilisation'!W130</f>
        <v>7.7960108333333338</v>
      </c>
      <c r="K51" s="170"/>
      <c r="L51" s="170">
        <f>'Capacity Utilisation'!AB130</f>
        <v>60</v>
      </c>
      <c r="M51" s="177">
        <f>+I51/L51</f>
        <v>0.89479834006273651</v>
      </c>
    </row>
    <row r="52" spans="7:13" x14ac:dyDescent="0.25">
      <c r="G52" s="181" t="s">
        <v>317</v>
      </c>
      <c r="H52" s="144">
        <f>('Capacity Utilisation'!W87+'Capacity Utilisation'!W100)/('Capacity Utilisation'!W86+'Capacity Utilisation'!W99)</f>
        <v>0.89713563789868667</v>
      </c>
      <c r="I52" s="142"/>
      <c r="J52" s="142"/>
      <c r="K52" s="142"/>
      <c r="L52" s="142"/>
      <c r="M52" s="143"/>
    </row>
    <row r="53" spans="7:13" x14ac:dyDescent="0.25">
      <c r="G53" s="171" t="s">
        <v>268</v>
      </c>
      <c r="H53" s="164">
        <f>+'Capacity Utilisation'!W88</f>
        <v>1.0936689937449007</v>
      </c>
      <c r="I53" s="165">
        <f>+'Capacity Utilisation'!AA91</f>
        <v>152.61331820750843</v>
      </c>
      <c r="J53" s="166">
        <f>+'Capacity Utilisation'!W91</f>
        <v>21.958660714285713</v>
      </c>
      <c r="K53" s="166"/>
      <c r="L53" s="156">
        <f>'Capacity Utilisation'!AB91</f>
        <v>160</v>
      </c>
      <c r="M53" s="174">
        <f>+I53/L53</f>
        <v>0.95383323879692772</v>
      </c>
    </row>
    <row r="54" spans="7:13" ht="15.75" thickBot="1" x14ac:dyDescent="0.3">
      <c r="G54" s="175" t="s">
        <v>270</v>
      </c>
      <c r="H54" s="176">
        <f>+'Capacity Utilisation'!W101</f>
        <v>0.74816570397856119</v>
      </c>
      <c r="I54" s="189">
        <f>+'Capacity Utilisation'!AA104</f>
        <v>218.30687699248122</v>
      </c>
      <c r="J54" s="190">
        <f>+'Capacity Utilisation'!W104</f>
        <v>13.854166666666666</v>
      </c>
      <c r="K54" s="190"/>
      <c r="L54" s="170">
        <f>'Capacity Utilisation'!AB104</f>
        <v>500</v>
      </c>
      <c r="M54" s="177">
        <f>+I54/L54</f>
        <v>0.43661375398496244</v>
      </c>
    </row>
  </sheetData>
  <mergeCells count="6">
    <mergeCell ref="G40:M40"/>
    <mergeCell ref="O2:V2"/>
    <mergeCell ref="A1:V1"/>
    <mergeCell ref="G2:M2"/>
    <mergeCell ref="G12:M12"/>
    <mergeCell ref="G30:M30"/>
  </mergeCells>
  <pageMargins left="0.7" right="0.7" top="0.75" bottom="0.75" header="0.3" footer="0.3"/>
  <pageSetup orientation="portrait" horizontalDpi="4294967293" r:id="rId1"/>
  <ignoredErrors>
    <ignoredError sqref="D3:D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U9" sqref="U9"/>
    </sheetView>
  </sheetViews>
  <sheetFormatPr defaultRowHeight="15" x14ac:dyDescent="0.25"/>
  <cols>
    <col min="1" max="1" width="22" customWidth="1"/>
    <col min="9" max="12" width="12.7109375" customWidth="1"/>
    <col min="17" max="17" width="9.7109375" bestFit="1" customWidth="1"/>
    <col min="21" max="21" width="10.85546875" customWidth="1"/>
  </cols>
  <sheetData>
    <row r="1" spans="1:21" x14ac:dyDescent="0.25">
      <c r="A1" s="398" t="s">
        <v>115</v>
      </c>
      <c r="B1" s="398"/>
      <c r="C1" s="398"/>
      <c r="D1" s="398"/>
      <c r="E1" s="398"/>
      <c r="F1" s="398"/>
      <c r="G1" s="398"/>
      <c r="H1" s="398"/>
    </row>
    <row r="2" spans="1:21" ht="31.5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377</v>
      </c>
      <c r="K2" s="2" t="s">
        <v>378</v>
      </c>
      <c r="L2" s="2" t="s">
        <v>379</v>
      </c>
      <c r="M2" s="2" t="s">
        <v>393</v>
      </c>
      <c r="N2" s="2" t="s">
        <v>409</v>
      </c>
      <c r="O2" s="2" t="s">
        <v>424</v>
      </c>
      <c r="P2" s="2" t="s">
        <v>435</v>
      </c>
      <c r="Q2" s="2" t="s">
        <v>438</v>
      </c>
      <c r="R2" s="2" t="s">
        <v>439</v>
      </c>
      <c r="S2" s="2" t="s">
        <v>452</v>
      </c>
      <c r="T2" s="2" t="s">
        <v>460</v>
      </c>
      <c r="U2" s="2" t="s">
        <v>481</v>
      </c>
    </row>
    <row r="3" spans="1:21" ht="47.25" x14ac:dyDescent="0.25">
      <c r="A3" s="3" t="s">
        <v>8</v>
      </c>
      <c r="B3" s="4">
        <v>0.65</v>
      </c>
      <c r="C3" s="4">
        <v>0.56999999999999995</v>
      </c>
      <c r="D3" s="4">
        <v>0.55000000000000004</v>
      </c>
      <c r="E3" s="4">
        <v>0.62</v>
      </c>
      <c r="F3" s="4">
        <v>0.59</v>
      </c>
      <c r="G3" s="4">
        <v>0.77</v>
      </c>
      <c r="H3" s="4">
        <v>0.68</v>
      </c>
      <c r="I3" s="4">
        <v>0.54</v>
      </c>
      <c r="J3" s="4">
        <v>0.83</v>
      </c>
      <c r="K3" s="4">
        <v>0.64</v>
      </c>
      <c r="L3" s="4">
        <v>0.74</v>
      </c>
      <c r="M3" s="4">
        <v>0.82</v>
      </c>
      <c r="N3" s="4">
        <v>0.6</v>
      </c>
      <c r="O3" s="4">
        <v>0.71</v>
      </c>
      <c r="P3" s="4">
        <v>0.74</v>
      </c>
      <c r="Q3" s="4">
        <v>0.61</v>
      </c>
      <c r="R3" s="4">
        <v>0.67</v>
      </c>
      <c r="S3" s="4">
        <v>0.65</v>
      </c>
      <c r="T3" s="4">
        <v>0.63</v>
      </c>
      <c r="U3" s="4">
        <v>0.72</v>
      </c>
    </row>
    <row r="4" spans="1:21" x14ac:dyDescent="0.25">
      <c r="A4" s="5" t="s">
        <v>9</v>
      </c>
      <c r="B4" s="6">
        <v>0.51</v>
      </c>
      <c r="C4" s="6">
        <v>0.63</v>
      </c>
      <c r="D4" s="6">
        <v>0.7</v>
      </c>
      <c r="E4" s="6">
        <v>0.71</v>
      </c>
      <c r="F4" s="6">
        <v>0.64</v>
      </c>
      <c r="G4" s="6">
        <v>0.86</v>
      </c>
      <c r="H4" s="6">
        <v>0.73</v>
      </c>
      <c r="I4" s="6">
        <v>0.59</v>
      </c>
      <c r="J4" s="6">
        <v>0.83</v>
      </c>
      <c r="K4" s="6">
        <v>0.55000000000000004</v>
      </c>
      <c r="L4" s="6">
        <v>0.72</v>
      </c>
      <c r="M4" s="6">
        <v>0.9</v>
      </c>
      <c r="N4" s="6">
        <v>0.7</v>
      </c>
      <c r="O4" s="6">
        <v>0.83</v>
      </c>
      <c r="P4" s="6">
        <v>0.83</v>
      </c>
      <c r="Q4" s="6">
        <v>0.74</v>
      </c>
      <c r="R4" s="6">
        <v>0.75</v>
      </c>
      <c r="S4" s="6">
        <v>0.8</v>
      </c>
      <c r="T4" s="6">
        <v>0.75</v>
      </c>
      <c r="U4" s="6">
        <v>0.81</v>
      </c>
    </row>
    <row r="5" spans="1:21" x14ac:dyDescent="0.25">
      <c r="A5" s="5" t="s">
        <v>10</v>
      </c>
      <c r="B5" s="6">
        <v>0.79</v>
      </c>
      <c r="C5" s="6">
        <v>0.68</v>
      </c>
      <c r="D5" s="6">
        <v>0.56999999999999995</v>
      </c>
      <c r="E5" s="6">
        <v>0.68</v>
      </c>
      <c r="F5" s="6">
        <v>0.65</v>
      </c>
      <c r="G5" s="6">
        <v>0.7</v>
      </c>
      <c r="H5" s="6">
        <v>0.59</v>
      </c>
      <c r="I5" s="6">
        <v>0.55000000000000004</v>
      </c>
      <c r="J5" s="6">
        <v>0.89</v>
      </c>
      <c r="K5" s="6">
        <v>0.83</v>
      </c>
      <c r="L5" s="6">
        <v>0.85</v>
      </c>
      <c r="M5" s="6">
        <v>0.88</v>
      </c>
      <c r="N5" s="6">
        <v>0.88</v>
      </c>
      <c r="O5" s="6">
        <v>0.68</v>
      </c>
      <c r="P5" s="6">
        <v>0.72</v>
      </c>
      <c r="Q5" s="6">
        <v>0.53</v>
      </c>
      <c r="R5" s="6">
        <v>0.65</v>
      </c>
      <c r="S5" s="6">
        <v>0.5</v>
      </c>
      <c r="T5" s="6">
        <v>0.57999999999999996</v>
      </c>
      <c r="U5" s="6">
        <v>0.55000000000000004</v>
      </c>
    </row>
    <row r="6" spans="1:21" x14ac:dyDescent="0.25">
      <c r="A6" s="5" t="s">
        <v>11</v>
      </c>
      <c r="B6" s="6">
        <v>0.74</v>
      </c>
      <c r="C6" s="6">
        <v>0.22</v>
      </c>
      <c r="D6" s="6">
        <v>0.15</v>
      </c>
      <c r="E6" s="6">
        <v>0.06</v>
      </c>
      <c r="F6" s="6">
        <v>0.13</v>
      </c>
      <c r="G6" s="6">
        <v>0.2</v>
      </c>
      <c r="H6" s="6">
        <v>0.56999999999999995</v>
      </c>
      <c r="I6" s="6">
        <v>0.14000000000000001</v>
      </c>
      <c r="J6" s="6">
        <v>0.16</v>
      </c>
      <c r="K6" s="6">
        <v>0.09</v>
      </c>
      <c r="L6" s="6">
        <v>0</v>
      </c>
      <c r="M6" s="6">
        <v>0</v>
      </c>
      <c r="N6" s="6">
        <v>0</v>
      </c>
      <c r="O6" s="6">
        <v>0</v>
      </c>
      <c r="P6" s="6">
        <v>0.28999999999999998</v>
      </c>
      <c r="Q6" s="6">
        <v>0</v>
      </c>
      <c r="R6" s="6">
        <v>0.18</v>
      </c>
      <c r="S6" s="6">
        <v>0.05</v>
      </c>
      <c r="T6" s="6">
        <v>0.37</v>
      </c>
      <c r="U6" s="6">
        <v>0.77</v>
      </c>
    </row>
    <row r="7" spans="1:21" ht="23.2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31.5" x14ac:dyDescent="0.25">
      <c r="A8" s="3" t="s">
        <v>12</v>
      </c>
      <c r="B8" s="4">
        <f>'SNOP vs Actual'!G26</f>
        <v>0.86847067697529701</v>
      </c>
      <c r="C8" s="4">
        <f>'SNOP vs Actual'!H26</f>
        <v>0.86533136422374013</v>
      </c>
      <c r="D8" s="4">
        <f>'SNOP vs Actual'!I26</f>
        <v>1.0243926141885324</v>
      </c>
      <c r="E8" s="4">
        <f>'SNOP vs Actual'!J26</f>
        <v>0.71411969785008711</v>
      </c>
      <c r="F8" s="4">
        <f>'SNOP vs Actual'!K26</f>
        <v>0.88560368967221215</v>
      </c>
      <c r="G8" s="4">
        <f>'SNOP vs Actual'!L26</f>
        <v>1.0545651977196633</v>
      </c>
      <c r="H8" s="4">
        <f>'SNOP vs Actual'!M26</f>
        <v>0.83424987111187487</v>
      </c>
      <c r="I8" s="4">
        <f>'SNOP vs Actual'!N26</f>
        <v>1.00199203187251</v>
      </c>
      <c r="J8" s="4">
        <f>'SNOP vs Actual'!O26</f>
        <v>0.70562586408592998</v>
      </c>
      <c r="K8" s="4">
        <f>'SNOP vs Actual'!P26</f>
        <v>0.82185364355371271</v>
      </c>
      <c r="L8" s="4">
        <f>'SNOP vs Actual'!Q26</f>
        <v>0.88133855331841904</v>
      </c>
      <c r="M8" s="4">
        <f>'SNOP vs Actual'!R26</f>
        <v>1.0051589907138168</v>
      </c>
      <c r="N8" s="4">
        <f>'SNOP vs Actual'!S26</f>
        <v>1.0090577824049973</v>
      </c>
      <c r="O8" s="4">
        <f>'SNOP vs Actual'!T26</f>
        <v>1.0045675702512165</v>
      </c>
      <c r="P8" s="4">
        <f>'SNOP vs Actual'!U26</f>
        <v>1.0896238323655643</v>
      </c>
      <c r="Q8" s="4">
        <f>'SNOP vs Actual'!V26</f>
        <v>0.88405970149253732</v>
      </c>
      <c r="R8" s="4">
        <f>'SNOP vs Actual'!W26</f>
        <v>0.9355623879067384</v>
      </c>
      <c r="S8" s="4">
        <f>'SNOP vs Actual'!X26</f>
        <v>0.81544430075743579</v>
      </c>
      <c r="T8" s="4">
        <f>'SNOP vs Actual'!Y26</f>
        <v>0.85953573985070042</v>
      </c>
      <c r="U8" s="4">
        <f>'SNOP vs Actual'!Z26</f>
        <v>1.0628183361629882</v>
      </c>
    </row>
    <row r="9" spans="1:21" x14ac:dyDescent="0.25">
      <c r="A9" s="5" t="s">
        <v>9</v>
      </c>
      <c r="B9" s="6">
        <f>'SNOP vs Actual'!G5</f>
        <v>0.80744368266405486</v>
      </c>
      <c r="C9" s="6">
        <f>'SNOP vs Actual'!H5</f>
        <v>0.83293133944364051</v>
      </c>
      <c r="D9" s="6">
        <f>'SNOP vs Actual'!I5</f>
        <v>1.1531687100673458</v>
      </c>
      <c r="E9" s="6">
        <f>'SNOP vs Actual'!J5</f>
        <v>0.55072463768115942</v>
      </c>
      <c r="F9" s="6">
        <f>'SNOP vs Actual'!K5</f>
        <v>0.87475994513031552</v>
      </c>
      <c r="G9" s="6">
        <f>'SNOP vs Actual'!L5</f>
        <v>0.98490776970374516</v>
      </c>
      <c r="H9" s="6">
        <f>'SNOP vs Actual'!M5</f>
        <v>0.80290644868301542</v>
      </c>
      <c r="I9" s="6">
        <f>'SNOP vs Actual'!N5</f>
        <v>0.85400225479143177</v>
      </c>
      <c r="J9" s="6">
        <f>'SNOP vs Actual'!O5</f>
        <v>0.68780487804878043</v>
      </c>
      <c r="K9" s="6">
        <f>'SNOP vs Actual'!P5</f>
        <v>0.75599942520477081</v>
      </c>
      <c r="L9" s="6">
        <f>'SNOP vs Actual'!Q5</f>
        <v>1.0265905062044514</v>
      </c>
      <c r="M9" s="6">
        <f>'SNOP vs Actual'!R5</f>
        <v>1.0283860502838604</v>
      </c>
      <c r="N9" s="6">
        <f>'SNOP vs Actual'!S5</f>
        <v>1.0926530612244898</v>
      </c>
      <c r="O9" s="6">
        <f>'SNOP vs Actual'!T5</f>
        <v>0.92646808510638301</v>
      </c>
      <c r="P9" s="6">
        <f>'SNOP vs Actual'!U5</f>
        <v>1.2131339097920075</v>
      </c>
      <c r="Q9" s="6">
        <f>'SNOP vs Actual'!V5</f>
        <v>0.7980789754535752</v>
      </c>
      <c r="R9" s="6">
        <f>'SNOP vs Actual'!W5</f>
        <v>0.96130886579703734</v>
      </c>
      <c r="S9" s="6">
        <f>'SNOP vs Actual'!X5</f>
        <v>0.74566563467492264</v>
      </c>
      <c r="T9" s="6">
        <f>'SNOP vs Actual'!Y5</f>
        <v>0.93173537871524448</v>
      </c>
      <c r="U9" s="6">
        <f>'SNOP vs Actual'!Z5</f>
        <v>1.0083267248215702</v>
      </c>
    </row>
    <row r="10" spans="1:21" x14ac:dyDescent="0.25">
      <c r="A10" s="5" t="s">
        <v>10</v>
      </c>
      <c r="B10" s="6">
        <f>'SNOP vs Actual'!G10</f>
        <v>1.0566461020751543</v>
      </c>
      <c r="C10" s="6">
        <f>'SNOP vs Actual'!H10</f>
        <v>0.85139860139860135</v>
      </c>
      <c r="D10" s="6">
        <f>'SNOP vs Actual'!I10</f>
        <v>0.74614557188956621</v>
      </c>
      <c r="E10" s="6">
        <f>'SNOP vs Actual'!J10</f>
        <v>0.99886277482941621</v>
      </c>
      <c r="F10" s="6">
        <f>'SNOP vs Actual'!K10</f>
        <v>0.92734518700183932</v>
      </c>
      <c r="G10" s="6">
        <f>'SNOP vs Actual'!L10</f>
        <v>1.1492842535787322</v>
      </c>
      <c r="H10" s="6">
        <f>'SNOP vs Actual'!M10</f>
        <v>0.99239832763207902</v>
      </c>
      <c r="I10" s="6">
        <f>'SNOP vs Actual'!N10</f>
        <v>1.2730664857530529</v>
      </c>
      <c r="J10" s="6">
        <f>'SNOP vs Actual'!O10</f>
        <v>0.74190824655220944</v>
      </c>
      <c r="K10" s="6">
        <f>'SNOP vs Actual'!P10</f>
        <v>0.89485882848714704</v>
      </c>
      <c r="L10" s="6">
        <f>'SNOP vs Actual'!Q10</f>
        <v>0.68525052928722652</v>
      </c>
      <c r="M10" s="6">
        <f>'SNOP vs Actual'!R10</f>
        <v>0.8123385012919897</v>
      </c>
      <c r="N10" s="6">
        <f>'SNOP vs Actual'!S10</f>
        <v>0.88083735909822869</v>
      </c>
      <c r="O10" s="6">
        <f>'SNOP vs Actual'!T10</f>
        <v>1.0200320512820513</v>
      </c>
      <c r="P10" s="6">
        <f>'SNOP vs Actual'!U10</f>
        <v>0.99060457516339873</v>
      </c>
      <c r="Q10" s="6">
        <f>'SNOP vs Actual'!V10</f>
        <v>0.7444660194174757</v>
      </c>
      <c r="R10" s="6">
        <f>'SNOP vs Actual'!W10</f>
        <v>0.78767453057294179</v>
      </c>
      <c r="S10" s="6">
        <f>'SNOP vs Actual'!X10</f>
        <v>1.0389473684210526</v>
      </c>
      <c r="T10" s="6">
        <f>'SNOP vs Actual'!Y10</f>
        <v>0.70967048710601721</v>
      </c>
      <c r="U10" s="6">
        <f>'SNOP vs Actual'!Z10</f>
        <v>0.87949762389680919</v>
      </c>
    </row>
    <row r="11" spans="1:21" x14ac:dyDescent="0.25">
      <c r="A11" s="5" t="s">
        <v>11</v>
      </c>
      <c r="B11" s="6">
        <f>'SNOP vs Actual'!G15</f>
        <v>0.58016528925619837</v>
      </c>
      <c r="C11" s="6">
        <f>'SNOP vs Actual'!H15</f>
        <v>0.7058252427184466</v>
      </c>
      <c r="D11" s="6">
        <f>'SNOP vs Actual'!I15</f>
        <v>1.0264150943396226</v>
      </c>
      <c r="E11" s="6">
        <f>'SNOP vs Actual'!J15</f>
        <v>0.7961538461538461</v>
      </c>
      <c r="F11" s="6">
        <f>'SNOP vs Actual'!K15</f>
        <v>0.59449541284403673</v>
      </c>
      <c r="G11" s="6">
        <f>'SNOP vs Actual'!L15</f>
        <v>0.85571428571428576</v>
      </c>
      <c r="H11" s="6">
        <f>'SNOP vs Actual'!M15</f>
        <v>1.2533333333333334</v>
      </c>
      <c r="I11" s="6">
        <f>'SNOP vs Actual'!N15</f>
        <v>1.1339999999999999</v>
      </c>
      <c r="J11" s="6">
        <f>'SNOP vs Actual'!O15</f>
        <v>0.52244897959183678</v>
      </c>
      <c r="K11" s="6">
        <f>'SNOP vs Actual'!P15</f>
        <v>0.84933333333333338</v>
      </c>
      <c r="L11" s="6">
        <f>'SNOP vs Actual'!Q15</f>
        <v>0.64300000000000002</v>
      </c>
      <c r="M11" s="6">
        <f>'SNOP vs Actual'!R15</f>
        <v>0.78249999999999997</v>
      </c>
      <c r="N11" s="6">
        <f>'SNOP vs Actual'!S15</f>
        <v>0.95799999999999996</v>
      </c>
      <c r="O11" s="6">
        <f>'SNOP vs Actual'!T15</f>
        <v>0.96090909090909093</v>
      </c>
      <c r="P11" s="6">
        <f>'SNOP vs Actual'!U15</f>
        <v>0.79449541284403669</v>
      </c>
      <c r="Q11" s="6">
        <f>'SNOP vs Actual'!V15</f>
        <v>0.91111111111111109</v>
      </c>
      <c r="R11" s="6">
        <f>'SNOP vs Actual'!W15</f>
        <v>0.87649402390438247</v>
      </c>
      <c r="S11" s="6">
        <f>'SNOP vs Actual'!X15</f>
        <v>0.7155555555555555</v>
      </c>
      <c r="T11" s="6">
        <f>'SNOP vs Actual'!Y15</f>
        <v>0.83511777301927193</v>
      </c>
      <c r="U11" s="6">
        <f>'SNOP vs Actual'!Z15</f>
        <v>1.1643564356435643</v>
      </c>
    </row>
    <row r="13" spans="1:21" x14ac:dyDescent="0.25">
      <c r="A13" s="235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7"/>
  <sheetViews>
    <sheetView workbookViewId="0">
      <pane xSplit="2" ySplit="2" topLeftCell="Y6" activePane="bottomRight" state="frozen"/>
      <selection pane="topRight" activeCell="C1" sqref="C1"/>
      <selection pane="bottomLeft" activeCell="A3" sqref="A3"/>
      <selection pane="bottomRight" activeCell="Z22" sqref="Z22"/>
    </sheetView>
  </sheetViews>
  <sheetFormatPr defaultRowHeight="15" x14ac:dyDescent="0.25"/>
  <cols>
    <col min="1" max="1" width="14" bestFit="1" customWidth="1"/>
    <col min="2" max="2" width="18.28515625" bestFit="1" customWidth="1"/>
    <col min="25" max="26" width="7.7109375" customWidth="1"/>
    <col min="27" max="27" width="11.7109375" customWidth="1"/>
    <col min="28" max="28" width="12.85546875" bestFit="1" customWidth="1"/>
    <col min="29" max="29" width="12.85546875" customWidth="1"/>
    <col min="30" max="30" width="12.85546875" bestFit="1" customWidth="1"/>
  </cols>
  <sheetData>
    <row r="1" spans="1:31" x14ac:dyDescent="0.25">
      <c r="A1" s="399" t="s">
        <v>24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AA1" s="393" t="s">
        <v>28</v>
      </c>
      <c r="AB1" s="393"/>
      <c r="AC1" s="393"/>
    </row>
    <row r="2" spans="1:31" x14ac:dyDescent="0.25">
      <c r="A2" s="10" t="s">
        <v>29</v>
      </c>
      <c r="C2" s="11">
        <v>42095</v>
      </c>
      <c r="D2" s="11">
        <v>42125</v>
      </c>
      <c r="E2" s="11">
        <v>42156</v>
      </c>
      <c r="F2" s="11">
        <v>42186</v>
      </c>
      <c r="G2" s="11">
        <v>42217</v>
      </c>
      <c r="H2" s="11">
        <v>42248</v>
      </c>
      <c r="I2" s="11">
        <v>42278</v>
      </c>
      <c r="J2" s="11">
        <v>42309</v>
      </c>
      <c r="K2" s="11">
        <v>42339</v>
      </c>
      <c r="L2" s="11">
        <v>42370</v>
      </c>
      <c r="M2" s="11">
        <v>42401</v>
      </c>
      <c r="N2" s="11">
        <v>42430</v>
      </c>
      <c r="O2" s="11">
        <v>42461</v>
      </c>
      <c r="P2" s="11">
        <v>42491</v>
      </c>
      <c r="Q2" s="11">
        <v>42522</v>
      </c>
      <c r="R2" s="11">
        <v>42552</v>
      </c>
      <c r="S2" s="11">
        <v>42583</v>
      </c>
      <c r="T2" s="11">
        <v>42614</v>
      </c>
      <c r="U2" s="11">
        <v>42644</v>
      </c>
      <c r="V2" s="11">
        <v>42675</v>
      </c>
      <c r="W2" s="11">
        <v>42705</v>
      </c>
      <c r="X2" s="11">
        <v>42736</v>
      </c>
      <c r="Y2" s="11">
        <v>42767</v>
      </c>
      <c r="Z2" s="11">
        <v>42795</v>
      </c>
      <c r="AA2" s="158" t="s">
        <v>26</v>
      </c>
      <c r="AB2" s="158" t="s">
        <v>335</v>
      </c>
      <c r="AC2" s="158" t="s">
        <v>473</v>
      </c>
      <c r="AD2" s="10"/>
    </row>
    <row r="3" spans="1:31" x14ac:dyDescent="0.25">
      <c r="A3" s="10" t="s">
        <v>9</v>
      </c>
      <c r="B3" t="s">
        <v>13</v>
      </c>
      <c r="C3">
        <v>4216</v>
      </c>
      <c r="D3">
        <v>3581</v>
      </c>
      <c r="E3">
        <v>3419</v>
      </c>
      <c r="F3">
        <v>4406</v>
      </c>
      <c r="G3">
        <v>5105</v>
      </c>
      <c r="H3">
        <v>6219</v>
      </c>
      <c r="I3">
        <v>5791</v>
      </c>
      <c r="J3">
        <v>6348</v>
      </c>
      <c r="K3">
        <v>7290</v>
      </c>
      <c r="L3">
        <v>7156</v>
      </c>
      <c r="M3">
        <v>7707</v>
      </c>
      <c r="N3">
        <v>7096</v>
      </c>
      <c r="O3">
        <v>4715</v>
      </c>
      <c r="P3">
        <v>6959</v>
      </c>
      <c r="Q3">
        <v>5077</v>
      </c>
      <c r="R3">
        <v>6165</v>
      </c>
      <c r="S3">
        <v>4900</v>
      </c>
      <c r="T3">
        <v>5875</v>
      </c>
      <c r="U3">
        <v>4279</v>
      </c>
      <c r="V3">
        <v>4685</v>
      </c>
      <c r="W3">
        <v>4523</v>
      </c>
      <c r="X3">
        <v>6460</v>
      </c>
      <c r="Y3">
        <v>5215</v>
      </c>
      <c r="Z3">
        <v>5044</v>
      </c>
      <c r="AA3" s="15">
        <f>SUM(C3:H3)/6</f>
        <v>4491</v>
      </c>
      <c r="AB3" s="15">
        <f>SUM(I3:N3)/6</f>
        <v>6898</v>
      </c>
      <c r="AC3" s="15">
        <f>SUM(O3:Z3)/12</f>
        <v>5324.75</v>
      </c>
      <c r="AD3" s="15"/>
    </row>
    <row r="4" spans="1:31" x14ac:dyDescent="0.25">
      <c r="A4" s="10"/>
      <c r="B4" t="s">
        <v>14</v>
      </c>
      <c r="C4">
        <v>4357</v>
      </c>
      <c r="D4">
        <v>2749</v>
      </c>
      <c r="E4">
        <v>2597</v>
      </c>
      <c r="F4">
        <v>4173</v>
      </c>
      <c r="G4">
        <v>4122</v>
      </c>
      <c r="H4">
        <v>5180</v>
      </c>
      <c r="I4">
        <v>6678</v>
      </c>
      <c r="J4">
        <v>3496</v>
      </c>
      <c r="K4">
        <f>6359+18</f>
        <v>6377</v>
      </c>
      <c r="L4">
        <v>7048</v>
      </c>
      <c r="M4">
        <v>6188</v>
      </c>
      <c r="N4">
        <v>6060</v>
      </c>
      <c r="O4">
        <v>3243</v>
      </c>
      <c r="P4">
        <v>5261</v>
      </c>
      <c r="Q4">
        <v>5212</v>
      </c>
      <c r="R4">
        <v>6340</v>
      </c>
      <c r="S4">
        <v>5354</v>
      </c>
      <c r="T4">
        <v>5443</v>
      </c>
      <c r="U4">
        <v>5191</v>
      </c>
      <c r="V4" s="135">
        <v>3739</v>
      </c>
      <c r="W4">
        <v>4348</v>
      </c>
      <c r="X4">
        <v>4817</v>
      </c>
      <c r="Y4">
        <v>4859</v>
      </c>
      <c r="Z4">
        <v>5086</v>
      </c>
      <c r="AA4" s="15">
        <f>SUM(C4:H4)/6</f>
        <v>3863</v>
      </c>
      <c r="AB4" s="15">
        <f>SUM(I4:N4)/6</f>
        <v>5974.5</v>
      </c>
      <c r="AC4" s="15">
        <f>SUM(O4:Z4)/12</f>
        <v>4907.75</v>
      </c>
      <c r="AD4" s="15"/>
      <c r="AE4" s="205"/>
    </row>
    <row r="5" spans="1:31" x14ac:dyDescent="0.25">
      <c r="A5" s="10"/>
      <c r="B5" s="10" t="s">
        <v>25</v>
      </c>
      <c r="C5" s="12">
        <f>+C4/C3</f>
        <v>1.0334440227703985</v>
      </c>
      <c r="D5" s="12">
        <f t="shared" ref="D5:M5" si="0">+D4/D3</f>
        <v>0.76766266406031836</v>
      </c>
      <c r="E5" s="12">
        <f t="shared" si="0"/>
        <v>0.75957882421760747</v>
      </c>
      <c r="F5" s="12">
        <f t="shared" si="0"/>
        <v>0.94711756695415339</v>
      </c>
      <c r="G5" s="12">
        <f t="shared" si="0"/>
        <v>0.80744368266405486</v>
      </c>
      <c r="H5" s="12">
        <f t="shared" si="0"/>
        <v>0.83293133944364051</v>
      </c>
      <c r="I5" s="12">
        <f t="shared" si="0"/>
        <v>1.1531687100673458</v>
      </c>
      <c r="J5" s="12">
        <f t="shared" si="0"/>
        <v>0.55072463768115942</v>
      </c>
      <c r="K5" s="12">
        <f t="shared" si="0"/>
        <v>0.87475994513031552</v>
      </c>
      <c r="L5" s="12">
        <f t="shared" si="0"/>
        <v>0.98490776970374516</v>
      </c>
      <c r="M5" s="12">
        <f t="shared" si="0"/>
        <v>0.80290644868301542</v>
      </c>
      <c r="N5" s="12">
        <f t="shared" ref="N5:Q5" si="1">+N4/N3</f>
        <v>0.85400225479143177</v>
      </c>
      <c r="O5" s="12">
        <f t="shared" si="1"/>
        <v>0.68780487804878043</v>
      </c>
      <c r="P5" s="12">
        <f t="shared" si="1"/>
        <v>0.75599942520477081</v>
      </c>
      <c r="Q5" s="12">
        <f t="shared" si="1"/>
        <v>1.0265905062044514</v>
      </c>
      <c r="R5" s="12">
        <f t="shared" ref="R5:S5" si="2">+R4/R3</f>
        <v>1.0283860502838604</v>
      </c>
      <c r="S5" s="12">
        <f t="shared" si="2"/>
        <v>1.0926530612244898</v>
      </c>
      <c r="T5" s="12">
        <f t="shared" ref="T5:U5" si="3">+T4/T3</f>
        <v>0.92646808510638301</v>
      </c>
      <c r="U5" s="12">
        <f t="shared" si="3"/>
        <v>1.2131339097920075</v>
      </c>
      <c r="V5" s="12">
        <f t="shared" ref="V5:W5" si="4">+V4/V3</f>
        <v>0.7980789754535752</v>
      </c>
      <c r="W5" s="12">
        <f t="shared" si="4"/>
        <v>0.96130886579703734</v>
      </c>
      <c r="X5" s="12">
        <f t="shared" ref="X5:Y5" si="5">+X4/X3</f>
        <v>0.74566563467492264</v>
      </c>
      <c r="Y5" s="12">
        <f t="shared" si="5"/>
        <v>0.93173537871524448</v>
      </c>
      <c r="Z5" s="12">
        <f t="shared" ref="Z5" si="6">+Z4/Z3</f>
        <v>1.0083267248215702</v>
      </c>
      <c r="AA5" s="13">
        <f>+AA4/AA3</f>
        <v>0.8601647739924293</v>
      </c>
      <c r="AB5" s="13">
        <f>+AB4/AB3</f>
        <v>0.86612061467091905</v>
      </c>
      <c r="AC5" s="13">
        <f>+AC4/AC3</f>
        <v>0.92168646415324662</v>
      </c>
      <c r="AD5" s="13"/>
    </row>
    <row r="6" spans="1:31" x14ac:dyDescent="0.25">
      <c r="A6" s="10"/>
      <c r="B6" s="10" t="s">
        <v>27</v>
      </c>
      <c r="C6" s="12">
        <f>+C4/(C3-C31)</f>
        <v>1.1950082281952825</v>
      </c>
      <c r="D6" s="12">
        <f t="shared" ref="D6:M6" si="7">+D4/(D3-D31)</f>
        <v>0.93918688076528867</v>
      </c>
      <c r="E6" s="12">
        <f t="shared" si="7"/>
        <v>0.89490006891798757</v>
      </c>
      <c r="F6" s="12">
        <f t="shared" si="7"/>
        <v>1.0109011627906976</v>
      </c>
      <c r="G6" s="12">
        <f t="shared" si="7"/>
        <v>1.0127764127764127</v>
      </c>
      <c r="H6" s="12">
        <f t="shared" si="7"/>
        <v>0.98836099980919667</v>
      </c>
      <c r="I6" s="12">
        <f t="shared" si="7"/>
        <v>1.1670744494931842</v>
      </c>
      <c r="J6" s="12">
        <f t="shared" si="7"/>
        <v>0.75442382391022877</v>
      </c>
      <c r="K6" s="12">
        <f t="shared" si="7"/>
        <v>0.88458870855874605</v>
      </c>
      <c r="L6" s="12">
        <f t="shared" si="7"/>
        <v>1.0171741954105931</v>
      </c>
      <c r="M6" s="12">
        <f t="shared" si="7"/>
        <v>1.0142599573840354</v>
      </c>
      <c r="N6" s="12">
        <f>+N4/(N3-N31)</f>
        <v>1.0048084894710663</v>
      </c>
      <c r="O6" s="12">
        <f t="shared" ref="O6:P6" si="8">+O4/(O3-O31)</f>
        <v>0.71716054842989829</v>
      </c>
      <c r="P6" s="12">
        <f t="shared" si="8"/>
        <v>0.75599942520477081</v>
      </c>
      <c r="Q6" s="12">
        <f>+Q4/(Q3-Q31)</f>
        <v>1.0658486707566461</v>
      </c>
      <c r="R6" s="12">
        <f>+R4/(R3-R31)</f>
        <v>1.0623324396782843</v>
      </c>
      <c r="S6" s="12">
        <f>+S4/(S3-S31)</f>
        <v>1.1009664815957227</v>
      </c>
      <c r="T6" s="12">
        <f>+T4/(T3-T31)</f>
        <v>0.94677335188728473</v>
      </c>
      <c r="U6" s="12">
        <f>+U4/(U3-U31)</f>
        <v>1.2289299242424243</v>
      </c>
      <c r="V6" s="12">
        <f t="shared" ref="V6:W6" si="9">+V4/(V3-V31)</f>
        <v>0.81708916083916083</v>
      </c>
      <c r="W6" s="12">
        <f t="shared" si="9"/>
        <v>1.0404402967217037</v>
      </c>
      <c r="X6" s="12">
        <f t="shared" ref="X6:Y6" si="10">+X4/(X3-X31)</f>
        <v>0.90375234521575987</v>
      </c>
      <c r="Y6" s="12">
        <f t="shared" si="10"/>
        <v>1.1080957810718357</v>
      </c>
      <c r="Z6" s="12">
        <f t="shared" ref="Z6" si="11">+Z4/(Z3-Z31)</f>
        <v>1.0447822514379621</v>
      </c>
      <c r="AA6" s="13">
        <f>+AA4/(AA3-(AA31))</f>
        <v>1.0115213406650956</v>
      </c>
      <c r="AB6" s="13">
        <f>+AB4/(AB3-(AB31))</f>
        <v>0.97873095615136796</v>
      </c>
      <c r="AC6" s="13">
        <f>+AC4/(AC3-(AC31))</f>
        <v>0.97322889296514803</v>
      </c>
      <c r="AD6" s="13"/>
    </row>
    <row r="7" spans="1:31" x14ac:dyDescent="0.25">
      <c r="A7" s="10"/>
    </row>
    <row r="8" spans="1:31" x14ac:dyDescent="0.25">
      <c r="A8" s="10" t="s">
        <v>10</v>
      </c>
      <c r="B8" t="s">
        <v>13</v>
      </c>
      <c r="C8">
        <v>4556</v>
      </c>
      <c r="D8">
        <v>4818</v>
      </c>
      <c r="E8">
        <v>3839</v>
      </c>
      <c r="F8">
        <v>4101</v>
      </c>
      <c r="G8">
        <v>3566</v>
      </c>
      <c r="H8">
        <v>2860</v>
      </c>
      <c r="I8">
        <v>2789</v>
      </c>
      <c r="J8">
        <v>2638</v>
      </c>
      <c r="K8">
        <v>3262</v>
      </c>
      <c r="L8">
        <v>2445</v>
      </c>
      <c r="M8">
        <v>2631</v>
      </c>
      <c r="N8">
        <v>2948</v>
      </c>
      <c r="O8">
        <v>3553</v>
      </c>
      <c r="P8">
        <v>4746</v>
      </c>
      <c r="Q8" s="135">
        <v>4251</v>
      </c>
      <c r="R8">
        <v>3096</v>
      </c>
      <c r="S8">
        <v>3105</v>
      </c>
      <c r="T8">
        <v>2496</v>
      </c>
      <c r="U8">
        <v>2448</v>
      </c>
      <c r="V8">
        <v>2575</v>
      </c>
      <c r="W8">
        <v>2077</v>
      </c>
      <c r="X8">
        <v>2850</v>
      </c>
      <c r="Y8">
        <v>2792</v>
      </c>
      <c r="Z8">
        <v>2946</v>
      </c>
      <c r="AA8" s="15">
        <f>SUM(C8:H8)/6</f>
        <v>3956.6666666666665</v>
      </c>
      <c r="AB8" s="15">
        <f t="shared" ref="AB8:AB9" si="12">SUM(I8:N8)/6</f>
        <v>2785.5</v>
      </c>
      <c r="AC8" s="15">
        <f t="shared" ref="AC8:AC9" si="13">SUM(O8:Z8)/12</f>
        <v>3077.9166666666665</v>
      </c>
      <c r="AD8" s="15"/>
    </row>
    <row r="9" spans="1:31" x14ac:dyDescent="0.25">
      <c r="A9" s="10"/>
      <c r="B9" t="s">
        <v>14</v>
      </c>
      <c r="C9">
        <v>2872</v>
      </c>
      <c r="D9">
        <v>4091</v>
      </c>
      <c r="E9">
        <v>2794</v>
      </c>
      <c r="F9">
        <v>3025</v>
      </c>
      <c r="G9">
        <v>3768</v>
      </c>
      <c r="H9">
        <v>2435</v>
      </c>
      <c r="I9">
        <v>2081</v>
      </c>
      <c r="J9">
        <f>2441+194</f>
        <v>2635</v>
      </c>
      <c r="K9">
        <v>3025</v>
      </c>
      <c r="L9">
        <v>2810</v>
      </c>
      <c r="M9">
        <v>2611</v>
      </c>
      <c r="N9">
        <v>3753</v>
      </c>
      <c r="O9">
        <v>2636</v>
      </c>
      <c r="P9">
        <v>4247</v>
      </c>
      <c r="Q9" s="135">
        <v>2913</v>
      </c>
      <c r="R9">
        <v>2515</v>
      </c>
      <c r="S9">
        <v>2735</v>
      </c>
      <c r="T9">
        <v>2546</v>
      </c>
      <c r="U9">
        <v>2425</v>
      </c>
      <c r="V9">
        <v>1917</v>
      </c>
      <c r="W9">
        <v>1636</v>
      </c>
      <c r="X9">
        <v>2961</v>
      </c>
      <c r="Y9" s="135">
        <v>1981.4</v>
      </c>
      <c r="Z9" s="135">
        <v>2591</v>
      </c>
      <c r="AA9" s="15">
        <f>SUM(C9:H9)/6</f>
        <v>3164.1666666666665</v>
      </c>
      <c r="AB9" s="15">
        <f t="shared" si="12"/>
        <v>2819.1666666666665</v>
      </c>
      <c r="AC9" s="15">
        <f t="shared" si="13"/>
        <v>2591.9500000000003</v>
      </c>
      <c r="AD9" s="15"/>
    </row>
    <row r="10" spans="1:31" x14ac:dyDescent="0.25">
      <c r="A10" s="10"/>
      <c r="B10" s="10" t="s">
        <v>25</v>
      </c>
      <c r="C10" s="12">
        <f>+C9/C8</f>
        <v>0.63037752414398596</v>
      </c>
      <c r="D10" s="12">
        <f t="shared" ref="D10" si="14">+D9/D8</f>
        <v>0.84910751349107516</v>
      </c>
      <c r="E10" s="12">
        <f t="shared" ref="E10" si="15">+E9/E8</f>
        <v>0.72779369627507162</v>
      </c>
      <c r="F10" s="12">
        <f t="shared" ref="F10" si="16">+F9/F8</f>
        <v>0.7376249695196293</v>
      </c>
      <c r="G10" s="12">
        <f t="shared" ref="G10" si="17">+G9/G8</f>
        <v>1.0566461020751543</v>
      </c>
      <c r="H10" s="12">
        <f t="shared" ref="H10" si="18">+H9/H8</f>
        <v>0.85139860139860135</v>
      </c>
      <c r="I10" s="12">
        <f t="shared" ref="I10" si="19">+I9/I8</f>
        <v>0.74614557188956621</v>
      </c>
      <c r="J10" s="12">
        <f t="shared" ref="J10" si="20">+J9/J8</f>
        <v>0.99886277482941621</v>
      </c>
      <c r="K10" s="12">
        <f t="shared" ref="K10" si="21">+K9/K8</f>
        <v>0.92734518700183932</v>
      </c>
      <c r="L10" s="12">
        <f t="shared" ref="L10" si="22">+L9/L8</f>
        <v>1.1492842535787322</v>
      </c>
      <c r="M10" s="12">
        <f t="shared" ref="M10:N10" si="23">+M9/M8</f>
        <v>0.99239832763207902</v>
      </c>
      <c r="N10" s="12">
        <f t="shared" si="23"/>
        <v>1.2730664857530529</v>
      </c>
      <c r="O10" s="12">
        <f t="shared" ref="O10:Q10" si="24">+O9/O8</f>
        <v>0.74190824655220944</v>
      </c>
      <c r="P10" s="12">
        <f t="shared" si="24"/>
        <v>0.89485882848714704</v>
      </c>
      <c r="Q10" s="12">
        <f t="shared" si="24"/>
        <v>0.68525052928722652</v>
      </c>
      <c r="R10" s="12">
        <f t="shared" ref="R10:S10" si="25">+R9/R8</f>
        <v>0.8123385012919897</v>
      </c>
      <c r="S10" s="12">
        <f t="shared" si="25"/>
        <v>0.88083735909822869</v>
      </c>
      <c r="T10" s="12">
        <f t="shared" ref="T10:U10" si="26">+T9/T8</f>
        <v>1.0200320512820513</v>
      </c>
      <c r="U10" s="12">
        <f t="shared" si="26"/>
        <v>0.99060457516339873</v>
      </c>
      <c r="V10" s="12">
        <f t="shared" ref="V10:W10" si="27">+V9/V8</f>
        <v>0.7444660194174757</v>
      </c>
      <c r="W10" s="12">
        <f t="shared" si="27"/>
        <v>0.78767453057294179</v>
      </c>
      <c r="X10" s="12">
        <f t="shared" ref="X10:Y10" si="28">+X9/X8</f>
        <v>1.0389473684210526</v>
      </c>
      <c r="Y10" s="12">
        <f t="shared" si="28"/>
        <v>0.70967048710601721</v>
      </c>
      <c r="Z10" s="12">
        <f t="shared" ref="Z10" si="29">+Z9/Z8</f>
        <v>0.87949762389680919</v>
      </c>
      <c r="AA10" s="13">
        <f>+AA9/AA8</f>
        <v>0.79970513900589724</v>
      </c>
      <c r="AB10" s="13">
        <f>+AB9/AB8</f>
        <v>1.0120863998085323</v>
      </c>
      <c r="AC10" s="13">
        <f>+AC9/AC8</f>
        <v>0.84211181805875202</v>
      </c>
      <c r="AD10" s="13"/>
    </row>
    <row r="11" spans="1:31" x14ac:dyDescent="0.25">
      <c r="A11" s="10"/>
      <c r="B11" s="10" t="s">
        <v>27</v>
      </c>
      <c r="C11" s="12">
        <f>+C9/(C8-C36)</f>
        <v>0.63037752414398596</v>
      </c>
      <c r="D11" s="12">
        <f t="shared" ref="D11:M11" si="30">+D9/(D8-D36)</f>
        <v>0.85765199161425576</v>
      </c>
      <c r="E11" s="12">
        <f t="shared" si="30"/>
        <v>0.72779369627507162</v>
      </c>
      <c r="F11" s="12">
        <f t="shared" si="30"/>
        <v>0.7376249695196293</v>
      </c>
      <c r="G11" s="12">
        <f t="shared" si="30"/>
        <v>1.0566461020751543</v>
      </c>
      <c r="H11" s="12">
        <f t="shared" si="30"/>
        <v>0.87906137184115518</v>
      </c>
      <c r="I11" s="12">
        <f t="shared" si="30"/>
        <v>0.74614557188956621</v>
      </c>
      <c r="J11" s="12">
        <f t="shared" si="30"/>
        <v>1.7864406779661017</v>
      </c>
      <c r="K11" s="12">
        <f t="shared" si="30"/>
        <v>1.2588431127756969</v>
      </c>
      <c r="L11" s="12">
        <f t="shared" si="30"/>
        <v>1.1492842535787322</v>
      </c>
      <c r="M11" s="12">
        <f t="shared" si="30"/>
        <v>0.99618466234261727</v>
      </c>
      <c r="N11" s="12">
        <f t="shared" ref="N11:Q11" si="31">+N9/(N8-N36)</f>
        <v>1.2747961956521738</v>
      </c>
      <c r="O11" s="12">
        <f t="shared" si="31"/>
        <v>0.76162958682461712</v>
      </c>
      <c r="P11" s="12">
        <f t="shared" si="31"/>
        <v>1.2472834067547725</v>
      </c>
      <c r="Q11" s="12">
        <f t="shared" si="31"/>
        <v>0.68525052928722652</v>
      </c>
      <c r="R11" s="12">
        <f t="shared" ref="R11:S11" si="32">+R9/(R8-R36)</f>
        <v>0.8123385012919897</v>
      </c>
      <c r="S11" s="12">
        <f t="shared" si="32"/>
        <v>0.88654781199351707</v>
      </c>
      <c r="T11" s="12">
        <f t="shared" ref="T11:U11" si="33">+T9/(T8-T36)</f>
        <v>1.0200320512820513</v>
      </c>
      <c r="U11" s="12">
        <f t="shared" si="33"/>
        <v>0.99060457516339873</v>
      </c>
      <c r="V11" s="12">
        <f t="shared" ref="V11:W11" si="34">+V9/(V8-V36)</f>
        <v>0.7444660194174757</v>
      </c>
      <c r="W11" s="12">
        <f t="shared" si="34"/>
        <v>0.78767453057294179</v>
      </c>
      <c r="X11" s="12">
        <f t="shared" ref="X11:Y11" si="35">+X9/(X8-X36)</f>
        <v>1.0389473684210526</v>
      </c>
      <c r="Y11" s="12">
        <f t="shared" si="35"/>
        <v>0.77398437500000006</v>
      </c>
      <c r="Z11" s="12">
        <f t="shared" ref="Z11" si="36">+Z9/(Z8-Z36)</f>
        <v>0.87949762389680919</v>
      </c>
      <c r="AA11" s="13">
        <f>+AA9/(AA8-(AA39))</f>
        <v>1.0365820365820366</v>
      </c>
      <c r="AB11" s="13">
        <f>+AB9/(AB8-(AB39))</f>
        <v>1.1757141864182941</v>
      </c>
      <c r="AC11" s="13">
        <f>+AC9/(AC8-(AC36))</f>
        <v>0.88236595744680857</v>
      </c>
      <c r="AD11" s="13"/>
    </row>
    <row r="12" spans="1:31" x14ac:dyDescent="0.25">
      <c r="A12" s="10"/>
    </row>
    <row r="13" spans="1:31" x14ac:dyDescent="0.25">
      <c r="A13" s="10" t="s">
        <v>11</v>
      </c>
      <c r="B13" t="s">
        <v>13</v>
      </c>
      <c r="C13">
        <v>1160</v>
      </c>
      <c r="D13">
        <v>880</v>
      </c>
      <c r="E13">
        <v>800</v>
      </c>
      <c r="F13">
        <v>969</v>
      </c>
      <c r="G13">
        <v>1210</v>
      </c>
      <c r="H13">
        <v>1030</v>
      </c>
      <c r="I13">
        <v>1060</v>
      </c>
      <c r="J13">
        <v>1040</v>
      </c>
      <c r="K13">
        <v>1090</v>
      </c>
      <c r="L13">
        <v>700</v>
      </c>
      <c r="M13">
        <v>450</v>
      </c>
      <c r="N13">
        <v>500</v>
      </c>
      <c r="O13">
        <v>735</v>
      </c>
      <c r="P13">
        <v>750</v>
      </c>
      <c r="Q13" s="135">
        <v>1000</v>
      </c>
      <c r="R13">
        <v>800</v>
      </c>
      <c r="S13">
        <v>1000</v>
      </c>
      <c r="T13">
        <v>1100</v>
      </c>
      <c r="U13">
        <v>545</v>
      </c>
      <c r="V13">
        <v>540</v>
      </c>
      <c r="W13">
        <v>502</v>
      </c>
      <c r="X13">
        <v>900</v>
      </c>
      <c r="Y13">
        <v>934</v>
      </c>
      <c r="Z13">
        <v>505</v>
      </c>
      <c r="AA13" s="15">
        <f>SUM(C13:H13)/6</f>
        <v>1008.1666666666666</v>
      </c>
      <c r="AB13" s="15">
        <f>SUM(I13:N13)/6</f>
        <v>806.66666666666663</v>
      </c>
      <c r="AC13" s="15">
        <f t="shared" ref="AC13:AC14" si="37">SUM(O13:Z13)/12</f>
        <v>775.91666666666663</v>
      </c>
      <c r="AD13" s="15"/>
    </row>
    <row r="14" spans="1:31" x14ac:dyDescent="0.25">
      <c r="A14" s="10"/>
      <c r="B14" t="s">
        <v>14</v>
      </c>
      <c r="C14">
        <v>1272</v>
      </c>
      <c r="D14">
        <v>962</v>
      </c>
      <c r="E14">
        <v>720</v>
      </c>
      <c r="F14">
        <v>972</v>
      </c>
      <c r="G14">
        <v>702</v>
      </c>
      <c r="H14">
        <v>727</v>
      </c>
      <c r="I14">
        <v>1088</v>
      </c>
      <c r="J14">
        <v>828</v>
      </c>
      <c r="K14">
        <v>648</v>
      </c>
      <c r="L14">
        <v>599</v>
      </c>
      <c r="M14">
        <v>564</v>
      </c>
      <c r="N14">
        <v>567</v>
      </c>
      <c r="O14">
        <v>384</v>
      </c>
      <c r="P14">
        <v>637</v>
      </c>
      <c r="Q14" s="135">
        <v>643</v>
      </c>
      <c r="R14">
        <v>626</v>
      </c>
      <c r="S14">
        <v>958</v>
      </c>
      <c r="T14">
        <v>1057</v>
      </c>
      <c r="U14">
        <v>433</v>
      </c>
      <c r="V14">
        <v>492</v>
      </c>
      <c r="W14">
        <v>440</v>
      </c>
      <c r="X14">
        <v>644</v>
      </c>
      <c r="Y14">
        <v>780</v>
      </c>
      <c r="Z14">
        <v>588</v>
      </c>
      <c r="AA14" s="15">
        <f t="shared" ref="AA14" si="38">SUM(C14:H14)/6</f>
        <v>892.5</v>
      </c>
      <c r="AB14" s="15">
        <f>SUM(I14:N14)/6</f>
        <v>715.66666666666663</v>
      </c>
      <c r="AC14" s="15">
        <f t="shared" si="37"/>
        <v>640.16666666666663</v>
      </c>
      <c r="AD14" s="15"/>
    </row>
    <row r="15" spans="1:31" x14ac:dyDescent="0.25">
      <c r="A15" s="10"/>
      <c r="B15" s="10" t="s">
        <v>25</v>
      </c>
      <c r="C15" s="12">
        <f>+C14/C13</f>
        <v>1.096551724137931</v>
      </c>
      <c r="D15" s="12">
        <f t="shared" ref="D15" si="39">+D14/D13</f>
        <v>1.0931818181818183</v>
      </c>
      <c r="E15" s="12">
        <f t="shared" ref="E15" si="40">+E14/E13</f>
        <v>0.9</v>
      </c>
      <c r="F15" s="12">
        <f t="shared" ref="F15" si="41">+F14/F13</f>
        <v>1.0030959752321982</v>
      </c>
      <c r="G15" s="12">
        <f t="shared" ref="G15" si="42">+G14/G13</f>
        <v>0.58016528925619837</v>
      </c>
      <c r="H15" s="12">
        <f t="shared" ref="H15" si="43">+H14/H13</f>
        <v>0.7058252427184466</v>
      </c>
      <c r="I15" s="12">
        <f t="shared" ref="I15" si="44">+I14/I13</f>
        <v>1.0264150943396226</v>
      </c>
      <c r="J15" s="12">
        <f t="shared" ref="J15" si="45">+J14/J13</f>
        <v>0.7961538461538461</v>
      </c>
      <c r="K15" s="12">
        <f t="shared" ref="K15" si="46">+K14/K13</f>
        <v>0.59449541284403673</v>
      </c>
      <c r="L15" s="12">
        <f t="shared" ref="L15" si="47">+L14/L13</f>
        <v>0.85571428571428576</v>
      </c>
      <c r="M15" s="12">
        <f t="shared" ref="M15:N15" si="48">+M14/M13</f>
        <v>1.2533333333333334</v>
      </c>
      <c r="N15" s="12">
        <f t="shared" si="48"/>
        <v>1.1339999999999999</v>
      </c>
      <c r="O15" s="12">
        <f t="shared" ref="O15:Q15" si="49">+O14/O13</f>
        <v>0.52244897959183678</v>
      </c>
      <c r="P15" s="12">
        <f t="shared" si="49"/>
        <v>0.84933333333333338</v>
      </c>
      <c r="Q15" s="12">
        <f t="shared" si="49"/>
        <v>0.64300000000000002</v>
      </c>
      <c r="R15" s="12">
        <f t="shared" ref="R15" si="50">+R14/R13</f>
        <v>0.78249999999999997</v>
      </c>
      <c r="S15" s="12">
        <f t="shared" ref="S15" si="51">+S14/S13</f>
        <v>0.95799999999999996</v>
      </c>
      <c r="T15" s="12">
        <f>+T14/T13</f>
        <v>0.96090909090909093</v>
      </c>
      <c r="U15" s="12">
        <f>+U14/U13</f>
        <v>0.79449541284403669</v>
      </c>
      <c r="V15" s="12">
        <f t="shared" ref="V15:W15" si="52">+V14/V13</f>
        <v>0.91111111111111109</v>
      </c>
      <c r="W15" s="12">
        <f t="shared" si="52"/>
        <v>0.87649402390438247</v>
      </c>
      <c r="X15" s="12">
        <f t="shared" ref="X15:Y15" si="53">+X14/X13</f>
        <v>0.7155555555555555</v>
      </c>
      <c r="Y15" s="12">
        <f t="shared" si="53"/>
        <v>0.83511777301927193</v>
      </c>
      <c r="Z15" s="12">
        <f t="shared" ref="Z15" si="54">+Z14/Z13</f>
        <v>1.1643564356435643</v>
      </c>
      <c r="AA15" s="13">
        <f t="shared" ref="AA15" si="55">+AA14/AA13</f>
        <v>0.88527029261034884</v>
      </c>
      <c r="AB15" s="13">
        <f t="shared" ref="AB15" si="56">+AB14/AB13</f>
        <v>0.88719008264462806</v>
      </c>
      <c r="AC15" s="13">
        <f>+AC14/AC13</f>
        <v>0.82504564493609711</v>
      </c>
      <c r="AD15" s="13"/>
    </row>
    <row r="16" spans="1:31" x14ac:dyDescent="0.25">
      <c r="A16" s="10"/>
      <c r="B16" s="10" t="s">
        <v>27</v>
      </c>
      <c r="C16" s="12">
        <f>+C14/(C13-C49)</f>
        <v>1.096551724137931</v>
      </c>
      <c r="D16" s="12">
        <f t="shared" ref="D16:M16" si="57">+D14/(D13-D49)</f>
        <v>1.0931818181818183</v>
      </c>
      <c r="E16" s="12">
        <f t="shared" si="57"/>
        <v>1.0876132930513596</v>
      </c>
      <c r="F16" s="12">
        <f t="shared" si="57"/>
        <v>1.0030959752321982</v>
      </c>
      <c r="G16" s="12">
        <f t="shared" si="57"/>
        <v>0.99292786421499291</v>
      </c>
      <c r="H16" s="12">
        <f t="shared" si="57"/>
        <v>0.7058252427184466</v>
      </c>
      <c r="I16" s="12">
        <f t="shared" si="57"/>
        <v>1.0264150943396226</v>
      </c>
      <c r="J16" s="12">
        <f t="shared" si="57"/>
        <v>1</v>
      </c>
      <c r="K16" s="12">
        <f t="shared" si="57"/>
        <v>1</v>
      </c>
      <c r="L16" s="12">
        <f t="shared" si="57"/>
        <v>0.85571428571428576</v>
      </c>
      <c r="M16" s="12">
        <f t="shared" si="57"/>
        <v>1.2533333333333334</v>
      </c>
      <c r="N16" s="12">
        <f t="shared" ref="N16:Q16" si="58">+N14/(N13-N49)</f>
        <v>1.1339999999999999</v>
      </c>
      <c r="O16" s="12">
        <f t="shared" si="58"/>
        <v>0.52244897959183678</v>
      </c>
      <c r="P16" s="12">
        <f t="shared" si="58"/>
        <v>0.84933333333333338</v>
      </c>
      <c r="Q16" s="12">
        <f t="shared" si="58"/>
        <v>0.64300000000000002</v>
      </c>
      <c r="R16" s="12">
        <f t="shared" ref="R16" si="59">+R14/(R13-R49)</f>
        <v>0.78249999999999997</v>
      </c>
      <c r="S16" s="12">
        <f t="shared" ref="S16:T16" si="60">+S14/(S13-S49)</f>
        <v>0.95799999999999996</v>
      </c>
      <c r="T16" s="12">
        <f t="shared" si="60"/>
        <v>0.96090909090909093</v>
      </c>
      <c r="U16" s="12">
        <f t="shared" ref="U16:W16" si="61">+U14/(U13-U49)</f>
        <v>0.79449541284403669</v>
      </c>
      <c r="V16" s="12">
        <f t="shared" si="61"/>
        <v>0.91111111111111109</v>
      </c>
      <c r="W16" s="12">
        <f t="shared" si="61"/>
        <v>1</v>
      </c>
      <c r="X16" s="12">
        <f t="shared" ref="X16:Y16" si="62">+X14/(X13-X49)</f>
        <v>0.7155555555555555</v>
      </c>
      <c r="Y16" s="12">
        <f t="shared" si="62"/>
        <v>1</v>
      </c>
      <c r="Z16" s="12">
        <f t="shared" ref="Z16" si="63">+Z14/(Z13-Z49)</f>
        <v>1.1643564356435643</v>
      </c>
      <c r="AA16" s="13">
        <f>+AA14/(AA13-(AA47))</f>
        <v>0.93195266272189348</v>
      </c>
      <c r="AB16" s="13">
        <f>+AB14/(AB13-(AB47))</f>
        <v>0.88719008264462806</v>
      </c>
      <c r="AC16" s="13">
        <f>+AC14/(AC13-(AC47))</f>
        <v>0.9807225839397421</v>
      </c>
      <c r="AD16" s="13"/>
    </row>
    <row r="17" spans="1:32" x14ac:dyDescent="0.25">
      <c r="A17" s="10"/>
    </row>
    <row r="18" spans="1:32" x14ac:dyDescent="0.25">
      <c r="A18" s="10" t="s">
        <v>23</v>
      </c>
      <c r="B18" t="s">
        <v>13</v>
      </c>
      <c r="C18">
        <f>40+300</f>
        <v>340</v>
      </c>
      <c r="D18">
        <f>60+350</f>
        <v>410</v>
      </c>
      <c r="E18">
        <f>40+350</f>
        <v>390</v>
      </c>
      <c r="F18">
        <f>70+450</f>
        <v>520</v>
      </c>
      <c r="G18">
        <f>100+625</f>
        <v>725</v>
      </c>
      <c r="H18">
        <f>100+625</f>
        <v>725</v>
      </c>
      <c r="I18">
        <f>200+450</f>
        <v>650</v>
      </c>
      <c r="J18">
        <f>100+200</f>
        <v>300</v>
      </c>
      <c r="K18">
        <f>100+400</f>
        <v>500</v>
      </c>
      <c r="L18">
        <f>300+450</f>
        <v>750</v>
      </c>
      <c r="M18">
        <f>450+400</f>
        <v>850</v>
      </c>
      <c r="N18">
        <f>300+200</f>
        <v>500</v>
      </c>
      <c r="O18">
        <v>400</v>
      </c>
      <c r="P18">
        <f>300+250</f>
        <v>550</v>
      </c>
      <c r="Q18">
        <v>400</v>
      </c>
      <c r="R18">
        <v>600</v>
      </c>
      <c r="S18">
        <f>150+450</f>
        <v>600</v>
      </c>
      <c r="T18">
        <f>450+150</f>
        <v>600</v>
      </c>
      <c r="U18">
        <f>450+200</f>
        <v>650</v>
      </c>
      <c r="V18">
        <f>200+350</f>
        <v>550</v>
      </c>
      <c r="W18">
        <v>700</v>
      </c>
      <c r="X18">
        <v>600</v>
      </c>
      <c r="Y18">
        <v>800</v>
      </c>
      <c r="Z18">
        <f>140+200</f>
        <v>340</v>
      </c>
      <c r="AA18" s="15">
        <f>SUM(C18:H18)/6</f>
        <v>518.33333333333337</v>
      </c>
      <c r="AB18" s="15">
        <f t="shared" ref="AB18:AB19" si="64">SUM(I18:N18)/6</f>
        <v>591.66666666666663</v>
      </c>
      <c r="AC18" s="15">
        <f t="shared" ref="AC18:AC19" si="65">SUM(O18:Z18)/12</f>
        <v>565.83333333333337</v>
      </c>
      <c r="AD18" s="15"/>
    </row>
    <row r="19" spans="1:32" x14ac:dyDescent="0.25">
      <c r="A19" s="10"/>
      <c r="B19" t="s">
        <v>14</v>
      </c>
      <c r="C19">
        <f>205+575</f>
        <v>780</v>
      </c>
      <c r="D19">
        <f>159+0</f>
        <v>159</v>
      </c>
      <c r="E19">
        <f>110+41</f>
        <v>151</v>
      </c>
      <c r="F19">
        <f>72+342</f>
        <v>414</v>
      </c>
      <c r="G19">
        <f>192+390</f>
        <v>582</v>
      </c>
      <c r="H19">
        <f>199+820</f>
        <v>1019</v>
      </c>
      <c r="I19">
        <f>136+554</f>
        <v>690</v>
      </c>
      <c r="J19">
        <f>124+284</f>
        <v>408</v>
      </c>
      <c r="K19">
        <f>181+522</f>
        <v>703</v>
      </c>
      <c r="L19">
        <f>121+555</f>
        <v>676</v>
      </c>
      <c r="M19">
        <f>118+215</f>
        <v>333</v>
      </c>
      <c r="N19">
        <f>350+335</f>
        <v>685</v>
      </c>
      <c r="O19">
        <f>176+182</f>
        <v>358</v>
      </c>
      <c r="P19">
        <v>501</v>
      </c>
      <c r="Q19">
        <v>433</v>
      </c>
      <c r="R19">
        <v>512</v>
      </c>
      <c r="S19">
        <v>504</v>
      </c>
      <c r="T19">
        <f>569+192</f>
        <v>761</v>
      </c>
      <c r="U19">
        <f>126+284</f>
        <v>410</v>
      </c>
      <c r="V19">
        <v>843</v>
      </c>
      <c r="W19">
        <v>546</v>
      </c>
      <c r="X19">
        <f>132+74</f>
        <v>206</v>
      </c>
      <c r="Y19">
        <f>220+338</f>
        <v>558</v>
      </c>
      <c r="Z19">
        <v>1113</v>
      </c>
      <c r="AA19" s="15">
        <f>SUM(C19:H19)/6</f>
        <v>517.5</v>
      </c>
      <c r="AB19" s="15">
        <f t="shared" si="64"/>
        <v>582.5</v>
      </c>
      <c r="AC19" s="15">
        <f t="shared" si="65"/>
        <v>562.08333333333337</v>
      </c>
      <c r="AD19" s="15"/>
    </row>
    <row r="20" spans="1:32" x14ac:dyDescent="0.25">
      <c r="A20" s="10"/>
    </row>
    <row r="21" spans="1:32" x14ac:dyDescent="0.25">
      <c r="A21" s="10" t="s">
        <v>437</v>
      </c>
      <c r="B21" t="s">
        <v>13</v>
      </c>
      <c r="C21">
        <v>0</v>
      </c>
      <c r="D21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</v>
      </c>
      <c r="Q21">
        <v>0</v>
      </c>
      <c r="R21">
        <v>0</v>
      </c>
      <c r="S21">
        <v>0</v>
      </c>
      <c r="T21">
        <v>0</v>
      </c>
      <c r="U21">
        <v>0</v>
      </c>
      <c r="V21">
        <v>25</v>
      </c>
      <c r="W21">
        <v>4</v>
      </c>
      <c r="X21">
        <v>16</v>
      </c>
      <c r="Y21">
        <v>38</v>
      </c>
      <c r="AA21" s="15">
        <f t="shared" ref="AA21:AA22" si="66">SUM(C21:H21)</f>
        <v>19</v>
      </c>
      <c r="AB21" s="15">
        <f t="shared" ref="AB21:AB22" si="67">SUM(I21:N21)/6</f>
        <v>0</v>
      </c>
      <c r="AC21" s="15">
        <f t="shared" ref="AC21:AC22" si="68">SUM(O21:Y21)/11</f>
        <v>9.1818181818181817</v>
      </c>
      <c r="AD21" s="15"/>
    </row>
    <row r="22" spans="1:32" x14ac:dyDescent="0.25">
      <c r="A22" s="10"/>
      <c r="B22" t="s">
        <v>14</v>
      </c>
      <c r="C22">
        <v>29</v>
      </c>
      <c r="D22">
        <v>19</v>
      </c>
      <c r="F22">
        <v>0</v>
      </c>
      <c r="G22">
        <f>9+28</f>
        <v>37</v>
      </c>
      <c r="H22">
        <v>14</v>
      </c>
      <c r="I22">
        <v>4</v>
      </c>
      <c r="J22">
        <f>7</f>
        <v>7</v>
      </c>
      <c r="K22">
        <v>0</v>
      </c>
      <c r="L22">
        <f>500+21</f>
        <v>521</v>
      </c>
      <c r="M22">
        <v>13</v>
      </c>
      <c r="N22">
        <v>1</v>
      </c>
      <c r="O22">
        <v>14</v>
      </c>
      <c r="P22">
        <v>57</v>
      </c>
      <c r="Q22">
        <v>254</v>
      </c>
      <c r="R22">
        <v>723</v>
      </c>
      <c r="S22">
        <v>141</v>
      </c>
      <c r="T22">
        <v>310</v>
      </c>
      <c r="U22">
        <v>173</v>
      </c>
      <c r="V22">
        <v>413</v>
      </c>
      <c r="W22">
        <v>333</v>
      </c>
      <c r="X22">
        <v>200</v>
      </c>
      <c r="Y22">
        <v>227</v>
      </c>
      <c r="Z22">
        <v>12</v>
      </c>
      <c r="AA22" s="15">
        <f t="shared" si="66"/>
        <v>99</v>
      </c>
      <c r="AB22" s="15">
        <f t="shared" si="67"/>
        <v>91</v>
      </c>
      <c r="AC22" s="15">
        <f t="shared" si="68"/>
        <v>258.63636363636363</v>
      </c>
      <c r="AD22" s="15"/>
    </row>
    <row r="23" spans="1:32" x14ac:dyDescent="0.25">
      <c r="A23" s="10"/>
    </row>
    <row r="24" spans="1:32" x14ac:dyDescent="0.25">
      <c r="A24" s="10" t="s">
        <v>15</v>
      </c>
      <c r="B24" t="s">
        <v>13</v>
      </c>
      <c r="C24" s="10">
        <f t="shared" ref="C24:M24" si="69">+C13+C8+C3+C18+C21</f>
        <v>10272</v>
      </c>
      <c r="D24" s="10">
        <f t="shared" si="69"/>
        <v>9708</v>
      </c>
      <c r="E24" s="10">
        <f t="shared" si="69"/>
        <v>8448</v>
      </c>
      <c r="F24" s="10">
        <f t="shared" si="69"/>
        <v>9996</v>
      </c>
      <c r="G24" s="10">
        <f t="shared" si="69"/>
        <v>10606</v>
      </c>
      <c r="H24" s="10">
        <f t="shared" si="69"/>
        <v>10834</v>
      </c>
      <c r="I24" s="10">
        <f t="shared" si="69"/>
        <v>10290</v>
      </c>
      <c r="J24" s="10">
        <f t="shared" si="69"/>
        <v>10326</v>
      </c>
      <c r="K24" s="10">
        <f t="shared" si="69"/>
        <v>12142</v>
      </c>
      <c r="L24" s="10">
        <f t="shared" si="69"/>
        <v>11051</v>
      </c>
      <c r="M24" s="10">
        <f t="shared" si="69"/>
        <v>11638</v>
      </c>
      <c r="N24" s="10">
        <f t="shared" ref="N24:Q24" si="70">+N13+N8+N3+N18+N21</f>
        <v>11044</v>
      </c>
      <c r="O24" s="10">
        <f>+O13+O8+O3+O18+O21</f>
        <v>9403</v>
      </c>
      <c r="P24" s="10">
        <f t="shared" si="70"/>
        <v>13023</v>
      </c>
      <c r="Q24" s="10">
        <f t="shared" si="70"/>
        <v>10728</v>
      </c>
      <c r="R24" s="10">
        <f t="shared" ref="R24:S24" si="71">+R13+R8+R3+R18+R21</f>
        <v>10661</v>
      </c>
      <c r="S24" s="10">
        <f t="shared" si="71"/>
        <v>9605</v>
      </c>
      <c r="T24" s="10">
        <f t="shared" ref="T24:U24" si="72">+T13+T8+T3+T18+T21</f>
        <v>10071</v>
      </c>
      <c r="U24" s="10">
        <f t="shared" si="72"/>
        <v>7922</v>
      </c>
      <c r="V24" s="10">
        <f t="shared" ref="V24:W24" si="73">+V13+V8+V3+V18+V21</f>
        <v>8375</v>
      </c>
      <c r="W24" s="10">
        <f t="shared" si="73"/>
        <v>7806</v>
      </c>
      <c r="X24" s="10">
        <f t="shared" ref="X24:Y24" si="74">+X13+X8+X3+X18+X21</f>
        <v>10826</v>
      </c>
      <c r="Y24" s="10">
        <f t="shared" si="74"/>
        <v>9779</v>
      </c>
      <c r="Z24" s="10">
        <f t="shared" ref="Z24" si="75">+Z13+Z8+Z3+Z18+Z21</f>
        <v>8835</v>
      </c>
      <c r="AA24" s="16">
        <f>SUM(C24:H24)/6</f>
        <v>9977.3333333333339</v>
      </c>
      <c r="AB24" s="16">
        <f>SUM(I24:N24)/6</f>
        <v>11081.833333333334</v>
      </c>
      <c r="AC24" s="16">
        <f>SUM(O24:Z24)/12</f>
        <v>9752.8333333333339</v>
      </c>
      <c r="AD24" s="16"/>
    </row>
    <row r="25" spans="1:32" x14ac:dyDescent="0.25">
      <c r="A25" s="10"/>
      <c r="B25" t="s">
        <v>14</v>
      </c>
      <c r="C25" s="10">
        <f t="shared" ref="C25:M25" si="76">+C14+C9+C4+C19+C22</f>
        <v>9310</v>
      </c>
      <c r="D25" s="10">
        <f t="shared" si="76"/>
        <v>7980</v>
      </c>
      <c r="E25" s="10">
        <f t="shared" si="76"/>
        <v>6262</v>
      </c>
      <c r="F25" s="10">
        <f t="shared" si="76"/>
        <v>8584</v>
      </c>
      <c r="G25" s="10">
        <f t="shared" si="76"/>
        <v>9211</v>
      </c>
      <c r="H25" s="10">
        <f t="shared" si="76"/>
        <v>9375</v>
      </c>
      <c r="I25" s="10">
        <f t="shared" si="76"/>
        <v>10541</v>
      </c>
      <c r="J25" s="10">
        <f t="shared" si="76"/>
        <v>7374</v>
      </c>
      <c r="K25" s="10">
        <f t="shared" si="76"/>
        <v>10753</v>
      </c>
      <c r="L25" s="10">
        <f t="shared" si="76"/>
        <v>11654</v>
      </c>
      <c r="M25" s="10">
        <f t="shared" si="76"/>
        <v>9709</v>
      </c>
      <c r="N25" s="10">
        <f t="shared" ref="N25:Q25" si="77">+N14+N9+N4+N19+N22</f>
        <v>11066</v>
      </c>
      <c r="O25" s="10">
        <f>+O14+O9+O4+O19+O22</f>
        <v>6635</v>
      </c>
      <c r="P25" s="10">
        <f t="shared" si="77"/>
        <v>10703</v>
      </c>
      <c r="Q25" s="10">
        <f t="shared" si="77"/>
        <v>9455</v>
      </c>
      <c r="R25" s="10">
        <f t="shared" ref="R25:S25" si="78">+R14+R9+R4+R19+R22</f>
        <v>10716</v>
      </c>
      <c r="S25" s="10">
        <f t="shared" si="78"/>
        <v>9692</v>
      </c>
      <c r="T25" s="10">
        <f t="shared" ref="T25:U25" si="79">+T14+T9+T4+T19+T22</f>
        <v>10117</v>
      </c>
      <c r="U25" s="10">
        <f t="shared" si="79"/>
        <v>8632</v>
      </c>
      <c r="V25" s="10">
        <f t="shared" ref="V25:W25" si="80">+V14+V9+V4+V19+V22</f>
        <v>7404</v>
      </c>
      <c r="W25" s="10">
        <f t="shared" si="80"/>
        <v>7303</v>
      </c>
      <c r="X25" s="10">
        <f t="shared" ref="X25:Y25" si="81">+X14+X9+X4+X19+X22</f>
        <v>8828</v>
      </c>
      <c r="Y25" s="224">
        <f t="shared" si="81"/>
        <v>8405.4</v>
      </c>
      <c r="Z25" s="224">
        <f t="shared" ref="Z25" si="82">+Z14+Z9+Z4+Z19+Z22</f>
        <v>9390</v>
      </c>
      <c r="AA25" s="16">
        <f>SUM(C25:H25)/6</f>
        <v>8453.6666666666661</v>
      </c>
      <c r="AB25" s="16">
        <f>SUM(I25:N25)/6</f>
        <v>10182.833333333334</v>
      </c>
      <c r="AC25" s="16">
        <f>SUM(O25:Z25)/12</f>
        <v>8940.0333333333328</v>
      </c>
      <c r="AD25" s="16"/>
    </row>
    <row r="26" spans="1:32" x14ac:dyDescent="0.25">
      <c r="A26" s="10"/>
      <c r="B26" s="10" t="s">
        <v>25</v>
      </c>
      <c r="C26" s="12">
        <f>+C25/C24</f>
        <v>0.90634735202492211</v>
      </c>
      <c r="D26" s="12">
        <f t="shared" ref="D26" si="83">+D25/D24</f>
        <v>0.82200247218788625</v>
      </c>
      <c r="E26" s="12">
        <f t="shared" ref="E26" si="84">+E25/E24</f>
        <v>0.74124053030303028</v>
      </c>
      <c r="F26" s="12">
        <f t="shared" ref="F26" si="85">+F25/F24</f>
        <v>0.85874349739895961</v>
      </c>
      <c r="G26" s="12">
        <f t="shared" ref="G26" si="86">+G25/G24</f>
        <v>0.86847067697529701</v>
      </c>
      <c r="H26" s="12">
        <f t="shared" ref="H26" si="87">+H25/H24</f>
        <v>0.86533136422374013</v>
      </c>
      <c r="I26" s="12">
        <f t="shared" ref="I26" si="88">+I25/I24</f>
        <v>1.0243926141885324</v>
      </c>
      <c r="J26" s="12">
        <f t="shared" ref="J26" si="89">+J25/J24</f>
        <v>0.71411969785008711</v>
      </c>
      <c r="K26" s="12">
        <f t="shared" ref="K26" si="90">+K25/K24</f>
        <v>0.88560368967221215</v>
      </c>
      <c r="L26" s="12">
        <f t="shared" ref="L26" si="91">+L25/L24</f>
        <v>1.0545651977196633</v>
      </c>
      <c r="M26" s="12">
        <f t="shared" ref="M26:N26" si="92">+M25/M24</f>
        <v>0.83424987111187487</v>
      </c>
      <c r="N26" s="12">
        <f t="shared" si="92"/>
        <v>1.00199203187251</v>
      </c>
      <c r="O26" s="12">
        <f t="shared" ref="O26:Q26" si="93">+O25/O24</f>
        <v>0.70562586408592998</v>
      </c>
      <c r="P26" s="12">
        <f t="shared" si="93"/>
        <v>0.82185364355371271</v>
      </c>
      <c r="Q26" s="12">
        <f t="shared" si="93"/>
        <v>0.88133855331841904</v>
      </c>
      <c r="R26" s="12">
        <f t="shared" ref="R26:S26" si="94">+R25/R24</f>
        <v>1.0051589907138168</v>
      </c>
      <c r="S26" s="12">
        <f t="shared" si="94"/>
        <v>1.0090577824049973</v>
      </c>
      <c r="T26" s="12">
        <f t="shared" ref="T26:U26" si="95">+T25/T24</f>
        <v>1.0045675702512165</v>
      </c>
      <c r="U26" s="12">
        <f t="shared" si="95"/>
        <v>1.0896238323655643</v>
      </c>
      <c r="V26" s="12">
        <f t="shared" ref="V26:W26" si="96">+V25/V24</f>
        <v>0.88405970149253732</v>
      </c>
      <c r="W26" s="12">
        <f t="shared" si="96"/>
        <v>0.9355623879067384</v>
      </c>
      <c r="X26" s="12">
        <f t="shared" ref="X26:Y26" si="97">+X25/X24</f>
        <v>0.81544430075743579</v>
      </c>
      <c r="Y26" s="12">
        <f t="shared" si="97"/>
        <v>0.85953573985070042</v>
      </c>
      <c r="Z26" s="12">
        <f t="shared" ref="Z26" si="98">+Z25/Z24</f>
        <v>1.0628183361629882</v>
      </c>
      <c r="AA26" s="13">
        <f t="shared" ref="AA26" si="99">+AA25/AA24</f>
        <v>0.84728718428437777</v>
      </c>
      <c r="AB26" s="13">
        <f t="shared" ref="AB26" si="100">+AB25/AB24</f>
        <v>0.91887623888947378</v>
      </c>
      <c r="AC26" s="13">
        <f>+AC25/AC24</f>
        <v>0.91666011586376595</v>
      </c>
      <c r="AD26" s="13"/>
    </row>
    <row r="27" spans="1:32" x14ac:dyDescent="0.25">
      <c r="A27" s="10"/>
      <c r="B27" s="10" t="s">
        <v>27</v>
      </c>
      <c r="C27" s="12">
        <f>+C25/(C24-C31-C39-C47)</f>
        <v>1.1107134335480793</v>
      </c>
      <c r="D27" s="12">
        <f t="shared" ref="D27:M27" si="101">+D25/(D24-D31-D39-D47)</f>
        <v>0.9438202247191011</v>
      </c>
      <c r="E27" s="12">
        <f t="shared" si="101"/>
        <v>0.91496201052016368</v>
      </c>
      <c r="F27" s="12">
        <f t="shared" si="101"/>
        <v>1.0100011766090129</v>
      </c>
      <c r="G27" s="12">
        <f t="shared" si="101"/>
        <v>0.99978291544556608</v>
      </c>
      <c r="H27" s="12">
        <f t="shared" si="101"/>
        <v>1.0762254620594651</v>
      </c>
      <c r="I27" s="12">
        <f t="shared" si="101"/>
        <v>1.1372316323227964</v>
      </c>
      <c r="J27" s="12">
        <f t="shared" si="101"/>
        <v>0.88195191962683894</v>
      </c>
      <c r="K27" s="12">
        <f t="shared" si="101"/>
        <v>0.93863477653631289</v>
      </c>
      <c r="L27" s="12">
        <f t="shared" si="101"/>
        <v>1.1210080800307811</v>
      </c>
      <c r="M27" s="12">
        <f t="shared" si="101"/>
        <v>0.9727482216210801</v>
      </c>
      <c r="N27" s="12">
        <f t="shared" ref="N27:Q27" si="102">+N25/(N24-N31-N39-N47)</f>
        <v>1.1132796780684104</v>
      </c>
      <c r="O27" s="12">
        <f t="shared" si="102"/>
        <v>0.81162079510703367</v>
      </c>
      <c r="P27" s="12">
        <f t="shared" si="102"/>
        <v>0.8529646158750398</v>
      </c>
      <c r="Q27" s="12">
        <f t="shared" si="102"/>
        <v>1.0813129002744739</v>
      </c>
      <c r="R27" s="12">
        <f t="shared" ref="R27:S27" si="103">+R25/(R24-R31-R39-R47)</f>
        <v>1.1053120165033523</v>
      </c>
      <c r="S27" s="12">
        <f t="shared" si="103"/>
        <v>1.0815757169958711</v>
      </c>
      <c r="T27" s="12">
        <f t="shared" ref="T27:U27" si="104">+T25/(T24-T31-T39-T47)</f>
        <v>1.0338238299611691</v>
      </c>
      <c r="U27" s="12">
        <f t="shared" si="104"/>
        <v>1.1513938908896892</v>
      </c>
      <c r="V27" s="12">
        <f t="shared" ref="V27:W27" si="105">+V25/(V24-V31-V39-V47)</f>
        <v>1.0124435936004377</v>
      </c>
      <c r="W27" s="12">
        <f t="shared" si="105"/>
        <v>1.053976042719007</v>
      </c>
      <c r="X27" s="12">
        <f t="shared" ref="X27:Y27" si="106">+X25/(X24-X31-X39-X47)</f>
        <v>0.93516949152542372</v>
      </c>
      <c r="Y27" s="12">
        <f t="shared" si="106"/>
        <v>1.0203204661325564</v>
      </c>
      <c r="Z27" s="12">
        <f t="shared" ref="Z27" si="107">+Z25/(Z24-Z31-Z39-Z47)</f>
        <v>1.1295561169252977</v>
      </c>
      <c r="AA27" s="13">
        <f>+AA25/(AA24-(AA31+AA39+AA47))</f>
        <v>1.0123343445633082</v>
      </c>
      <c r="AB27" s="13">
        <f>+AB25/(AB24-(AB31+AB39+AB47))</f>
        <v>1.0285170782620408</v>
      </c>
      <c r="AC27" s="13">
        <f>+AC25/(AC24-(AC47))</f>
        <v>0.92838450621343749</v>
      </c>
      <c r="AD27" s="13"/>
    </row>
    <row r="28" spans="1:32" x14ac:dyDescent="0.25">
      <c r="A28" s="10"/>
    </row>
    <row r="29" spans="1:32" x14ac:dyDescent="0.25">
      <c r="A29" s="10" t="s">
        <v>16</v>
      </c>
    </row>
    <row r="30" spans="1:32" x14ac:dyDescent="0.25">
      <c r="A30" s="10" t="s">
        <v>9</v>
      </c>
      <c r="B30" s="10" t="s">
        <v>15</v>
      </c>
      <c r="C30" s="10">
        <f t="shared" ref="C30:L30" si="108">+C3-C4</f>
        <v>-141</v>
      </c>
      <c r="D30" s="10">
        <f t="shared" si="108"/>
        <v>832</v>
      </c>
      <c r="E30" s="10">
        <f t="shared" si="108"/>
        <v>822</v>
      </c>
      <c r="F30" s="10">
        <f t="shared" si="108"/>
        <v>233</v>
      </c>
      <c r="G30" s="10">
        <f t="shared" si="108"/>
        <v>983</v>
      </c>
      <c r="H30" s="10">
        <f t="shared" si="108"/>
        <v>1039</v>
      </c>
      <c r="I30" s="10">
        <f t="shared" si="108"/>
        <v>-887</v>
      </c>
      <c r="J30" s="10">
        <f t="shared" si="108"/>
        <v>2852</v>
      </c>
      <c r="K30" s="10">
        <f t="shared" si="108"/>
        <v>913</v>
      </c>
      <c r="L30" s="10">
        <f t="shared" si="108"/>
        <v>108</v>
      </c>
      <c r="M30" s="10">
        <f>+M3-M4</f>
        <v>1519</v>
      </c>
      <c r="N30" s="10">
        <f>+N3-N4</f>
        <v>1036</v>
      </c>
      <c r="O30" s="10">
        <f t="shared" ref="O30:Q30" si="109">+O3-O4</f>
        <v>1472</v>
      </c>
      <c r="P30" s="10">
        <f t="shared" si="109"/>
        <v>1698</v>
      </c>
      <c r="Q30" s="10">
        <f t="shared" si="109"/>
        <v>-135</v>
      </c>
      <c r="R30" s="10">
        <f t="shared" ref="R30" si="110">+R3-R4</f>
        <v>-175</v>
      </c>
      <c r="S30" s="10">
        <f>+S3-S4</f>
        <v>-454</v>
      </c>
      <c r="T30" s="10">
        <f>+T3-T4</f>
        <v>432</v>
      </c>
      <c r="U30" s="10">
        <f>+U3-U4</f>
        <v>-912</v>
      </c>
      <c r="V30" s="10">
        <f t="shared" ref="V30:Z30" si="111">+V3-V4</f>
        <v>946</v>
      </c>
      <c r="W30" s="10">
        <f t="shared" si="111"/>
        <v>175</v>
      </c>
      <c r="X30" s="10">
        <f t="shared" si="111"/>
        <v>1643</v>
      </c>
      <c r="Y30" s="10">
        <f t="shared" si="111"/>
        <v>356</v>
      </c>
      <c r="Z30" s="10">
        <f t="shared" si="111"/>
        <v>-42</v>
      </c>
      <c r="AA30" s="16">
        <f>SUM(C30:H30)/6</f>
        <v>628</v>
      </c>
      <c r="AB30" s="16">
        <f>SUM(I30:N30)/6</f>
        <v>923.5</v>
      </c>
      <c r="AC30" s="16">
        <f>SUM(O30:Z30)/12</f>
        <v>417</v>
      </c>
      <c r="AD30" s="16"/>
    </row>
    <row r="31" spans="1:32" x14ac:dyDescent="0.25">
      <c r="A31" s="10"/>
      <c r="B31" t="s">
        <v>17</v>
      </c>
      <c r="C31">
        <v>570</v>
      </c>
      <c r="D31">
        <v>654</v>
      </c>
      <c r="E31">
        <v>517</v>
      </c>
      <c r="F31">
        <v>278</v>
      </c>
      <c r="G31">
        <v>1035</v>
      </c>
      <c r="H31">
        <v>978</v>
      </c>
      <c r="I31">
        <v>69</v>
      </c>
      <c r="J31">
        <v>1714</v>
      </c>
      <c r="K31">
        <v>81</v>
      </c>
      <c r="L31">
        <v>227</v>
      </c>
      <c r="M31">
        <v>1606</v>
      </c>
      <c r="N31">
        <v>1065</v>
      </c>
      <c r="O31">
        <v>193</v>
      </c>
      <c r="P31">
        <v>0</v>
      </c>
      <c r="Q31" s="135">
        <v>187</v>
      </c>
      <c r="R31" s="135">
        <v>197</v>
      </c>
      <c r="S31">
        <v>37</v>
      </c>
      <c r="T31">
        <v>126</v>
      </c>
      <c r="U31">
        <v>55</v>
      </c>
      <c r="V31">
        <v>109</v>
      </c>
      <c r="W31" s="135">
        <v>344</v>
      </c>
      <c r="X31" s="135">
        <v>1130</v>
      </c>
      <c r="Y31" s="135">
        <v>830</v>
      </c>
      <c r="Z31" s="135">
        <v>176</v>
      </c>
      <c r="AA31" s="15">
        <f>SUM(C31:H31)/6</f>
        <v>672</v>
      </c>
      <c r="AB31" s="15">
        <f t="shared" ref="AB31:AB36" si="112">SUM(I31:N31)/6</f>
        <v>793.66666666666663</v>
      </c>
      <c r="AC31" s="15">
        <f t="shared" ref="AC31:AC36" si="113">SUM(O31:Z31)/12</f>
        <v>282</v>
      </c>
      <c r="AD31" s="205">
        <f>+AA31/AA3</f>
        <v>0.14963259853039412</v>
      </c>
      <c r="AE31" s="206">
        <f>+AB31/AB3</f>
        <v>0.11505750459070262</v>
      </c>
      <c r="AF31" s="206">
        <f>+AC31/AC3</f>
        <v>5.2960232874782853E-2</v>
      </c>
    </row>
    <row r="32" spans="1:32" x14ac:dyDescent="0.25">
      <c r="A32" s="10"/>
      <c r="B32" t="s">
        <v>18</v>
      </c>
      <c r="F32">
        <v>56</v>
      </c>
      <c r="G32">
        <v>12</v>
      </c>
      <c r="O32">
        <v>1112</v>
      </c>
      <c r="P32">
        <v>0</v>
      </c>
      <c r="Q32">
        <v>0</v>
      </c>
      <c r="W32" s="135"/>
      <c r="X32" s="135"/>
      <c r="Y32" s="135"/>
      <c r="Z32" s="135"/>
      <c r="AA32" s="15">
        <f t="shared" ref="AA32:AA36" si="114">SUM(C32:H32)/6</f>
        <v>11.333333333333334</v>
      </c>
      <c r="AB32" s="15">
        <f t="shared" si="112"/>
        <v>0</v>
      </c>
      <c r="AC32" s="15">
        <f t="shared" si="113"/>
        <v>92.666666666666671</v>
      </c>
      <c r="AD32" s="15"/>
    </row>
    <row r="33" spans="1:32" x14ac:dyDescent="0.25">
      <c r="A33" s="10"/>
      <c r="B33" t="s">
        <v>19</v>
      </c>
      <c r="D33">
        <v>183</v>
      </c>
      <c r="E33">
        <v>528</v>
      </c>
      <c r="O33">
        <v>0</v>
      </c>
      <c r="P33">
        <v>435</v>
      </c>
      <c r="Q33">
        <v>0</v>
      </c>
      <c r="T33">
        <v>453</v>
      </c>
      <c r="U33">
        <v>135</v>
      </c>
      <c r="V33">
        <v>1058</v>
      </c>
      <c r="W33" s="135">
        <v>60</v>
      </c>
      <c r="X33" s="135"/>
      <c r="Y33" s="135"/>
      <c r="Z33" s="135"/>
      <c r="AA33" s="15">
        <f t="shared" si="114"/>
        <v>118.5</v>
      </c>
      <c r="AB33" s="15">
        <f t="shared" si="112"/>
        <v>0</v>
      </c>
      <c r="AC33" s="15">
        <f t="shared" si="113"/>
        <v>178.41666666666666</v>
      </c>
      <c r="AD33" s="15"/>
    </row>
    <row r="34" spans="1:32" x14ac:dyDescent="0.25">
      <c r="A34" s="10"/>
      <c r="B34" t="s">
        <v>20</v>
      </c>
      <c r="M34">
        <v>18</v>
      </c>
      <c r="O34">
        <v>0</v>
      </c>
      <c r="P34">
        <v>0</v>
      </c>
      <c r="Q34">
        <v>0</v>
      </c>
      <c r="X34">
        <v>558</v>
      </c>
      <c r="Z34">
        <v>149</v>
      </c>
      <c r="AA34" s="15">
        <f t="shared" si="114"/>
        <v>0</v>
      </c>
      <c r="AB34" s="15">
        <f t="shared" si="112"/>
        <v>3</v>
      </c>
      <c r="AC34" s="15">
        <f t="shared" si="113"/>
        <v>58.916666666666664</v>
      </c>
      <c r="AD34" s="15"/>
    </row>
    <row r="35" spans="1:32" x14ac:dyDescent="0.25">
      <c r="A35" s="10"/>
      <c r="B35" t="s">
        <v>459</v>
      </c>
      <c r="O35">
        <v>210</v>
      </c>
      <c r="P35">
        <v>0</v>
      </c>
      <c r="Q35">
        <v>0</v>
      </c>
      <c r="Y35">
        <v>143</v>
      </c>
      <c r="AA35" s="15">
        <f t="shared" si="114"/>
        <v>0</v>
      </c>
      <c r="AB35" s="15">
        <f t="shared" si="112"/>
        <v>0</v>
      </c>
      <c r="AC35" s="15">
        <f t="shared" si="113"/>
        <v>29.416666666666668</v>
      </c>
      <c r="AD35" s="15"/>
    </row>
    <row r="36" spans="1:32" x14ac:dyDescent="0.25">
      <c r="A36" s="10"/>
      <c r="B36" t="s">
        <v>21</v>
      </c>
      <c r="D36">
        <v>48</v>
      </c>
      <c r="H36">
        <v>90</v>
      </c>
      <c r="J36">
        <v>1163</v>
      </c>
      <c r="K36">
        <v>859</v>
      </c>
      <c r="M36">
        <v>10</v>
      </c>
      <c r="N36">
        <v>4</v>
      </c>
      <c r="O36">
        <v>92</v>
      </c>
      <c r="P36">
        <v>1341</v>
      </c>
      <c r="Q36">
        <v>0</v>
      </c>
      <c r="S36">
        <v>20</v>
      </c>
      <c r="Y36">
        <v>232</v>
      </c>
      <c r="AA36" s="15">
        <f t="shared" si="114"/>
        <v>23</v>
      </c>
      <c r="AB36" s="15">
        <f t="shared" si="112"/>
        <v>339.33333333333331</v>
      </c>
      <c r="AC36" s="15">
        <f t="shared" si="113"/>
        <v>140.41666666666666</v>
      </c>
      <c r="AD36" s="15">
        <f>SUM(AA32:AA36)/AA3</f>
        <v>3.4031025012988943E-2</v>
      </c>
      <c r="AE36" s="206">
        <f>SUM(AB32:AB36)/AB3</f>
        <v>4.9627911471924226E-2</v>
      </c>
      <c r="AF36" s="206">
        <f>SUM(AC32:AC36)/AC3</f>
        <v>9.386982174436985E-2</v>
      </c>
    </row>
    <row r="37" spans="1:32" x14ac:dyDescent="0.25">
      <c r="A37" s="10"/>
      <c r="AC37" s="15"/>
    </row>
    <row r="38" spans="1:32" x14ac:dyDescent="0.25">
      <c r="A38" s="10" t="s">
        <v>10</v>
      </c>
      <c r="B38" s="10" t="s">
        <v>15</v>
      </c>
      <c r="C38" s="10">
        <f t="shared" ref="C38:L38" si="115">+C8-C9</f>
        <v>1684</v>
      </c>
      <c r="D38" s="10">
        <f t="shared" si="115"/>
        <v>727</v>
      </c>
      <c r="E38" s="10">
        <f t="shared" si="115"/>
        <v>1045</v>
      </c>
      <c r="F38" s="10">
        <f t="shared" si="115"/>
        <v>1076</v>
      </c>
      <c r="G38" s="10">
        <f t="shared" si="115"/>
        <v>-202</v>
      </c>
      <c r="H38" s="10">
        <f t="shared" si="115"/>
        <v>425</v>
      </c>
      <c r="I38" s="10">
        <f t="shared" si="115"/>
        <v>708</v>
      </c>
      <c r="J38" s="10">
        <f t="shared" si="115"/>
        <v>3</v>
      </c>
      <c r="K38" s="10">
        <f t="shared" si="115"/>
        <v>237</v>
      </c>
      <c r="L38" s="10">
        <f t="shared" si="115"/>
        <v>-365</v>
      </c>
      <c r="M38" s="10">
        <f>+M8-M9</f>
        <v>20</v>
      </c>
      <c r="N38" s="10">
        <f>+N8-N9</f>
        <v>-805</v>
      </c>
      <c r="O38" s="10">
        <f t="shared" ref="O38:S38" si="116">+O8-O9</f>
        <v>917</v>
      </c>
      <c r="P38" s="10">
        <f t="shared" si="116"/>
        <v>499</v>
      </c>
      <c r="Q38" s="10">
        <f t="shared" si="116"/>
        <v>1338</v>
      </c>
      <c r="R38" s="10">
        <f t="shared" si="116"/>
        <v>581</v>
      </c>
      <c r="S38" s="10">
        <f t="shared" si="116"/>
        <v>370</v>
      </c>
      <c r="T38" s="10">
        <f>+T8-T9</f>
        <v>-50</v>
      </c>
      <c r="U38" s="10">
        <f>+U8-U9</f>
        <v>23</v>
      </c>
      <c r="V38" s="10">
        <f t="shared" ref="V38:Z38" si="117">+V8-V9</f>
        <v>658</v>
      </c>
      <c r="W38" s="10">
        <f t="shared" si="117"/>
        <v>441</v>
      </c>
      <c r="X38" s="10">
        <f t="shared" si="117"/>
        <v>-111</v>
      </c>
      <c r="Y38" s="10">
        <f t="shared" si="117"/>
        <v>810.59999999999991</v>
      </c>
      <c r="Z38" s="10">
        <f t="shared" si="117"/>
        <v>355</v>
      </c>
      <c r="AA38" s="16">
        <f>SUM(C38:H38)/6</f>
        <v>792.5</v>
      </c>
      <c r="AB38" s="16">
        <f>SUM(I38:N38)/6</f>
        <v>-33.666666666666664</v>
      </c>
      <c r="AC38" s="16">
        <f>SUM(O38:Z38)/12</f>
        <v>485.9666666666667</v>
      </c>
      <c r="AD38" s="16"/>
    </row>
    <row r="39" spans="1:32" x14ac:dyDescent="0.25">
      <c r="A39" s="10"/>
      <c r="B39" t="s">
        <v>17</v>
      </c>
      <c r="C39">
        <v>1320</v>
      </c>
      <c r="D39">
        <v>599</v>
      </c>
      <c r="E39">
        <v>1087</v>
      </c>
      <c r="F39">
        <v>1219</v>
      </c>
      <c r="G39">
        <v>358</v>
      </c>
      <c r="H39">
        <v>842</v>
      </c>
      <c r="I39">
        <v>952</v>
      </c>
      <c r="J39">
        <v>251</v>
      </c>
      <c r="K39">
        <v>605</v>
      </c>
      <c r="L39">
        <v>428</v>
      </c>
      <c r="M39">
        <v>51</v>
      </c>
      <c r="N39">
        <v>39</v>
      </c>
      <c r="O39">
        <v>684</v>
      </c>
      <c r="P39">
        <v>362</v>
      </c>
      <c r="Q39" s="135">
        <f>1248+92+100</f>
        <v>1440</v>
      </c>
      <c r="R39">
        <v>595</v>
      </c>
      <c r="S39">
        <v>565</v>
      </c>
      <c r="T39">
        <v>116</v>
      </c>
      <c r="U39">
        <v>276</v>
      </c>
      <c r="V39">
        <v>905</v>
      </c>
      <c r="W39">
        <v>533</v>
      </c>
      <c r="Y39">
        <v>711</v>
      </c>
      <c r="Z39">
        <v>346</v>
      </c>
      <c r="AA39" s="15">
        <f>SUM(C39:H39)/6</f>
        <v>904.16666666666663</v>
      </c>
      <c r="AB39" s="15">
        <f t="shared" ref="AB39:AB44" si="118">SUM(I39:N39)/6</f>
        <v>387.66666666666669</v>
      </c>
      <c r="AC39" s="15">
        <f t="shared" ref="AC39:AC44" si="119">SUM(O39:Z39)/12</f>
        <v>544.41666666666663</v>
      </c>
      <c r="AD39" s="15">
        <f>+AA39/AA8</f>
        <v>0.22851727042965458</v>
      </c>
      <c r="AE39" s="205">
        <f>+AB39/AB8</f>
        <v>0.13917309878537665</v>
      </c>
      <c r="AF39" s="205">
        <f>+AC39/AC8</f>
        <v>0.17687829971571681</v>
      </c>
    </row>
    <row r="40" spans="1:32" x14ac:dyDescent="0.25">
      <c r="A40" s="10"/>
      <c r="B40" t="s">
        <v>18</v>
      </c>
      <c r="C40">
        <v>102</v>
      </c>
      <c r="O40">
        <v>200</v>
      </c>
      <c r="P40">
        <v>0</v>
      </c>
      <c r="Q40">
        <v>0</v>
      </c>
      <c r="R40">
        <v>26</v>
      </c>
      <c r="S40">
        <v>43</v>
      </c>
      <c r="Y40">
        <v>29</v>
      </c>
      <c r="Z40">
        <v>157</v>
      </c>
      <c r="AA40" s="15">
        <f t="shared" ref="AA40:AA44" si="120">SUM(C40:H40)/6</f>
        <v>17</v>
      </c>
      <c r="AB40" s="15">
        <f t="shared" si="118"/>
        <v>0</v>
      </c>
      <c r="AC40" s="15">
        <f t="shared" si="119"/>
        <v>37.916666666666664</v>
      </c>
      <c r="AD40" s="15"/>
    </row>
    <row r="41" spans="1:32" x14ac:dyDescent="0.25">
      <c r="A41" s="10"/>
      <c r="B41" t="s">
        <v>19</v>
      </c>
      <c r="C41">
        <v>164</v>
      </c>
      <c r="D41">
        <v>194</v>
      </c>
      <c r="F41">
        <v>81</v>
      </c>
      <c r="O41">
        <v>0</v>
      </c>
      <c r="P41">
        <v>0</v>
      </c>
      <c r="Q41">
        <v>60</v>
      </c>
      <c r="R41">
        <v>58</v>
      </c>
      <c r="S41">
        <v>101</v>
      </c>
      <c r="T41">
        <v>38</v>
      </c>
      <c r="W41">
        <v>169</v>
      </c>
      <c r="AA41" s="15">
        <f t="shared" si="120"/>
        <v>73.166666666666671</v>
      </c>
      <c r="AB41" s="15">
        <f t="shared" si="118"/>
        <v>0</v>
      </c>
      <c r="AC41" s="15">
        <f t="shared" si="119"/>
        <v>35.5</v>
      </c>
      <c r="AD41" s="15"/>
    </row>
    <row r="42" spans="1:32" x14ac:dyDescent="0.25">
      <c r="A42" s="10"/>
      <c r="B42" t="s">
        <v>20</v>
      </c>
      <c r="C42">
        <v>40</v>
      </c>
      <c r="D42">
        <v>469</v>
      </c>
      <c r="E42">
        <v>40</v>
      </c>
      <c r="J42">
        <v>52</v>
      </c>
      <c r="O42">
        <v>176</v>
      </c>
      <c r="P42">
        <v>0</v>
      </c>
      <c r="Q42" s="152">
        <f>92*0</f>
        <v>0</v>
      </c>
      <c r="W42">
        <v>32</v>
      </c>
      <c r="AA42" s="15">
        <f t="shared" si="120"/>
        <v>91.5</v>
      </c>
      <c r="AB42" s="15">
        <f t="shared" si="118"/>
        <v>8.6666666666666661</v>
      </c>
      <c r="AC42" s="15">
        <f t="shared" si="119"/>
        <v>17.333333333333332</v>
      </c>
      <c r="AD42" s="15"/>
    </row>
    <row r="43" spans="1:32" x14ac:dyDescent="0.25">
      <c r="A43" s="10"/>
      <c r="B43" t="s">
        <v>22</v>
      </c>
      <c r="M43">
        <v>261</v>
      </c>
      <c r="N43">
        <v>102</v>
      </c>
      <c r="O43">
        <v>180</v>
      </c>
      <c r="P43">
        <v>0</v>
      </c>
      <c r="AA43" s="15">
        <f t="shared" si="120"/>
        <v>0</v>
      </c>
      <c r="AB43" s="15">
        <f t="shared" si="118"/>
        <v>60.5</v>
      </c>
      <c r="AC43" s="15">
        <f t="shared" si="119"/>
        <v>15</v>
      </c>
      <c r="AD43" s="15"/>
    </row>
    <row r="44" spans="1:32" x14ac:dyDescent="0.25">
      <c r="A44" s="10"/>
      <c r="B44" t="s">
        <v>21</v>
      </c>
      <c r="D44">
        <v>107</v>
      </c>
      <c r="E44">
        <v>21</v>
      </c>
      <c r="J44">
        <v>186</v>
      </c>
      <c r="N44">
        <v>117</v>
      </c>
      <c r="P44">
        <v>421</v>
      </c>
      <c r="Q44" s="152">
        <f>160-160</f>
        <v>0</v>
      </c>
      <c r="S44">
        <v>28</v>
      </c>
      <c r="V44">
        <v>43</v>
      </c>
      <c r="Y44">
        <v>123</v>
      </c>
      <c r="Z44">
        <v>41</v>
      </c>
      <c r="AA44" s="15">
        <f t="shared" si="120"/>
        <v>21.333333333333332</v>
      </c>
      <c r="AB44" s="15">
        <f t="shared" si="118"/>
        <v>50.5</v>
      </c>
      <c r="AC44" s="15">
        <f t="shared" si="119"/>
        <v>54.666666666666664</v>
      </c>
      <c r="AD44" s="15">
        <f>SUM(AA40:AA44)/AA8</f>
        <v>5.1305812973883751E-2</v>
      </c>
      <c r="AE44" s="205">
        <f>SUM(AB40:AB44)/AB8</f>
        <v>4.2960569616466222E-2</v>
      </c>
      <c r="AF44" s="205">
        <f>SUM(AC40:AC44)/AC8</f>
        <v>5.2118586706376063E-2</v>
      </c>
    </row>
    <row r="45" spans="1:32" x14ac:dyDescent="0.25">
      <c r="A45" s="10"/>
      <c r="AC45" s="15"/>
    </row>
    <row r="46" spans="1:32" x14ac:dyDescent="0.25">
      <c r="A46" s="10" t="s">
        <v>11</v>
      </c>
      <c r="B46" s="10" t="s">
        <v>15</v>
      </c>
      <c r="C46">
        <f t="shared" ref="C46:Z46" si="121">+C13-C14</f>
        <v>-112</v>
      </c>
      <c r="D46">
        <f t="shared" si="121"/>
        <v>-82</v>
      </c>
      <c r="E46">
        <f t="shared" si="121"/>
        <v>80</v>
      </c>
      <c r="F46">
        <f t="shared" si="121"/>
        <v>-3</v>
      </c>
      <c r="G46">
        <f t="shared" si="121"/>
        <v>508</v>
      </c>
      <c r="H46">
        <f t="shared" si="121"/>
        <v>303</v>
      </c>
      <c r="I46">
        <f t="shared" si="121"/>
        <v>-28</v>
      </c>
      <c r="J46">
        <f t="shared" si="121"/>
        <v>212</v>
      </c>
      <c r="K46">
        <f t="shared" si="121"/>
        <v>442</v>
      </c>
      <c r="L46" s="10">
        <f t="shared" si="121"/>
        <v>101</v>
      </c>
      <c r="M46" s="10">
        <f>+M13-M14</f>
        <v>-114</v>
      </c>
      <c r="N46" s="10">
        <f t="shared" si="121"/>
        <v>-67</v>
      </c>
      <c r="O46" s="10">
        <f t="shared" si="121"/>
        <v>351</v>
      </c>
      <c r="P46" s="10">
        <f t="shared" si="121"/>
        <v>113</v>
      </c>
      <c r="Q46" s="10">
        <f t="shared" si="121"/>
        <v>357</v>
      </c>
      <c r="R46" s="10">
        <f t="shared" si="121"/>
        <v>174</v>
      </c>
      <c r="S46" s="10">
        <f t="shared" si="121"/>
        <v>42</v>
      </c>
      <c r="T46" s="10">
        <f t="shared" si="121"/>
        <v>43</v>
      </c>
      <c r="U46" s="10">
        <f t="shared" si="121"/>
        <v>112</v>
      </c>
      <c r="V46" s="10">
        <f t="shared" si="121"/>
        <v>48</v>
      </c>
      <c r="W46" s="10">
        <f t="shared" si="121"/>
        <v>62</v>
      </c>
      <c r="X46" s="10">
        <f t="shared" si="121"/>
        <v>256</v>
      </c>
      <c r="Y46" s="10">
        <f t="shared" si="121"/>
        <v>154</v>
      </c>
      <c r="Z46" s="10">
        <f t="shared" si="121"/>
        <v>-83</v>
      </c>
      <c r="AA46" s="16">
        <f>SUM(C46:H46)/6</f>
        <v>115.66666666666667</v>
      </c>
      <c r="AB46" s="16">
        <f>SUM(I46:N46)/6</f>
        <v>91</v>
      </c>
      <c r="AC46" s="16">
        <f>SUM(O46:Z46)/12</f>
        <v>135.75</v>
      </c>
      <c r="AD46" s="16"/>
    </row>
    <row r="47" spans="1:32" x14ac:dyDescent="0.25">
      <c r="A47" s="10"/>
      <c r="B47" t="s">
        <v>17</v>
      </c>
      <c r="H47">
        <v>303</v>
      </c>
      <c r="O47">
        <v>351</v>
      </c>
      <c r="P47">
        <v>113</v>
      </c>
      <c r="Q47" s="135">
        <f>417-60</f>
        <v>357</v>
      </c>
      <c r="R47">
        <v>174</v>
      </c>
      <c r="S47">
        <v>42</v>
      </c>
      <c r="T47">
        <v>43</v>
      </c>
      <c r="U47">
        <v>94</v>
      </c>
      <c r="V47">
        <v>48</v>
      </c>
      <c r="X47">
        <v>256</v>
      </c>
      <c r="AA47" s="15">
        <f>SUM(C47:H47)/6</f>
        <v>50.5</v>
      </c>
      <c r="AB47" s="15">
        <f t="shared" ref="AB47:AB52" si="122">SUM(I47:N47)/6</f>
        <v>0</v>
      </c>
      <c r="AC47" s="15">
        <f t="shared" ref="AC47:AC52" si="123">SUM(O47:Z47)/12</f>
        <v>123.16666666666667</v>
      </c>
      <c r="AD47" s="15">
        <f>+AA47/AA13</f>
        <v>5.0090924119689205E-2</v>
      </c>
      <c r="AE47" s="207">
        <f>+AB47/AB13</f>
        <v>0</v>
      </c>
      <c r="AF47" s="205">
        <f>+AC47/AC13</f>
        <v>0.15873697776823115</v>
      </c>
    </row>
    <row r="48" spans="1:32" x14ac:dyDescent="0.25">
      <c r="A48" s="10"/>
      <c r="B48" t="s">
        <v>18</v>
      </c>
      <c r="AA48" s="15">
        <f t="shared" ref="AA48:AA52" si="124">SUM(C48:H48)/6</f>
        <v>0</v>
      </c>
      <c r="AB48" s="15">
        <f t="shared" si="122"/>
        <v>0</v>
      </c>
      <c r="AC48" s="15">
        <f t="shared" si="123"/>
        <v>0</v>
      </c>
      <c r="AD48" s="15"/>
    </row>
    <row r="49" spans="1:32" x14ac:dyDescent="0.25">
      <c r="A49" s="10"/>
      <c r="B49" t="s">
        <v>19</v>
      </c>
      <c r="E49">
        <v>138</v>
      </c>
      <c r="G49">
        <v>503</v>
      </c>
      <c r="J49">
        <f>+J46</f>
        <v>212</v>
      </c>
      <c r="K49">
        <v>442</v>
      </c>
      <c r="W49">
        <f>W46</f>
        <v>62</v>
      </c>
      <c r="Y49">
        <f>Y46</f>
        <v>154</v>
      </c>
      <c r="AA49" s="15">
        <f t="shared" si="124"/>
        <v>106.83333333333333</v>
      </c>
      <c r="AB49" s="15">
        <f t="shared" si="122"/>
        <v>109</v>
      </c>
      <c r="AC49" s="15">
        <f t="shared" si="123"/>
        <v>18</v>
      </c>
      <c r="AD49" s="15"/>
    </row>
    <row r="50" spans="1:32" x14ac:dyDescent="0.25">
      <c r="A50" s="10"/>
      <c r="B50" t="s">
        <v>20</v>
      </c>
      <c r="L50">
        <v>120</v>
      </c>
      <c r="AA50" s="15">
        <f t="shared" si="124"/>
        <v>0</v>
      </c>
      <c r="AB50" s="15">
        <f t="shared" si="122"/>
        <v>20</v>
      </c>
      <c r="AC50" s="15">
        <f t="shared" si="123"/>
        <v>0</v>
      </c>
      <c r="AD50" s="15"/>
    </row>
    <row r="51" spans="1:32" x14ac:dyDescent="0.25">
      <c r="A51" s="10"/>
      <c r="B51" t="s">
        <v>22</v>
      </c>
      <c r="AA51" s="15">
        <f t="shared" si="124"/>
        <v>0</v>
      </c>
      <c r="AB51" s="15">
        <f t="shared" si="122"/>
        <v>0</v>
      </c>
      <c r="AC51" s="15">
        <f t="shared" si="123"/>
        <v>0</v>
      </c>
      <c r="AD51" s="15"/>
    </row>
    <row r="52" spans="1:32" x14ac:dyDescent="0.25">
      <c r="A52" s="10"/>
      <c r="B52" t="s">
        <v>21</v>
      </c>
      <c r="AA52" s="15">
        <f t="shared" si="124"/>
        <v>0</v>
      </c>
      <c r="AB52" s="15">
        <f t="shared" si="122"/>
        <v>0</v>
      </c>
      <c r="AC52" s="15">
        <f t="shared" si="123"/>
        <v>0</v>
      </c>
      <c r="AD52" s="15">
        <f>SUM(AA48:AA52)/AA13</f>
        <v>0.10596792858323689</v>
      </c>
      <c r="AE52" s="205">
        <f>SUM(AB48:AB52)/AB13</f>
        <v>0.15991735537190083</v>
      </c>
      <c r="AF52" s="205">
        <f>SUM(AC48:AC52)/AC13</f>
        <v>2.3198367522285469E-2</v>
      </c>
    </row>
    <row r="55" spans="1:32" x14ac:dyDescent="0.25">
      <c r="A55" t="s">
        <v>297</v>
      </c>
      <c r="B55" t="s">
        <v>9</v>
      </c>
      <c r="C55" s="206">
        <f>(+C3-C31)/C3</f>
        <v>0.86480075901328268</v>
      </c>
      <c r="D55" s="206">
        <f t="shared" ref="D55:M55" si="125">(+D3-D31)/D3</f>
        <v>0.8173694498743368</v>
      </c>
      <c r="E55" s="206">
        <f t="shared" si="125"/>
        <v>0.84878619479379935</v>
      </c>
      <c r="F55" s="206">
        <f t="shared" si="125"/>
        <v>0.93690422151611441</v>
      </c>
      <c r="G55" s="206">
        <f t="shared" si="125"/>
        <v>0.79725759059745349</v>
      </c>
      <c r="H55" s="206">
        <f t="shared" si="125"/>
        <v>0.84273999035214664</v>
      </c>
      <c r="I55" s="206">
        <f t="shared" si="125"/>
        <v>0.98808495941978935</v>
      </c>
      <c r="J55" s="206">
        <f t="shared" si="125"/>
        <v>0.72999369880277254</v>
      </c>
      <c r="K55" s="206">
        <f t="shared" si="125"/>
        <v>0.98888888888888893</v>
      </c>
      <c r="L55" s="206">
        <f t="shared" si="125"/>
        <v>0.96827836780324206</v>
      </c>
      <c r="M55" s="206">
        <f t="shared" si="125"/>
        <v>0.79161800960166084</v>
      </c>
      <c r="N55" s="206">
        <f t="shared" ref="N55:Q55" si="126">(+N3-N31)/N3</f>
        <v>0.84991544532130781</v>
      </c>
      <c r="O55" s="206">
        <f t="shared" si="126"/>
        <v>0.95906680805938493</v>
      </c>
      <c r="P55" s="206">
        <f t="shared" si="126"/>
        <v>1</v>
      </c>
      <c r="Q55" s="206">
        <f t="shared" si="126"/>
        <v>0.96316722473901906</v>
      </c>
      <c r="R55" s="206">
        <f t="shared" ref="R55:T55" si="127">(+R3-R31)/R3</f>
        <v>0.96804541768045416</v>
      </c>
      <c r="S55" s="206">
        <f t="shared" si="127"/>
        <v>0.99244897959183676</v>
      </c>
      <c r="T55" s="206">
        <f t="shared" si="127"/>
        <v>0.97855319148936171</v>
      </c>
      <c r="U55" s="206">
        <f t="shared" ref="U55:W55" si="128">(+U3-U31)/U3</f>
        <v>0.98714652956298199</v>
      </c>
      <c r="V55" s="206">
        <f t="shared" si="128"/>
        <v>0.97673425827107796</v>
      </c>
      <c r="W55" s="206">
        <f t="shared" si="128"/>
        <v>0.92394428476674773</v>
      </c>
      <c r="X55" s="206">
        <f t="shared" ref="X55:Y55" si="129">(+X3-X31)/X3</f>
        <v>0.82507739938080493</v>
      </c>
      <c r="Y55" s="206">
        <f t="shared" si="129"/>
        <v>0.84084372003835095</v>
      </c>
      <c r="Z55" s="206">
        <f t="shared" ref="Z55" si="130">(+Z3-Z31)/Z3</f>
        <v>0.96510705789056306</v>
      </c>
    </row>
    <row r="56" spans="1:32" x14ac:dyDescent="0.25">
      <c r="B56" t="s">
        <v>10</v>
      </c>
      <c r="C56" s="206">
        <f>(+C8-C39)/C8</f>
        <v>0.71027216856892006</v>
      </c>
      <c r="D56" s="206">
        <f t="shared" ref="D56:M56" si="131">(+D8-D39)/D8</f>
        <v>0.87567455375674552</v>
      </c>
      <c r="E56" s="206">
        <f t="shared" si="131"/>
        <v>0.71685334722584004</v>
      </c>
      <c r="F56" s="206">
        <f t="shared" si="131"/>
        <v>0.70275542550597414</v>
      </c>
      <c r="G56" s="206">
        <f t="shared" si="131"/>
        <v>0.89960740325294453</v>
      </c>
      <c r="H56" s="206">
        <f t="shared" si="131"/>
        <v>0.70559440559440556</v>
      </c>
      <c r="I56" s="206">
        <f t="shared" si="131"/>
        <v>0.65865901756902112</v>
      </c>
      <c r="J56" s="206">
        <f t="shared" si="131"/>
        <v>0.90485216072782415</v>
      </c>
      <c r="K56" s="206">
        <f t="shared" si="131"/>
        <v>0.81453096259963209</v>
      </c>
      <c r="L56" s="206">
        <f t="shared" si="131"/>
        <v>0.82494887525562377</v>
      </c>
      <c r="M56" s="206">
        <f t="shared" si="131"/>
        <v>0.98061573546180159</v>
      </c>
      <c r="N56" s="206">
        <f t="shared" ref="N56:Q56" si="132">(+N8-N39)/N8</f>
        <v>0.98677069199457257</v>
      </c>
      <c r="O56" s="206">
        <f t="shared" si="132"/>
        <v>0.80748663101604279</v>
      </c>
      <c r="P56" s="206">
        <f t="shared" si="132"/>
        <v>0.92372524230931308</v>
      </c>
      <c r="Q56" s="206">
        <f t="shared" si="132"/>
        <v>0.66125617501764289</v>
      </c>
      <c r="R56" s="206">
        <f t="shared" ref="R56:S56" si="133">(+R8-R39)/R8</f>
        <v>0.80781653746770021</v>
      </c>
      <c r="S56" s="206">
        <f t="shared" si="133"/>
        <v>0.81803542673107887</v>
      </c>
      <c r="T56" s="206">
        <f t="shared" ref="T56:U56" si="134">(+T8-T39)/T8</f>
        <v>0.95352564102564108</v>
      </c>
      <c r="U56" s="206">
        <f t="shared" si="134"/>
        <v>0.88725490196078427</v>
      </c>
      <c r="V56" s="206">
        <f t="shared" ref="V56:W56" si="135">(+V8-V39)/V8</f>
        <v>0.64854368932038831</v>
      </c>
      <c r="W56" s="206">
        <f t="shared" si="135"/>
        <v>0.74337987481945111</v>
      </c>
      <c r="X56" s="206">
        <f t="shared" ref="X56:Y56" si="136">(+X8-X39)/X8</f>
        <v>1</v>
      </c>
      <c r="Y56" s="206">
        <f t="shared" si="136"/>
        <v>0.74534383954154726</v>
      </c>
      <c r="Z56" s="206">
        <f t="shared" ref="Z56" si="137">(+Z8-Z39)/Z8</f>
        <v>0.88255261371350979</v>
      </c>
    </row>
    <row r="57" spans="1:32" x14ac:dyDescent="0.25">
      <c r="B57" t="s">
        <v>11</v>
      </c>
      <c r="C57" s="206">
        <f>(+C13-C47)/C13</f>
        <v>1</v>
      </c>
      <c r="D57" s="206">
        <f t="shared" ref="D57:M57" si="138">(+D13-D47)/D13</f>
        <v>1</v>
      </c>
      <c r="E57" s="206">
        <f t="shared" si="138"/>
        <v>1</v>
      </c>
      <c r="F57" s="206">
        <f t="shared" si="138"/>
        <v>1</v>
      </c>
      <c r="G57" s="206">
        <f t="shared" si="138"/>
        <v>1</v>
      </c>
      <c r="H57" s="206">
        <f t="shared" si="138"/>
        <v>0.7058252427184466</v>
      </c>
      <c r="I57" s="206">
        <f t="shared" si="138"/>
        <v>1</v>
      </c>
      <c r="J57" s="206">
        <f t="shared" si="138"/>
        <v>1</v>
      </c>
      <c r="K57" s="206">
        <f t="shared" si="138"/>
        <v>1</v>
      </c>
      <c r="L57" s="206">
        <f t="shared" si="138"/>
        <v>1</v>
      </c>
      <c r="M57" s="206">
        <f t="shared" si="138"/>
        <v>1</v>
      </c>
      <c r="N57" s="206">
        <f t="shared" ref="N57:Q57" si="139">(+N13-N47)/N13</f>
        <v>1</v>
      </c>
      <c r="O57" s="206">
        <f t="shared" si="139"/>
        <v>0.52244897959183678</v>
      </c>
      <c r="P57" s="206">
        <f t="shared" si="139"/>
        <v>0.84933333333333338</v>
      </c>
      <c r="Q57" s="206">
        <f t="shared" si="139"/>
        <v>0.64300000000000002</v>
      </c>
      <c r="R57" s="206">
        <f t="shared" ref="R57:S57" si="140">(+R13-R47)/R13</f>
        <v>0.78249999999999997</v>
      </c>
      <c r="S57" s="206">
        <f t="shared" si="140"/>
        <v>0.95799999999999996</v>
      </c>
      <c r="T57" s="206">
        <f t="shared" ref="T57:U57" si="141">(+T13-T47)/T13</f>
        <v>0.96090909090909093</v>
      </c>
      <c r="U57" s="206">
        <f t="shared" si="141"/>
        <v>0.8275229357798165</v>
      </c>
      <c r="V57" s="206">
        <f t="shared" ref="V57:W57" si="142">(+V13-V47)/V13</f>
        <v>0.91111111111111109</v>
      </c>
      <c r="W57" s="206">
        <f t="shared" si="142"/>
        <v>1</v>
      </c>
      <c r="X57" s="206">
        <f t="shared" ref="X57:Y57" si="143">(+X13-X47)/X13</f>
        <v>0.7155555555555555</v>
      </c>
      <c r="Y57" s="206">
        <f t="shared" si="143"/>
        <v>1</v>
      </c>
      <c r="Z57" s="206">
        <f t="shared" ref="Z57" si="144">(+Z13-Z47)/Z13</f>
        <v>1</v>
      </c>
    </row>
  </sheetData>
  <mergeCells count="2">
    <mergeCell ref="A1:M1"/>
    <mergeCell ref="AA1:AC1"/>
  </mergeCells>
  <pageMargins left="0.7" right="0.7" top="0.75" bottom="0.75" header="0.3" footer="0.3"/>
  <pageSetup orientation="portrait" horizontalDpi="4294967293" r:id="rId1"/>
  <ignoredErrors>
    <ignoredError sqref="AA3:AA4 AA8:AB8 AB3 AB13:AB14 AB31:AB43 AC37 AB47 AA13:AA1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C6" sqref="AC6"/>
    </sheetView>
  </sheetViews>
  <sheetFormatPr defaultRowHeight="15" x14ac:dyDescent="0.25"/>
  <cols>
    <col min="1" max="1" width="22.42578125" customWidth="1"/>
    <col min="2" max="2" width="30.28515625" bestFit="1" customWidth="1"/>
    <col min="3" max="3" width="10.7109375" customWidth="1"/>
    <col min="28" max="28" width="11.42578125" bestFit="1" customWidth="1"/>
    <col min="29" max="29" width="12.85546875" bestFit="1" customWidth="1"/>
    <col min="30" max="30" width="15.5703125" customWidth="1"/>
  </cols>
  <sheetData>
    <row r="1" spans="1:32" x14ac:dyDescent="0.25">
      <c r="A1" s="399" t="s">
        <v>106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AB1" s="400" t="s">
        <v>95</v>
      </c>
      <c r="AC1" s="400"/>
    </row>
    <row r="2" spans="1:32" x14ac:dyDescent="0.25">
      <c r="A2" s="10" t="s">
        <v>29</v>
      </c>
      <c r="C2" s="11">
        <v>42094</v>
      </c>
      <c r="D2" s="11">
        <v>42095</v>
      </c>
      <c r="E2" s="11">
        <v>42125</v>
      </c>
      <c r="F2" s="11">
        <v>42156</v>
      </c>
      <c r="G2" s="11">
        <v>42186</v>
      </c>
      <c r="H2" s="11">
        <v>42217</v>
      </c>
      <c r="I2" s="11">
        <v>42248</v>
      </c>
      <c r="J2" s="11">
        <v>42278</v>
      </c>
      <c r="K2" s="11">
        <v>42309</v>
      </c>
      <c r="L2" s="11">
        <v>42339</v>
      </c>
      <c r="M2" s="11">
        <v>42370</v>
      </c>
      <c r="N2" s="11">
        <v>42401</v>
      </c>
      <c r="O2" s="11">
        <v>42430</v>
      </c>
      <c r="P2" s="11">
        <v>42461</v>
      </c>
      <c r="Q2" s="11">
        <v>42491</v>
      </c>
      <c r="R2" s="11">
        <v>42522</v>
      </c>
      <c r="S2" s="11">
        <v>42552</v>
      </c>
      <c r="T2" s="11">
        <v>42583</v>
      </c>
      <c r="U2" s="11">
        <v>42614</v>
      </c>
      <c r="V2" s="11">
        <v>42644</v>
      </c>
      <c r="W2" s="11">
        <v>42675</v>
      </c>
      <c r="X2" s="11">
        <v>42705</v>
      </c>
      <c r="Y2" s="11">
        <v>42736</v>
      </c>
      <c r="Z2" s="11">
        <v>42767</v>
      </c>
      <c r="AA2" s="11">
        <v>42795</v>
      </c>
      <c r="AB2" s="10" t="s">
        <v>26</v>
      </c>
      <c r="AC2" s="10" t="s">
        <v>335</v>
      </c>
      <c r="AD2" s="10" t="s">
        <v>470</v>
      </c>
      <c r="AE2" s="36" t="s">
        <v>1</v>
      </c>
      <c r="AF2" s="36" t="s">
        <v>338</v>
      </c>
    </row>
    <row r="3" spans="1:32" x14ac:dyDescent="0.25">
      <c r="Y3" s="35"/>
      <c r="Z3" s="35"/>
      <c r="AA3" s="35"/>
    </row>
    <row r="4" spans="1:32" x14ac:dyDescent="0.25">
      <c r="A4" s="10" t="s">
        <v>15</v>
      </c>
      <c r="D4" s="35">
        <f t="shared" ref="D4:M4" si="0">SUM(D6:D19)</f>
        <v>23829.859999999997</v>
      </c>
      <c r="E4" s="35">
        <f t="shared" si="0"/>
        <v>22313.500000000004</v>
      </c>
      <c r="F4" s="35">
        <f t="shared" si="0"/>
        <v>24566.839999999997</v>
      </c>
      <c r="G4" s="35">
        <f t="shared" si="0"/>
        <v>26366.53</v>
      </c>
      <c r="H4" s="35">
        <f t="shared" si="0"/>
        <v>23047.34</v>
      </c>
      <c r="I4" s="35">
        <f t="shared" si="0"/>
        <v>24518.27</v>
      </c>
      <c r="J4" s="35">
        <f t="shared" si="0"/>
        <v>21926.355</v>
      </c>
      <c r="K4" s="35">
        <f t="shared" si="0"/>
        <v>21487.484090909093</v>
      </c>
      <c r="L4" s="35">
        <f t="shared" si="0"/>
        <v>20749.158801198799</v>
      </c>
      <c r="M4" s="35">
        <f t="shared" si="0"/>
        <v>17228.57839327339</v>
      </c>
      <c r="N4" s="35">
        <f>SUM(N6:N19)</f>
        <v>18128.726048951045</v>
      </c>
      <c r="O4" s="35">
        <f>SUM(O6:O19)</f>
        <v>16414.989999999998</v>
      </c>
      <c r="P4" s="35">
        <f t="shared" ref="P4:S4" si="1">SUM(P6:P19)</f>
        <v>18623.47</v>
      </c>
      <c r="Q4" s="35">
        <f t="shared" si="1"/>
        <v>19262.038349999999</v>
      </c>
      <c r="R4" s="35">
        <f t="shared" si="1"/>
        <v>19170.935350000003</v>
      </c>
      <c r="S4" s="35">
        <f t="shared" si="1"/>
        <v>23268.197966000003</v>
      </c>
      <c r="T4" s="35">
        <f t="shared" ref="T4:AA4" si="2">SUM(T6:T19)</f>
        <v>21213.500453000001</v>
      </c>
      <c r="U4" s="35">
        <f t="shared" si="2"/>
        <v>19236.388913000003</v>
      </c>
      <c r="V4" s="35">
        <f t="shared" si="2"/>
        <v>15794.482573000001</v>
      </c>
      <c r="W4" s="35">
        <f t="shared" si="2"/>
        <v>15193.850034999998</v>
      </c>
      <c r="X4" s="35">
        <f t="shared" si="2"/>
        <v>18280.453035000002</v>
      </c>
      <c r="Y4" s="35">
        <f t="shared" si="2"/>
        <v>19623.057484999998</v>
      </c>
      <c r="Z4" s="35">
        <f t="shared" si="2"/>
        <v>18761.869485000003</v>
      </c>
      <c r="AA4" s="35">
        <f t="shared" si="2"/>
        <v>18609.558035000005</v>
      </c>
      <c r="AB4" s="35">
        <f t="shared" ref="AB4:AF4" si="3">SUM(AB6:AB19)</f>
        <v>24107.05666666666</v>
      </c>
      <c r="AC4" s="35">
        <f t="shared" si="3"/>
        <v>19322.548722388725</v>
      </c>
      <c r="AD4" s="35">
        <f t="shared" si="3"/>
        <v>18919.816806666669</v>
      </c>
      <c r="AE4" s="35">
        <f t="shared" si="3"/>
        <v>24518.27</v>
      </c>
      <c r="AF4" s="35">
        <f t="shared" si="3"/>
        <v>16414.989999999998</v>
      </c>
    </row>
    <row r="6" spans="1:32" x14ac:dyDescent="0.25">
      <c r="A6" s="10" t="s">
        <v>96</v>
      </c>
      <c r="B6" s="10" t="s">
        <v>9</v>
      </c>
      <c r="C6" s="10"/>
      <c r="D6" s="15">
        <f>+'Inventory Trend'!Y18</f>
        <v>3594.48</v>
      </c>
      <c r="E6" s="15">
        <f>+'Inventory Trend'!Z18</f>
        <v>4796.2</v>
      </c>
      <c r="F6" s="15">
        <f>+'Inventory Trend'!AA18</f>
        <v>3971.28</v>
      </c>
      <c r="G6" s="15">
        <f>+'Inventory Trend'!AB18</f>
        <v>4695.4099999999989</v>
      </c>
      <c r="H6" s="15">
        <f>+'Inventory Trend'!AC18</f>
        <v>5779.7000000000007</v>
      </c>
      <c r="I6" s="15">
        <f>+'Inventory Trend'!AD18</f>
        <v>5338.52</v>
      </c>
      <c r="J6" s="15">
        <f>+'Inventory Trend'!AE18</f>
        <v>3337.7</v>
      </c>
      <c r="K6" s="15">
        <f>+'Inventory Trend'!AF18</f>
        <v>4393.1100000000006</v>
      </c>
      <c r="L6" s="15">
        <f>+'Inventory Trend'!AG18</f>
        <v>4214.1899999999996</v>
      </c>
      <c r="M6" s="15">
        <f>+'Inventory Trend'!AH18</f>
        <v>4078.78</v>
      </c>
      <c r="N6" s="15">
        <f>+'Inventory Trend'!AI18</f>
        <v>4284.57</v>
      </c>
      <c r="O6" s="15">
        <f>+'Inventory Trend'!AJ18</f>
        <v>4175.6000000000004</v>
      </c>
      <c r="P6" s="15">
        <f>+'Inventory Trend'!AK18</f>
        <v>4067.4700000000003</v>
      </c>
      <c r="Q6" s="15">
        <f>+'Inventory Trend'!AL18</f>
        <v>2848.855</v>
      </c>
      <c r="R6" s="15">
        <f>+'Inventory Trend'!AM18</f>
        <v>3587.1280000000002</v>
      </c>
      <c r="S6" s="15">
        <f>+'Inventory Trend'!AN18</f>
        <v>4615.139000000001</v>
      </c>
      <c r="T6" s="15">
        <f>+'Inventory Trend'!AO18</f>
        <v>3654.5465899999999</v>
      </c>
      <c r="U6" s="15">
        <f>+'Inventory Trend'!AP18</f>
        <v>3620.3797399999999</v>
      </c>
      <c r="V6" s="15">
        <f>+'Inventory Trend'!AQ18</f>
        <v>2806.2037099999998</v>
      </c>
      <c r="W6" s="15">
        <f>+'Inventory Trend'!AR18</f>
        <v>2420.5240000000003</v>
      </c>
      <c r="X6" s="15">
        <f>+'Inventory Trend'!AS18</f>
        <v>3132.6550000000007</v>
      </c>
      <c r="Y6" s="15">
        <f>+'Inventory Trend'!AT18</f>
        <v>4594.5264500000003</v>
      </c>
      <c r="Z6" s="15">
        <f>+'Inventory Trend'!AU18</f>
        <v>4163.7174500000001</v>
      </c>
      <c r="AA6" s="15">
        <f>+'Inventory Trend'!AV18</f>
        <v>3997.246000000001</v>
      </c>
      <c r="AB6" s="15">
        <f>SUM(D6:I6)/6</f>
        <v>4695.9316666666664</v>
      </c>
      <c r="AC6" s="249">
        <f>SUM(J6:O6)/6</f>
        <v>4080.6583333333328</v>
      </c>
      <c r="AD6" s="249">
        <f>SUM(P6:AA6)/12</f>
        <v>3625.6992449999998</v>
      </c>
      <c r="AE6" s="35">
        <f t="shared" ref="AE6:AE8" si="4">+I6</f>
        <v>5338.52</v>
      </c>
      <c r="AF6" s="35">
        <f>+O6</f>
        <v>4175.6000000000004</v>
      </c>
    </row>
    <row r="7" spans="1:32" x14ac:dyDescent="0.25">
      <c r="B7" s="10" t="s">
        <v>10</v>
      </c>
      <c r="C7" s="10"/>
      <c r="D7" s="15">
        <f>+'Inventory Trend'!Y38</f>
        <v>3299.2300000000005</v>
      </c>
      <c r="E7" s="15">
        <f>+'Inventory Trend'!Z38</f>
        <v>4208.34</v>
      </c>
      <c r="F7" s="15">
        <f>+'Inventory Trend'!AA38</f>
        <v>4791.1099999999997</v>
      </c>
      <c r="G7" s="15">
        <f>+'Inventory Trend'!AB38</f>
        <v>3682.3100000000004</v>
      </c>
      <c r="H7" s="15">
        <f>+'Inventory Trend'!AC38</f>
        <v>2562.6199999999994</v>
      </c>
      <c r="I7" s="15">
        <f>+'Inventory Trend'!AD38</f>
        <v>2759.0099999999998</v>
      </c>
      <c r="J7" s="15">
        <f>+'Inventory Trend'!AE38</f>
        <v>3254.3</v>
      </c>
      <c r="K7" s="15">
        <f>+'Inventory Trend'!AF38</f>
        <v>2585.35</v>
      </c>
      <c r="L7" s="15">
        <f>+'Inventory Trend'!AG38</f>
        <v>2202.6899999999996</v>
      </c>
      <c r="M7" s="15">
        <f>+'Inventory Trend'!AH38</f>
        <v>1954.3200000000002</v>
      </c>
      <c r="N7" s="15">
        <f>+'Inventory Trend'!AI38</f>
        <v>1421.41</v>
      </c>
      <c r="O7" s="15">
        <f>+'Inventory Trend'!AJ38</f>
        <v>1936.8400000000001</v>
      </c>
      <c r="P7" s="15">
        <f>+'Inventory Trend'!AK38</f>
        <v>3538.05</v>
      </c>
      <c r="Q7" s="15">
        <f>+'Inventory Trend'!AL38</f>
        <v>3225.585</v>
      </c>
      <c r="R7" s="15">
        <f>+'Inventory Trend'!AM38</f>
        <v>3323.5090000000005</v>
      </c>
      <c r="S7" s="15">
        <f>+'Inventory Trend'!AN38</f>
        <v>4106.2450000000008</v>
      </c>
      <c r="T7" s="15">
        <f>+'Inventory Trend'!AO38</f>
        <v>3985.0390980000006</v>
      </c>
      <c r="U7" s="15">
        <f>+'Inventory Trend'!AP38</f>
        <v>3192.1570979999997</v>
      </c>
      <c r="V7" s="15">
        <f>+'Inventory Trend'!AQ38</f>
        <v>2158.9480980000003</v>
      </c>
      <c r="W7" s="15">
        <f>+'Inventory Trend'!AR38</f>
        <v>2486.3669999999997</v>
      </c>
      <c r="X7" s="15">
        <f>+'Inventory Trend'!AS38</f>
        <v>2757.723</v>
      </c>
      <c r="Y7" s="15">
        <f>+'Inventory Trend'!AT38</f>
        <v>2070.2489999999998</v>
      </c>
      <c r="Z7" s="15">
        <f>+'Inventory Trend'!AU38</f>
        <v>1968.8080000000004</v>
      </c>
      <c r="AA7" s="15">
        <f>+'Inventory Trend'!AV38</f>
        <v>2499.8759999999997</v>
      </c>
      <c r="AB7" s="15">
        <f>SUM(D7:I7)/6</f>
        <v>3550.4366666666665</v>
      </c>
      <c r="AC7" s="249">
        <f>SUM(J7:O7)/6</f>
        <v>2225.8183333333332</v>
      </c>
      <c r="AD7" s="249">
        <f t="shared" ref="AD7:AD8" si="5">SUM(P7:AA7)/12</f>
        <v>2942.7130244999994</v>
      </c>
      <c r="AE7" s="35">
        <f t="shared" si="4"/>
        <v>2759.0099999999998</v>
      </c>
      <c r="AF7" s="35">
        <f t="shared" ref="AF7:AF19" si="6">+O7</f>
        <v>1936.8400000000001</v>
      </c>
    </row>
    <row r="8" spans="1:32" x14ac:dyDescent="0.25">
      <c r="B8" s="10" t="s">
        <v>11</v>
      </c>
      <c r="C8" s="10"/>
      <c r="D8" s="15">
        <f>+'Inventory Trend'!Y47-'Inventory Trend'!Y45</f>
        <v>199.249</v>
      </c>
      <c r="E8" s="15">
        <f>+'Inventory Trend'!Z47-'Inventory Trend'!Z45</f>
        <v>302.51100000000002</v>
      </c>
      <c r="F8" s="15">
        <f>+'Inventory Trend'!AA47-'Inventory Trend'!AA45</f>
        <v>171.041</v>
      </c>
      <c r="G8" s="15">
        <f>+'Inventory Trend'!AB47-'Inventory Trend'!AB45</f>
        <v>184.42600000000002</v>
      </c>
      <c r="H8" s="15">
        <f>+'Inventory Trend'!AC47-'Inventory Trend'!AC45</f>
        <v>168.70400000000001</v>
      </c>
      <c r="I8" s="15">
        <f>+'Inventory Trend'!AD47-'Inventory Trend'!AD45</f>
        <v>514.22600000000011</v>
      </c>
      <c r="J8" s="15">
        <f>+'Inventory Trend'!AE47-'Inventory Trend'!AE45</f>
        <v>296.75</v>
      </c>
      <c r="K8" s="15">
        <f>+'Inventory Trend'!AF47-'Inventory Trend'!AF45</f>
        <v>212.21999999999997</v>
      </c>
      <c r="L8" s="15">
        <f>+'Inventory Trend'!AG47-'Inventory Trend'!AG45</f>
        <v>219.57</v>
      </c>
      <c r="M8" s="15">
        <f>+'Inventory Trend'!AH47-'Inventory Trend'!AH45</f>
        <v>250.59999999999997</v>
      </c>
      <c r="N8" s="15">
        <f>+'Inventory Trend'!AI47-'Inventory Trend'!AI45</f>
        <v>162.16999999999996</v>
      </c>
      <c r="O8" s="15">
        <f>+'Inventory Trend'!AJ47-'Inventory Trend'!AJ45</f>
        <v>123.12999999999994</v>
      </c>
      <c r="P8" s="15">
        <f>+'Inventory Trend'!AK47-'Inventory Trend'!AK45</f>
        <v>256.36</v>
      </c>
      <c r="Q8" s="15">
        <f>+'Inventory Trend'!AL47-'Inventory Trend'!AL45</f>
        <v>272.07600000000002</v>
      </c>
      <c r="R8" s="15">
        <f>+'Inventory Trend'!AM47-'Inventory Trend'!AM45</f>
        <v>280.49099999999999</v>
      </c>
      <c r="S8" s="15">
        <f>+'Inventory Trend'!AN47-'Inventory Trend'!AN45</f>
        <v>420.21199999999999</v>
      </c>
      <c r="T8" s="15">
        <f>+'Inventory Trend'!AO47-'Inventory Trend'!AO45</f>
        <v>225.34080000000006</v>
      </c>
      <c r="U8" s="15">
        <f>+'Inventory Trend'!AP47-'Inventory Trend'!AP45</f>
        <v>292.06780000000003</v>
      </c>
      <c r="V8" s="15">
        <f>+'Inventory Trend'!AQ47-'Inventory Trend'!AQ45</f>
        <v>145.14679999999998</v>
      </c>
      <c r="W8" s="15">
        <f>+'Inventory Trend'!AR47-'Inventory Trend'!AR45</f>
        <v>24.466000000000008</v>
      </c>
      <c r="X8" s="15">
        <f>+'Inventory Trend'!AS47-'Inventory Trend'!AS45</f>
        <v>465.75400000000002</v>
      </c>
      <c r="Y8" s="15">
        <f>+'Inventory Trend'!AT47-'Inventory Trend'!AT45</f>
        <v>329.09399999999994</v>
      </c>
      <c r="Z8" s="15">
        <f>+'Inventory Trend'!AU47-'Inventory Trend'!AU45</f>
        <v>99.615999999999985</v>
      </c>
      <c r="AA8" s="15">
        <f>+'Inventory Trend'!AV47-'Inventory Trend'!AV45</f>
        <v>160.85899999999992</v>
      </c>
      <c r="AB8" s="15">
        <f>SUM(D8:I8)/6</f>
        <v>256.69283333333334</v>
      </c>
      <c r="AC8" s="249">
        <f>SUM(J8:O8)/6</f>
        <v>210.73999999999998</v>
      </c>
      <c r="AD8" s="249">
        <f t="shared" si="5"/>
        <v>247.62361666666666</v>
      </c>
      <c r="AE8" s="35">
        <f t="shared" si="4"/>
        <v>514.22600000000011</v>
      </c>
      <c r="AF8" s="35">
        <f t="shared" si="6"/>
        <v>123.12999999999994</v>
      </c>
    </row>
    <row r="9" spans="1:32" x14ac:dyDescent="0.2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2" x14ac:dyDescent="0.25">
      <c r="A10" s="10" t="s">
        <v>98</v>
      </c>
      <c r="B10" s="10" t="s">
        <v>99</v>
      </c>
      <c r="C10" s="10"/>
      <c r="D10" s="15">
        <f>+'Inventory Trend'!Y50</f>
        <v>1945.8</v>
      </c>
      <c r="E10" s="15">
        <f>+'Inventory Trend'!Z50</f>
        <v>2089</v>
      </c>
      <c r="F10" s="15">
        <f>+'Inventory Trend'!AA50</f>
        <v>2660.61</v>
      </c>
      <c r="G10" s="15">
        <f>+'Inventory Trend'!AB50</f>
        <v>2448.4699999999998</v>
      </c>
      <c r="H10" s="15">
        <f>+'Inventory Trend'!AC50</f>
        <v>944.34</v>
      </c>
      <c r="I10" s="15">
        <f>+'Inventory Trend'!AD50</f>
        <v>1178.5999999999999</v>
      </c>
      <c r="J10" s="15">
        <f>+'Inventory Trend'!AE50</f>
        <v>904.5</v>
      </c>
      <c r="K10" s="15">
        <f>+'Inventory Trend'!AF50</f>
        <v>941.73</v>
      </c>
      <c r="L10" s="15">
        <f>+'Inventory Trend'!AG50</f>
        <v>1553.52</v>
      </c>
      <c r="M10" s="15">
        <f>+'Inventory Trend'!AH50</f>
        <v>2151.52</v>
      </c>
      <c r="N10" s="15">
        <f>+'Inventory Trend'!AI50</f>
        <v>1810.9899999999998</v>
      </c>
      <c r="O10" s="15">
        <f>+'Inventory Trend'!AJ50</f>
        <v>1932.85</v>
      </c>
      <c r="P10" s="15">
        <f>+'Inventory Trend'!AK50</f>
        <v>1892.35</v>
      </c>
      <c r="Q10" s="15">
        <f>+'Inventory Trend'!AL50</f>
        <v>2086</v>
      </c>
      <c r="R10" s="15">
        <f>+'Inventory Trend'!AM50</f>
        <v>1915.95</v>
      </c>
      <c r="S10" s="15">
        <f>+'Inventory Trend'!AN50</f>
        <v>1592.065615</v>
      </c>
      <c r="T10" s="15">
        <f>+'Inventory Trend'!AO50</f>
        <v>1731.3396149999999</v>
      </c>
      <c r="U10" s="15">
        <f>+'Inventory Trend'!AP50</f>
        <v>1533.0246149999998</v>
      </c>
      <c r="V10" s="15">
        <f>+'Inventory Trend'!AQ50</f>
        <v>1784.4146149999999</v>
      </c>
      <c r="W10" s="15">
        <f>+'Inventory Trend'!AR50</f>
        <v>1368.690615</v>
      </c>
      <c r="X10" s="15">
        <f>+'Inventory Trend'!AS50</f>
        <v>1384.9346149999999</v>
      </c>
      <c r="Y10" s="15">
        <f>+'Inventory Trend'!AT50</f>
        <v>1321.912615</v>
      </c>
      <c r="Z10" s="15">
        <f>+'Inventory Trend'!AU50</f>
        <v>1366.1936149999999</v>
      </c>
      <c r="AA10" s="15">
        <f>+'Inventory Trend'!AV50</f>
        <v>1284.3676150000001</v>
      </c>
      <c r="AB10" s="15">
        <f t="shared" ref="AB10:AB11" si="7">SUM(D10:I10)/6</f>
        <v>1877.8033333333333</v>
      </c>
      <c r="AC10" s="249">
        <f t="shared" ref="AC10:AC11" si="8">SUM(J10:O10)/6</f>
        <v>1549.1850000000002</v>
      </c>
      <c r="AD10" s="249">
        <f t="shared" ref="AD10:AD11" si="9">SUM(P10:AA10)/12</f>
        <v>1605.1036279166665</v>
      </c>
      <c r="AE10" s="35">
        <f t="shared" ref="AE10:AE11" si="10">+I10</f>
        <v>1178.5999999999999</v>
      </c>
      <c r="AF10" s="35">
        <f t="shared" si="6"/>
        <v>1932.85</v>
      </c>
    </row>
    <row r="11" spans="1:32" x14ac:dyDescent="0.25">
      <c r="B11" s="10" t="s">
        <v>100</v>
      </c>
      <c r="C11" s="10"/>
      <c r="D11" s="15">
        <f>+'Inventory Trend'!Y51</f>
        <v>918.42000000000007</v>
      </c>
      <c r="E11" s="15">
        <f>+'Inventory Trend'!Z51</f>
        <v>1053.6099999999999</v>
      </c>
      <c r="F11" s="15">
        <f>+'Inventory Trend'!AA51</f>
        <v>625.64</v>
      </c>
      <c r="G11" s="15">
        <f>+'Inventory Trend'!AB51</f>
        <v>788.38</v>
      </c>
      <c r="H11" s="15">
        <f>+'Inventory Trend'!AC51</f>
        <v>948.72</v>
      </c>
      <c r="I11" s="15">
        <f>+'Inventory Trend'!AD51</f>
        <v>935.42</v>
      </c>
      <c r="J11" s="15">
        <f>+'Inventory Trend'!AE51</f>
        <v>971.22</v>
      </c>
      <c r="K11" s="15">
        <f>+'Inventory Trend'!AF51</f>
        <v>1038.4000000000001</v>
      </c>
      <c r="L11" s="15">
        <f>+'Inventory Trend'!AG51</f>
        <v>817.49</v>
      </c>
      <c r="M11" s="15">
        <f>+'Inventory Trend'!AH51</f>
        <v>817.49</v>
      </c>
      <c r="N11" s="15">
        <f>+'Inventory Trend'!AI51</f>
        <v>817.49</v>
      </c>
      <c r="O11" s="15">
        <f>+'Inventory Trend'!AJ51</f>
        <v>637.6</v>
      </c>
      <c r="P11" s="15">
        <f>+'Inventory Trend'!AK51</f>
        <v>904.47</v>
      </c>
      <c r="Q11" s="15">
        <f>+'Inventory Trend'!AL51</f>
        <v>762.654</v>
      </c>
      <c r="R11" s="15">
        <f>+'Inventory Trend'!AM51</f>
        <v>762.654</v>
      </c>
      <c r="S11" s="15">
        <f>+'Inventory Trend'!AN51</f>
        <v>762.654</v>
      </c>
      <c r="T11" s="15">
        <f>+'Inventory Trend'!AO51</f>
        <v>586.20100000000002</v>
      </c>
      <c r="U11" s="15">
        <f>+'Inventory Trend'!AP51</f>
        <v>695.51</v>
      </c>
      <c r="V11" s="15">
        <f>+'Inventory Trend'!AQ51</f>
        <v>695.51</v>
      </c>
      <c r="W11" s="15">
        <f>+'Inventory Trend'!AR51</f>
        <v>1114.52342</v>
      </c>
      <c r="X11" s="15">
        <f>+'Inventory Trend'!AS51</f>
        <v>1135.91542</v>
      </c>
      <c r="Y11" s="15">
        <f>+'Inventory Trend'!AT51</f>
        <v>1056.14642</v>
      </c>
      <c r="Z11" s="15">
        <f>+'Inventory Trend'!AU51</f>
        <v>965.0954200000001</v>
      </c>
      <c r="AA11" s="15">
        <f>+'Inventory Trend'!AV51</f>
        <v>391.74142000000006</v>
      </c>
      <c r="AB11" s="15">
        <f t="shared" si="7"/>
        <v>878.36500000000012</v>
      </c>
      <c r="AC11" s="249">
        <f t="shared" si="8"/>
        <v>849.94833333333338</v>
      </c>
      <c r="AD11" s="249">
        <f t="shared" si="9"/>
        <v>819.42292499999996</v>
      </c>
      <c r="AE11" s="35">
        <f t="shared" si="10"/>
        <v>935.42</v>
      </c>
      <c r="AF11" s="35">
        <f t="shared" si="6"/>
        <v>637.6</v>
      </c>
    </row>
    <row r="12" spans="1:32" x14ac:dyDescent="0.2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2" x14ac:dyDescent="0.25">
      <c r="A13" s="10" t="s">
        <v>113</v>
      </c>
      <c r="B13" s="10" t="s">
        <v>101</v>
      </c>
      <c r="C13" s="10"/>
      <c r="D13" s="15">
        <f>+'Inventory Trend'!Y58-'Inventory Trend'!Y53-'Inventory Trend'!Y55-'Inventory Trend'!Y75</f>
        <v>1604.21</v>
      </c>
      <c r="E13" s="15">
        <f>+'Inventory Trend'!Z58-'Inventory Trend'!Z53-'Inventory Trend'!Z55-'Inventory Trend'!Z75</f>
        <v>1537.8600000000004</v>
      </c>
      <c r="F13" s="15">
        <f>+'Inventory Trend'!AA58-'Inventory Trend'!AA53-'Inventory Trend'!AA55-'Inventory Trend'!AA75</f>
        <v>1083.3999999999999</v>
      </c>
      <c r="G13" s="15">
        <f>+'Inventory Trend'!AB58-'Inventory Trend'!AB53-'Inventory Trend'!AB55-'Inventory Trend'!AB75</f>
        <v>1577.5999999999995</v>
      </c>
      <c r="H13" s="15">
        <f>+'Inventory Trend'!AC58-'Inventory Trend'!AC53-'Inventory Trend'!AC55-'Inventory Trend'!AC75</f>
        <v>2685.1399999999994</v>
      </c>
      <c r="I13" s="15">
        <f>+'Inventory Trend'!AD58-'Inventory Trend'!AD53-'Inventory Trend'!AD55-'Inventory Trend'!AD75</f>
        <v>2537.5199999999991</v>
      </c>
      <c r="J13" s="15">
        <f>+'Inventory Trend'!AE58-'Inventory Trend'!AE53-'Inventory Trend'!AE55-'Inventory Trend'!AE75</f>
        <v>769.16500000000042</v>
      </c>
      <c r="K13" s="15">
        <f>+'Inventory Trend'!AF58-'Inventory Trend'!AF53-'Inventory Trend'!AF55-'Inventory Trend'!AF75</f>
        <v>1135.9840909090906</v>
      </c>
      <c r="L13" s="15">
        <f>+'Inventory Trend'!AG58-'Inventory Trend'!AG53-'Inventory Trend'!AG55-'Inventory Trend'!AG75</f>
        <v>646.23454545454524</v>
      </c>
      <c r="M13" s="15">
        <f>+'Inventory Trend'!AH58-'Inventory Trend'!AH53-'Inventory Trend'!AH55-'Inventory Trend'!AH75</f>
        <v>224.21227272727265</v>
      </c>
      <c r="N13" s="15">
        <f>+'Inventory Trend'!AI58-'Inventory Trend'!AI53-'Inventory Trend'!AI55-'Inventory Trend'!AI75</f>
        <v>831.77681818181804</v>
      </c>
      <c r="O13" s="15">
        <f>+'Inventory Trend'!AJ58-'Inventory Trend'!AJ53-'Inventory Trend'!AJ55-'Inventory Trend'!AJ75</f>
        <v>445.35</v>
      </c>
      <c r="P13" s="15">
        <f>+'Inventory Trend'!AK58-'Inventory Trend'!AK53-'Inventory Trend'!AK55-'Inventory Trend'!AK75</f>
        <v>414.09000000000003</v>
      </c>
      <c r="Q13" s="15">
        <f>+'Inventory Trend'!AL58-'Inventory Trend'!AL53-'Inventory Trend'!AL55-'Inventory Trend'!AL75</f>
        <v>108.07799999999997</v>
      </c>
      <c r="R13" s="15">
        <f>+'Inventory Trend'!AM58-'Inventory Trend'!AM53-'Inventory Trend'!AM55-'Inventory Trend'!AM75</f>
        <v>420.69200000000012</v>
      </c>
      <c r="S13" s="15">
        <f>+'Inventory Trend'!AN58-'Inventory Trend'!AN53-'Inventory Trend'!AN55-'Inventory Trend'!AN75</f>
        <v>42.704000000000065</v>
      </c>
      <c r="T13" s="15">
        <f>+'Inventory Trend'!AO58-'Inventory Trend'!AO53-'Inventory Trend'!AO55-'Inventory Trend'!AO75</f>
        <v>266.67300000000023</v>
      </c>
      <c r="U13" s="15">
        <f>+'Inventory Trend'!AP58-'Inventory Trend'!AP53-'Inventory Trend'!AP55-'Inventory Trend'!AP75</f>
        <v>710.35999999999979</v>
      </c>
      <c r="V13" s="15">
        <f>+'Inventory Trend'!AQ58-'Inventory Trend'!AQ53-'Inventory Trend'!AQ55-'Inventory Trend'!AQ75</f>
        <v>216.94000000000003</v>
      </c>
      <c r="W13" s="15">
        <f>+'Inventory Trend'!AR58-'Inventory Trend'!AR53-'Inventory Trend'!AR55-'Inventory Trend'!AR75</f>
        <v>405.59599999999995</v>
      </c>
      <c r="X13" s="15">
        <f>+'Inventory Trend'!AS58-'Inventory Trend'!AS53-'Inventory Trend'!AS55-'Inventory Trend'!AS75</f>
        <v>714.63099999999986</v>
      </c>
      <c r="Y13" s="15">
        <f>+'Inventory Trend'!AT58-'Inventory Trend'!AT53-'Inventory Trend'!AT55-'Inventory Trend'!AT75</f>
        <v>778.03200000000015</v>
      </c>
      <c r="Z13" s="15">
        <f>+'Inventory Trend'!AU58-'Inventory Trend'!AU53-'Inventory Trend'!AU55-'Inventory Trend'!AU75</f>
        <v>596.12799999999982</v>
      </c>
      <c r="AA13" s="15">
        <f>+'Inventory Trend'!AV58-'Inventory Trend'!AV53-'Inventory Trend'!AV55-'Inventory Trend'!AV75</f>
        <v>1163.0670000000002</v>
      </c>
      <c r="AB13" s="15">
        <f t="shared" ref="AB13:AB14" si="11">SUM(D13:I13)/6</f>
        <v>1837.6216666666662</v>
      </c>
      <c r="AC13" s="249">
        <f t="shared" ref="AC13:AC19" si="12">SUM(J13:O13)/6</f>
        <v>675.45378787878792</v>
      </c>
      <c r="AD13" s="249">
        <f t="shared" ref="AD13:AD18" si="13">SUM(P13:AA13)/12</f>
        <v>486.41591666666665</v>
      </c>
      <c r="AE13" s="35">
        <f t="shared" ref="AE13:AE18" si="14">+I13</f>
        <v>2537.5199999999991</v>
      </c>
      <c r="AF13" s="35">
        <f t="shared" si="6"/>
        <v>445.35</v>
      </c>
    </row>
    <row r="14" spans="1:32" x14ac:dyDescent="0.25">
      <c r="B14" s="10" t="s">
        <v>102</v>
      </c>
      <c r="C14" s="10"/>
      <c r="D14" s="15">
        <f>+'Inventory Trend'!Y53+'Inventory Trend'!Y55</f>
        <v>2351.0500000000002</v>
      </c>
      <c r="E14" s="15">
        <f>+'Inventory Trend'!Z53+'Inventory Trend'!Z55</f>
        <v>2488.1999999999998</v>
      </c>
      <c r="F14" s="15">
        <f>+'Inventory Trend'!AA53+'Inventory Trend'!AA55</f>
        <v>3442.6400000000003</v>
      </c>
      <c r="G14" s="15">
        <f>+'Inventory Trend'!AB53+'Inventory Trend'!AB55</f>
        <v>3625.41</v>
      </c>
      <c r="H14" s="15">
        <f>+'Inventory Trend'!AC53+'Inventory Trend'!AC55</f>
        <v>3247.36</v>
      </c>
      <c r="I14" s="15">
        <f>+'Inventory Trend'!AD53+'Inventory Trend'!AD55</f>
        <v>3999.5699999999997</v>
      </c>
      <c r="J14" s="15">
        <f>+'Inventory Trend'!AE53+'Inventory Trend'!AE55</f>
        <v>4526.5599999999995</v>
      </c>
      <c r="K14" s="15">
        <f>+'Inventory Trend'!AF53+'Inventory Trend'!AF55</f>
        <v>4245.12</v>
      </c>
      <c r="L14" s="15">
        <f>+'Inventory Trend'!AG53+'Inventory Trend'!AG55</f>
        <v>2564.7200000000003</v>
      </c>
      <c r="M14" s="15">
        <f>+'Inventory Trend'!AH53+'Inventory Trend'!AH55</f>
        <v>2882.1099999999997</v>
      </c>
      <c r="N14" s="15">
        <f>+'Inventory Trend'!AI53+'Inventory Trend'!AI55</f>
        <v>1496.4900000000002</v>
      </c>
      <c r="O14" s="15">
        <f>+'Inventory Trend'!AJ53+'Inventory Trend'!AJ55</f>
        <v>1445.88</v>
      </c>
      <c r="P14" s="15">
        <f>+'Inventory Trend'!AK53+'Inventory Trend'!AK55</f>
        <v>1492.6</v>
      </c>
      <c r="Q14" s="15">
        <f>+'Inventory Trend'!AL53+'Inventory Trend'!AL55</f>
        <v>1660.087</v>
      </c>
      <c r="R14" s="15">
        <f>+'Inventory Trend'!AM53+'Inventory Trend'!AM55</f>
        <v>274.46600000000001</v>
      </c>
      <c r="S14" s="15">
        <f>+'Inventory Trend'!AN53+'Inventory Trend'!AN55</f>
        <v>702.654</v>
      </c>
      <c r="T14" s="15">
        <f>+'Inventory Trend'!AO53+'Inventory Trend'!AO55</f>
        <v>1447.4749999999999</v>
      </c>
      <c r="U14" s="15">
        <f>+'Inventory Trend'!AP53+'Inventory Trend'!AP55</f>
        <v>598.0920000000001</v>
      </c>
      <c r="V14" s="15">
        <f>+'Inventory Trend'!AQ53+'Inventory Trend'!AQ55</f>
        <v>191.203</v>
      </c>
      <c r="W14" s="15">
        <f>+'Inventory Trend'!AR53+'Inventory Trend'!AR55</f>
        <v>482.10500000000002</v>
      </c>
      <c r="X14" s="15">
        <f>+'Inventory Trend'!AS53+'Inventory Trend'!AS55</f>
        <v>500.61099999999999</v>
      </c>
      <c r="Y14" s="15">
        <f>+'Inventory Trend'!AT53+'Inventory Trend'!AT55</f>
        <v>1163.8899999999999</v>
      </c>
      <c r="Z14" s="15">
        <f>+'Inventory Trend'!AU53+'Inventory Trend'!AU55</f>
        <v>934.47499999999991</v>
      </c>
      <c r="AA14" s="15">
        <f>+'Inventory Trend'!AV53+'Inventory Trend'!AV55</f>
        <v>1525.1350000000002</v>
      </c>
      <c r="AB14" s="15">
        <f t="shared" si="11"/>
        <v>3192.3716666666664</v>
      </c>
      <c r="AC14" s="249">
        <f t="shared" si="12"/>
        <v>2860.146666666667</v>
      </c>
      <c r="AD14" s="249">
        <f t="shared" si="13"/>
        <v>914.39941666666675</v>
      </c>
      <c r="AE14" s="35">
        <f t="shared" si="14"/>
        <v>3999.5699999999997</v>
      </c>
      <c r="AF14" s="35">
        <f t="shared" si="6"/>
        <v>1445.88</v>
      </c>
    </row>
    <row r="15" spans="1:32" x14ac:dyDescent="0.25">
      <c r="B15" s="10" t="s">
        <v>103</v>
      </c>
      <c r="C15" s="10"/>
      <c r="D15" s="15">
        <f>+'Inventory Trend'!Y61</f>
        <v>0</v>
      </c>
      <c r="E15" s="15">
        <f>+'Inventory Trend'!Z61</f>
        <v>0</v>
      </c>
      <c r="F15" s="15">
        <f>+'Inventory Trend'!AA61</f>
        <v>0</v>
      </c>
      <c r="G15" s="15">
        <f>+'Inventory Trend'!AB61</f>
        <v>0</v>
      </c>
      <c r="H15" s="15">
        <f>+'Inventory Trend'!AC61</f>
        <v>0</v>
      </c>
      <c r="I15" s="15">
        <f>+'Inventory Trend'!AD61</f>
        <v>0</v>
      </c>
      <c r="J15" s="15">
        <f>+'Inventory Trend'!AE61</f>
        <v>0</v>
      </c>
      <c r="K15" s="15">
        <f>+'Inventory Trend'!AF61</f>
        <v>284.67</v>
      </c>
      <c r="L15" s="15">
        <f>+'Inventory Trend'!AG61</f>
        <v>542.36</v>
      </c>
      <c r="M15" s="15">
        <f>+'Inventory Trend'!AH61</f>
        <v>167.71</v>
      </c>
      <c r="N15" s="15">
        <f>+'Inventory Trend'!AI61</f>
        <v>1154.3399999999999</v>
      </c>
      <c r="O15" s="15">
        <f>+'Inventory Trend'!AJ61</f>
        <v>328.89</v>
      </c>
      <c r="P15" s="15">
        <f>+'Inventory Trend'!AK61</f>
        <v>200.24</v>
      </c>
      <c r="Q15" s="15">
        <f>+'Inventory Trend'!AL61</f>
        <v>1105.5930000000001</v>
      </c>
      <c r="R15" s="15">
        <f>+'Inventory Trend'!AM61</f>
        <v>754.39599999999996</v>
      </c>
      <c r="S15" s="15">
        <f>+'Inventory Trend'!AN61</f>
        <v>60.975000000000001</v>
      </c>
      <c r="T15" s="15">
        <f>+'Inventory Trend'!AO61</f>
        <v>434.791</v>
      </c>
      <c r="U15" s="15">
        <f>+'Inventory Trend'!AP61</f>
        <v>496.87</v>
      </c>
      <c r="V15" s="15">
        <f>+'Inventory Trend'!AQ61</f>
        <v>586.43799999999999</v>
      </c>
      <c r="W15" s="15">
        <f>+'Inventory Trend'!AR61</f>
        <v>0</v>
      </c>
      <c r="X15" s="15">
        <f>+'Inventory Trend'!AS61</f>
        <v>68.569999999999993</v>
      </c>
      <c r="Y15" s="15">
        <f>+'Inventory Trend'!AT61</f>
        <v>546.75699999999995</v>
      </c>
      <c r="Z15" s="15">
        <f>+'Inventory Trend'!AU61</f>
        <v>711.32</v>
      </c>
      <c r="AA15" s="15">
        <f>+'Inventory Trend'!AV61</f>
        <v>421.17</v>
      </c>
      <c r="AB15" s="15">
        <f t="shared" ref="AB15:AB16" si="15">SUM(D15:I15)/6</f>
        <v>0</v>
      </c>
      <c r="AC15" s="249">
        <f t="shared" si="12"/>
        <v>412.99499999999995</v>
      </c>
      <c r="AD15" s="249">
        <f t="shared" si="13"/>
        <v>448.92666666666668</v>
      </c>
      <c r="AE15" s="35">
        <f t="shared" si="14"/>
        <v>0</v>
      </c>
      <c r="AF15" s="35">
        <f t="shared" si="6"/>
        <v>328.89</v>
      </c>
    </row>
    <row r="16" spans="1:32" x14ac:dyDescent="0.25">
      <c r="B16" s="10" t="s">
        <v>104</v>
      </c>
      <c r="C16" s="10"/>
      <c r="D16" s="15">
        <f>+'Inventory Trend'!Y63-'Inventory Trend'!Y61</f>
        <v>3282</v>
      </c>
      <c r="E16" s="15">
        <f>+'Inventory Trend'!Z63-'Inventory Trend'!Z61</f>
        <v>1949.6100000000001</v>
      </c>
      <c r="F16" s="15">
        <f>+'Inventory Trend'!AA63-'Inventory Trend'!AA61</f>
        <v>2359.67</v>
      </c>
      <c r="G16" s="15">
        <f>+'Inventory Trend'!AB63-'Inventory Trend'!AB61</f>
        <v>3148.0699999999997</v>
      </c>
      <c r="H16" s="15">
        <f>+'Inventory Trend'!AC63-'Inventory Trend'!AC61</f>
        <v>2823.46</v>
      </c>
      <c r="I16" s="15">
        <f>+'Inventory Trend'!AD63-'Inventory Trend'!AD61</f>
        <v>2237.5699999999997</v>
      </c>
      <c r="J16" s="15">
        <f>+'Inventory Trend'!AE63-'Inventory Trend'!AE61</f>
        <v>2228.7400000000002</v>
      </c>
      <c r="K16" s="15">
        <f>+'Inventory Trend'!AF63-'Inventory Trend'!AF61</f>
        <v>969.17000000000007</v>
      </c>
      <c r="L16" s="15">
        <f>+'Inventory Trend'!AG63-'Inventory Trend'!AG61</f>
        <v>705.64999999999975</v>
      </c>
      <c r="M16" s="15">
        <f>+'Inventory Trend'!AH63-'Inventory Trend'!AH61</f>
        <v>793.7</v>
      </c>
      <c r="N16" s="15">
        <f>+'Inventory Trend'!AI63-'Inventory Trend'!AI61</f>
        <v>673.22</v>
      </c>
      <c r="O16" s="15">
        <f>+'Inventory Trend'!AJ63-'Inventory Trend'!AJ61</f>
        <v>1679.1400000000003</v>
      </c>
      <c r="P16" s="15">
        <f>+'Inventory Trend'!AK63-'Inventory Trend'!AK61</f>
        <v>2018.5200000000002</v>
      </c>
      <c r="Q16" s="15">
        <f>+'Inventory Trend'!AL63-'Inventory Trend'!AL61</f>
        <v>1518.037</v>
      </c>
      <c r="R16" s="15">
        <f>+'Inventory Trend'!AM63-'Inventory Trend'!AM61</f>
        <v>2354.951</v>
      </c>
      <c r="S16" s="15">
        <f>+'Inventory Trend'!AN63-'Inventory Trend'!AN61</f>
        <v>2171.9389999999999</v>
      </c>
      <c r="T16" s="15">
        <f>+'Inventory Trend'!AO63-'Inventory Trend'!AO61</f>
        <v>1974.7800000000004</v>
      </c>
      <c r="U16" s="15">
        <f>+'Inventory Trend'!AP63-'Inventory Trend'!AP61</f>
        <v>2063.7669999999998</v>
      </c>
      <c r="V16" s="15">
        <f>+'Inventory Trend'!AQ63-'Inventory Trend'!AQ61</f>
        <v>2142.5889999999999</v>
      </c>
      <c r="W16" s="15">
        <f>+'Inventory Trend'!AR63-'Inventory Trend'!AR61</f>
        <v>1320.002</v>
      </c>
      <c r="X16" s="15">
        <f>+'Inventory Trend'!AS63-'Inventory Trend'!AS61</f>
        <v>2276.1879999999996</v>
      </c>
      <c r="Y16" s="15">
        <f>+'Inventory Trend'!AT63-'Inventory Trend'!AT61</f>
        <v>1288.8849999999998</v>
      </c>
      <c r="Z16" s="15">
        <f>+'Inventory Trend'!AU63-'Inventory Trend'!AU61</f>
        <v>1585.4709999999995</v>
      </c>
      <c r="AA16" s="15">
        <f>+'Inventory Trend'!AV63-'Inventory Trend'!AV61</f>
        <v>2954.91</v>
      </c>
      <c r="AB16" s="15">
        <f t="shared" si="15"/>
        <v>2633.396666666667</v>
      </c>
      <c r="AC16" s="249">
        <f t="shared" si="12"/>
        <v>1174.9366666666667</v>
      </c>
      <c r="AD16" s="249">
        <f t="shared" si="13"/>
        <v>1972.50325</v>
      </c>
      <c r="AE16" s="35">
        <f t="shared" si="14"/>
        <v>2237.5699999999997</v>
      </c>
      <c r="AF16" s="35">
        <f t="shared" si="6"/>
        <v>1679.1400000000003</v>
      </c>
    </row>
    <row r="17" spans="1:33" x14ac:dyDescent="0.25">
      <c r="B17" s="10" t="s">
        <v>105</v>
      </c>
      <c r="C17" s="10"/>
      <c r="D17" s="15">
        <f>+'Inventory Trend'!Y69+'Inventory Trend'!Y74-'Inventory Trend'!Y76</f>
        <v>6201.85</v>
      </c>
      <c r="E17" s="15">
        <f>+'Inventory Trend'!Z69+'Inventory Trend'!Z74-'Inventory Trend'!Z76</f>
        <v>3728.5599999999995</v>
      </c>
      <c r="F17" s="15">
        <f>+'Inventory Trend'!AA69+'Inventory Trend'!AA74-'Inventory Trend'!AA76</f>
        <v>4947.6499999999996</v>
      </c>
      <c r="G17" s="15">
        <f>+'Inventory Trend'!AB69+'Inventory Trend'!AB74-'Inventory Trend'!AB76</f>
        <v>5881.1399999999994</v>
      </c>
      <c r="H17" s="15">
        <f>+'Inventory Trend'!AC69+'Inventory Trend'!AC74-'Inventory Trend'!AC76</f>
        <v>3215.92</v>
      </c>
      <c r="I17" s="15">
        <f>+'Inventory Trend'!AD69+'Inventory Trend'!AD74-'Inventory Trend'!AD76</f>
        <v>4120.28</v>
      </c>
      <c r="J17" s="15">
        <f>+'Inventory Trend'!AE69+'Inventory Trend'!AE74-'Inventory Trend'!AE76</f>
        <v>4525.68</v>
      </c>
      <c r="K17" s="15">
        <f>+'Inventory Trend'!AF69+'Inventory Trend'!AF74-'Inventory Trend'!AF76</f>
        <v>4843.3</v>
      </c>
      <c r="L17" s="15">
        <f>+'Inventory Trend'!AG69+'Inventory Trend'!AG74-'Inventory Trend'!AG76</f>
        <v>6681.1342557442567</v>
      </c>
      <c r="M17" s="15">
        <f>+'Inventory Trend'!AH69+'Inventory Trend'!AH74-'Inventory Trend'!AH76</f>
        <v>3078.5361205461204</v>
      </c>
      <c r="N17" s="15">
        <f>+'Inventory Trend'!AI69+'Inventory Trend'!AI74-'Inventory Trend'!AI76</f>
        <v>4821.6592307692299</v>
      </c>
      <c r="O17" s="15">
        <f>+'Inventory Trend'!AJ69+'Inventory Trend'!AJ74-'Inventory Trend'!AJ76</f>
        <v>2747.4</v>
      </c>
      <c r="P17" s="15">
        <f>+'Inventory Trend'!AK69+'Inventory Trend'!AK74-'Inventory Trend'!AK76</f>
        <v>2895.4100000000003</v>
      </c>
      <c r="Q17" s="15">
        <f>+'Inventory Trend'!AL69+'Inventory Trend'!AL74-'Inventory Trend'!AL76</f>
        <v>4576.07</v>
      </c>
      <c r="R17" s="15">
        <f>+'Inventory Trend'!AM69+'Inventory Trend'!AM74-'Inventory Trend'!AM76</f>
        <v>4193.1839999999993</v>
      </c>
      <c r="S17" s="15">
        <f>+'Inventory Trend'!AN69+'Inventory Trend'!AN74-'Inventory Trend'!AN76</f>
        <v>6926.6900010000008</v>
      </c>
      <c r="T17" s="15">
        <f>+'Inventory Trend'!AO69+'Inventory Trend'!AO74-'Inventory Trend'!AO76</f>
        <v>5317.2349999999988</v>
      </c>
      <c r="U17" s="15">
        <f>+'Inventory Trend'!AP69+'Inventory Trend'!AP74-'Inventory Trend'!AP76</f>
        <v>5012.5733099999998</v>
      </c>
      <c r="V17" s="15">
        <f>+'Inventory Trend'!AQ69+'Inventory Trend'!AQ74-'Inventory Trend'!AQ76</f>
        <v>3961.1010000000001</v>
      </c>
      <c r="W17" s="15">
        <f>+'Inventory Trend'!AR69+'Inventory Trend'!AR74-'Inventory Trend'!AR76</f>
        <v>4466.302999999999</v>
      </c>
      <c r="X17" s="15">
        <f>+'Inventory Trend'!AS69+'Inventory Trend'!AS74-'Inventory Trend'!AS76</f>
        <v>4783.8709999999992</v>
      </c>
      <c r="Y17" s="15">
        <f>+'Inventory Trend'!AT69+'Inventory Trend'!AT74-'Inventory Trend'!AT76</f>
        <v>5154.4939999999997</v>
      </c>
      <c r="Z17" s="15">
        <f>+'Inventory Trend'!AU69+'Inventory Trend'!AU74-'Inventory Trend'!AU76</f>
        <v>5030.2250000000004</v>
      </c>
      <c r="AA17" s="15">
        <f>+'Inventory Trend'!AV69+'Inventory Trend'!AV74-'Inventory Trend'!AV76</f>
        <v>2937.2290000000003</v>
      </c>
      <c r="AB17" s="15">
        <f t="shared" ref="AB17" si="16">SUM(D17:I17)/6</f>
        <v>4682.5666666666657</v>
      </c>
      <c r="AC17" s="249">
        <f t="shared" si="12"/>
        <v>4449.6182678432679</v>
      </c>
      <c r="AD17" s="249">
        <f t="shared" si="13"/>
        <v>4604.5321092499998</v>
      </c>
      <c r="AE17" s="35">
        <f t="shared" si="14"/>
        <v>4120.28</v>
      </c>
      <c r="AF17" s="35">
        <f t="shared" si="6"/>
        <v>2747.4</v>
      </c>
    </row>
    <row r="18" spans="1:33" x14ac:dyDescent="0.25">
      <c r="B18" s="10" t="s">
        <v>93</v>
      </c>
      <c r="C18" s="10"/>
      <c r="D18" s="15">
        <f>+'Inventory Trend'!Y70</f>
        <v>373.81</v>
      </c>
      <c r="E18" s="15">
        <f>+'Inventory Trend'!Z70</f>
        <v>44.69</v>
      </c>
      <c r="F18" s="15">
        <f>+'Inventory Trend'!AA70</f>
        <v>402.44</v>
      </c>
      <c r="G18" s="15">
        <f>+'Inventory Trend'!AB70</f>
        <v>206.83</v>
      </c>
      <c r="H18" s="15">
        <f>+'Inventory Trend'!AC70</f>
        <v>522.9</v>
      </c>
      <c r="I18" s="15">
        <f>+'Inventory Trend'!AD70</f>
        <v>712.26</v>
      </c>
      <c r="J18" s="15">
        <f>+'Inventory Trend'!AE70</f>
        <v>888.45</v>
      </c>
      <c r="K18" s="15">
        <f>+'Inventory Trend'!AF70</f>
        <v>561.97</v>
      </c>
      <c r="L18" s="15">
        <f>+'Inventory Trend'!AG70</f>
        <v>280.55</v>
      </c>
      <c r="M18" s="15">
        <f>+'Inventory Trend'!AH70</f>
        <v>438.91999999999996</v>
      </c>
      <c r="N18" s="15">
        <f>+'Inventory Trend'!AI70</f>
        <v>219.75</v>
      </c>
      <c r="O18" s="15">
        <f>+'Inventory Trend'!AJ70</f>
        <v>491.35</v>
      </c>
      <c r="P18" s="15">
        <f>+'Inventory Trend'!AK70</f>
        <v>435.26</v>
      </c>
      <c r="Q18" s="15">
        <f>+'Inventory Trend'!AL70</f>
        <v>561.48400000000004</v>
      </c>
      <c r="R18" s="15">
        <f>+'Inventory Trend'!AM70</f>
        <v>741.89499999999998</v>
      </c>
      <c r="S18" s="15">
        <f>+'Inventory Trend'!AN70</f>
        <v>1243.4280000000001</v>
      </c>
      <c r="T18" s="15">
        <f>+'Inventory Trend'!AO70</f>
        <v>891.97699999999998</v>
      </c>
      <c r="U18" s="15">
        <f>+'Inventory Trend'!AP70</f>
        <v>237.929</v>
      </c>
      <c r="V18" s="15">
        <f>+'Inventory Trend'!AQ70</f>
        <v>292.89</v>
      </c>
      <c r="W18" s="15">
        <f>+'Inventory Trend'!AR70</f>
        <v>257.52300000000002</v>
      </c>
      <c r="X18" s="15">
        <f>+'Inventory Trend'!AS70</f>
        <v>141.07499999999999</v>
      </c>
      <c r="Y18" s="15">
        <f>+'Inventory Trend'!AT70</f>
        <v>367.24799999999999</v>
      </c>
      <c r="Z18" s="15">
        <f>+'Inventory Trend'!AU70</f>
        <v>339.11</v>
      </c>
      <c r="AA18" s="15">
        <f>+'Inventory Trend'!AV70</f>
        <v>212.95400000000001</v>
      </c>
      <c r="AB18" s="15">
        <f t="shared" ref="AB18" si="17">SUM(D18:I18)/6</f>
        <v>377.15500000000003</v>
      </c>
      <c r="AC18" s="249">
        <f t="shared" si="12"/>
        <v>480.16499999999996</v>
      </c>
      <c r="AD18" s="249">
        <f t="shared" si="13"/>
        <v>476.89774999999992</v>
      </c>
      <c r="AE18" s="35">
        <f t="shared" si="14"/>
        <v>712.26</v>
      </c>
      <c r="AF18" s="35">
        <f t="shared" si="6"/>
        <v>491.35</v>
      </c>
    </row>
    <row r="19" spans="1:33" x14ac:dyDescent="0.25">
      <c r="B19" s="10" t="s">
        <v>97</v>
      </c>
      <c r="C19" s="10"/>
      <c r="D19" s="15">
        <f>+'Inventory Trend'!Y45</f>
        <v>59.761000000000003</v>
      </c>
      <c r="E19" s="15">
        <f>+'Inventory Trend'!Z45</f>
        <v>114.919</v>
      </c>
      <c r="F19" s="15">
        <f>+'Inventory Trend'!AA45</f>
        <v>111.35899999999999</v>
      </c>
      <c r="G19" s="15">
        <f>+'Inventory Trend'!AB45</f>
        <v>128.48400000000001</v>
      </c>
      <c r="H19" s="15">
        <f>+'Inventory Trend'!AC45</f>
        <v>148.476</v>
      </c>
      <c r="I19" s="15">
        <f>+'Inventory Trend'!AD45</f>
        <v>185.29400000000001</v>
      </c>
      <c r="J19" s="15">
        <f>+'Inventory Trend'!AE45</f>
        <v>223.29</v>
      </c>
      <c r="K19" s="15">
        <f>+'Inventory Trend'!AF45</f>
        <v>276.45999999999998</v>
      </c>
      <c r="L19" s="15">
        <f>+'Inventory Trend'!AG45</f>
        <v>321.05</v>
      </c>
      <c r="M19" s="15">
        <f>+'Inventory Trend'!AH45</f>
        <v>390.68</v>
      </c>
      <c r="N19" s="15">
        <f>+'Inventory Trend'!AI45</f>
        <v>434.86</v>
      </c>
      <c r="O19" s="15">
        <f>+'Inventory Trend'!AJ45</f>
        <v>470.96</v>
      </c>
      <c r="P19" s="15">
        <f>+'Inventory Trend'!AK45</f>
        <v>508.65</v>
      </c>
      <c r="Q19" s="15">
        <f>+'Inventory Trend'!AL45</f>
        <v>537.51935000000003</v>
      </c>
      <c r="R19" s="15">
        <f>+'Inventory Trend'!AM45</f>
        <v>561.61934999999994</v>
      </c>
      <c r="S19" s="15">
        <f>+'Inventory Trend'!AN45</f>
        <v>623.49234999999999</v>
      </c>
      <c r="T19" s="15">
        <f>+'Inventory Trend'!AO45</f>
        <v>698.10235</v>
      </c>
      <c r="U19" s="15">
        <f>+'Inventory Trend'!AP45</f>
        <v>783.65834999999993</v>
      </c>
      <c r="V19" s="15">
        <f>+'Inventory Trend'!AQ45</f>
        <v>813.09834999999998</v>
      </c>
      <c r="W19" s="15">
        <f>+'Inventory Trend'!AR45</f>
        <v>847.75</v>
      </c>
      <c r="X19" s="15">
        <f>+'Inventory Trend'!AS45</f>
        <v>918.52499999999998</v>
      </c>
      <c r="Y19" s="15">
        <f>+'Inventory Trend'!AT45</f>
        <v>951.82299999999998</v>
      </c>
      <c r="Z19" s="15">
        <f>+'Inventory Trend'!AU45</f>
        <v>1001.71</v>
      </c>
      <c r="AA19" s="15">
        <f>+'Inventory Trend'!AV45</f>
        <v>1061.0029999999999</v>
      </c>
      <c r="AB19" s="15">
        <f>SUM(D19:I19)/6</f>
        <v>124.71550000000001</v>
      </c>
      <c r="AC19" s="249">
        <f t="shared" si="12"/>
        <v>352.88333333333338</v>
      </c>
      <c r="AD19" s="249">
        <f>SUM(P19:AA19)/12</f>
        <v>775.57925833333354</v>
      </c>
      <c r="AE19" s="35">
        <f>+I19</f>
        <v>185.29400000000001</v>
      </c>
      <c r="AF19" s="35">
        <f t="shared" si="6"/>
        <v>470.96</v>
      </c>
    </row>
    <row r="21" spans="1:33" x14ac:dyDescent="0.25">
      <c r="A21" s="10" t="s">
        <v>107</v>
      </c>
      <c r="B21" s="10" t="s">
        <v>112</v>
      </c>
      <c r="C21" s="10"/>
      <c r="D21" s="12">
        <f t="shared" ref="D21:N21" si="18">+D22/D4</f>
        <v>0.379260348151437</v>
      </c>
      <c r="E21" s="12">
        <f t="shared" si="18"/>
        <v>0.40719873619109492</v>
      </c>
      <c r="F21" s="12">
        <f t="shared" si="18"/>
        <v>0.39802917265712645</v>
      </c>
      <c r="G21" s="12">
        <f t="shared" si="18"/>
        <v>0.37673004373347574</v>
      </c>
      <c r="H21" s="12">
        <f t="shared" si="18"/>
        <v>0.35299934829789464</v>
      </c>
      <c r="I21" s="12">
        <f t="shared" si="18"/>
        <v>0.38320093546567524</v>
      </c>
      <c r="J21" s="12">
        <f t="shared" si="18"/>
        <v>0.41105418570482882</v>
      </c>
      <c r="K21" s="12">
        <f t="shared" si="18"/>
        <v>0.36110463035934343</v>
      </c>
      <c r="L21" s="12">
        <f t="shared" si="18"/>
        <v>0.29492183556118179</v>
      </c>
      <c r="M21" s="12">
        <f t="shared" si="18"/>
        <v>0.40415290461333592</v>
      </c>
      <c r="N21" s="12">
        <f t="shared" si="18"/>
        <v>0.29197694232387988</v>
      </c>
      <c r="O21" s="12">
        <f t="shared" ref="O21:R21" si="19">+O22/O4</f>
        <v>0.35907240881657565</v>
      </c>
      <c r="P21" s="12">
        <f t="shared" si="19"/>
        <v>0.33097483981234427</v>
      </c>
      <c r="Q21" s="12">
        <f t="shared" si="19"/>
        <v>0.34011885092109168</v>
      </c>
      <c r="R21" s="12">
        <f t="shared" si="19"/>
        <v>0.2564928763374083</v>
      </c>
      <c r="S21" s="12">
        <f t="shared" ref="S21:T21" si="20">+S22/S4</f>
        <v>0.23073965473583932</v>
      </c>
      <c r="T21" s="12">
        <f t="shared" si="20"/>
        <v>0.30376971397422958</v>
      </c>
      <c r="U21" s="12">
        <f t="shared" ref="U21:V21" si="21">+U22/U4</f>
        <v>0.28982897934820923</v>
      </c>
      <c r="V21" s="12">
        <f t="shared" si="21"/>
        <v>0.36208428725460595</v>
      </c>
      <c r="W21" s="12">
        <f t="shared" ref="W21:X21" si="22">+W22/W4</f>
        <v>0.34393488305875597</v>
      </c>
      <c r="X21" s="12">
        <f t="shared" si="22"/>
        <v>0.30350577331848921</v>
      </c>
      <c r="Y21" s="12">
        <f t="shared" ref="Y21:Z21" si="23">+Y22/Y4</f>
        <v>0.29573653542196721</v>
      </c>
      <c r="Z21" s="12">
        <f t="shared" si="23"/>
        <v>0.31171888492646116</v>
      </c>
      <c r="AA21" s="12">
        <f t="shared" ref="AA21" si="24">+AA22/AA4</f>
        <v>0.33364183197271713</v>
      </c>
      <c r="AB21" s="12">
        <f>+AB22/AB4</f>
        <v>0.38278040164449789</v>
      </c>
      <c r="AC21" s="12">
        <f>+AC22/AC4</f>
        <v>0.3540065253093439</v>
      </c>
      <c r="AD21" s="12">
        <f>+AD22/AD4</f>
        <v>0.30556203073521582</v>
      </c>
      <c r="AE21" s="12">
        <f>+AE22/AE4</f>
        <v>0.38320093546567524</v>
      </c>
      <c r="AF21" s="12">
        <f>+AF22/AF4</f>
        <v>0.35907240881657565</v>
      </c>
    </row>
    <row r="22" spans="1:33" x14ac:dyDescent="0.25">
      <c r="B22" s="10" t="s">
        <v>15</v>
      </c>
      <c r="C22" s="10"/>
      <c r="D22" s="16">
        <f>SUM(D23:D28)</f>
        <v>9037.7210000000014</v>
      </c>
      <c r="E22" s="16">
        <f t="shared" ref="E22:N22" si="25">SUM(E23:E28)</f>
        <v>9086.0289999999986</v>
      </c>
      <c r="F22" s="16">
        <f t="shared" si="25"/>
        <v>9778.3189999999995</v>
      </c>
      <c r="G22" s="16">
        <f t="shared" si="25"/>
        <v>9933.0640000000003</v>
      </c>
      <c r="H22" s="16">
        <f t="shared" si="25"/>
        <v>8135.695999999999</v>
      </c>
      <c r="I22" s="16">
        <f t="shared" si="25"/>
        <v>9395.4240000000009</v>
      </c>
      <c r="J22" s="16">
        <f t="shared" si="25"/>
        <v>9012.9200000000019</v>
      </c>
      <c r="K22" s="16">
        <f t="shared" si="25"/>
        <v>7759.2300000000005</v>
      </c>
      <c r="L22" s="16">
        <f t="shared" si="25"/>
        <v>6119.38</v>
      </c>
      <c r="M22" s="16">
        <f t="shared" si="25"/>
        <v>6962.9800000000005</v>
      </c>
      <c r="N22" s="16">
        <f t="shared" si="25"/>
        <v>5293.1699999999983</v>
      </c>
      <c r="O22" s="16">
        <f t="shared" ref="O22:R22" si="26">SUM(O23:O28)</f>
        <v>5894.17</v>
      </c>
      <c r="P22" s="16">
        <f t="shared" si="26"/>
        <v>6163.9</v>
      </c>
      <c r="Q22" s="16">
        <f t="shared" si="26"/>
        <v>6551.3823499999999</v>
      </c>
      <c r="R22" s="16">
        <f t="shared" si="26"/>
        <v>4917.2083499999999</v>
      </c>
      <c r="S22" s="16">
        <f t="shared" ref="S22:T22" si="27">SUM(S23:S28)</f>
        <v>5368.8959649999997</v>
      </c>
      <c r="T22" s="16">
        <f t="shared" si="27"/>
        <v>6444.0189650000002</v>
      </c>
      <c r="U22" s="16">
        <f t="shared" ref="U22:V22" si="28">SUM(U23:U28)</f>
        <v>5575.262964999999</v>
      </c>
      <c r="V22" s="16">
        <f t="shared" si="28"/>
        <v>5718.9339650000002</v>
      </c>
      <c r="W22" s="16">
        <f t="shared" ref="W22:X22" si="29">SUM(W23:W28)</f>
        <v>5225.6950349999997</v>
      </c>
      <c r="X22" s="16">
        <f t="shared" si="29"/>
        <v>5548.2230349999991</v>
      </c>
      <c r="Y22" s="16">
        <f t="shared" ref="Y22:Z22" si="30">SUM(Y23:Y28)</f>
        <v>5803.2550350000001</v>
      </c>
      <c r="Z22" s="16">
        <f t="shared" si="30"/>
        <v>5848.4290349999992</v>
      </c>
      <c r="AA22" s="16">
        <f t="shared" ref="AA22" si="31">SUM(AA23:AA28)</f>
        <v>6208.9270349999997</v>
      </c>
      <c r="AB22" s="16">
        <f t="shared" ref="AB22" si="32">SUM(AB23:AB28)</f>
        <v>9227.708833333334</v>
      </c>
      <c r="AC22" s="16">
        <f t="shared" ref="AC22" si="33">SUM(AC23:AC28)</f>
        <v>6840.3083333333343</v>
      </c>
      <c r="AD22" s="357">
        <f>SUM(P22:AA22)/12</f>
        <v>5781.1776445833339</v>
      </c>
      <c r="AE22" s="16">
        <f t="shared" ref="AE22" si="34">SUM(AE23:AE28)</f>
        <v>9395.4240000000009</v>
      </c>
      <c r="AF22" s="16">
        <f t="shared" ref="AF22" si="35">SUM(AF23:AF28)</f>
        <v>5894.17</v>
      </c>
      <c r="AG22" s="15"/>
    </row>
    <row r="23" spans="1:33" x14ac:dyDescent="0.25">
      <c r="B23" s="10" t="s">
        <v>108</v>
      </c>
      <c r="C23" s="10"/>
      <c r="D23" s="15">
        <f>+'Inventory Trend'!Y50</f>
        <v>1945.8</v>
      </c>
      <c r="E23" s="15">
        <f>+'Inventory Trend'!Z50</f>
        <v>2089</v>
      </c>
      <c r="F23" s="15">
        <f>+'Inventory Trend'!AA50</f>
        <v>2660.61</v>
      </c>
      <c r="G23" s="15">
        <f>+'Inventory Trend'!AB50</f>
        <v>2448.4699999999998</v>
      </c>
      <c r="H23" s="15">
        <f>+'Inventory Trend'!AC50</f>
        <v>944.34</v>
      </c>
      <c r="I23" s="15">
        <f>+'Inventory Trend'!AD50</f>
        <v>1178.5999999999999</v>
      </c>
      <c r="J23" s="15">
        <f>+'Inventory Trend'!AE50</f>
        <v>904.5</v>
      </c>
      <c r="K23" s="15">
        <f>+'Inventory Trend'!AF50</f>
        <v>941.73</v>
      </c>
      <c r="L23" s="15">
        <f>+'Inventory Trend'!AG50</f>
        <v>1553.52</v>
      </c>
      <c r="M23" s="15">
        <f>+'Inventory Trend'!AH50</f>
        <v>2151.52</v>
      </c>
      <c r="N23" s="15">
        <f>+'Inventory Trend'!AI50</f>
        <v>1810.9899999999998</v>
      </c>
      <c r="O23" s="15">
        <f>+'Inventory Trend'!AJ50</f>
        <v>1932.85</v>
      </c>
      <c r="P23" s="15">
        <f>+'Inventory Trend'!AK50</f>
        <v>1892.35</v>
      </c>
      <c r="Q23" s="15">
        <f>+'Inventory Trend'!AL50</f>
        <v>2086</v>
      </c>
      <c r="R23" s="15">
        <f>+'Inventory Trend'!AM50</f>
        <v>1915.95</v>
      </c>
      <c r="S23" s="15">
        <f>+'Inventory Trend'!AN50</f>
        <v>1592.065615</v>
      </c>
      <c r="T23" s="15">
        <f>+'Inventory Trend'!AO50</f>
        <v>1731.3396149999999</v>
      </c>
      <c r="U23" s="15">
        <f>+'Inventory Trend'!AP50</f>
        <v>1533.0246149999998</v>
      </c>
      <c r="V23" s="15">
        <f>+'Inventory Trend'!AQ50</f>
        <v>1784.4146149999999</v>
      </c>
      <c r="W23" s="15">
        <f>+'Inventory Trend'!AR50</f>
        <v>1368.690615</v>
      </c>
      <c r="X23" s="15">
        <f>+'Inventory Trend'!AS50</f>
        <v>1384.9346149999999</v>
      </c>
      <c r="Y23" s="15">
        <f>+'Inventory Trend'!AT50</f>
        <v>1321.912615</v>
      </c>
      <c r="Z23" s="15">
        <f>+'Inventory Trend'!AU50</f>
        <v>1366.1936149999999</v>
      </c>
      <c r="AA23" s="15">
        <f>+'Inventory Trend'!AV50</f>
        <v>1284.3676150000001</v>
      </c>
      <c r="AB23" s="15">
        <f t="shared" ref="AB23:AB27" si="36">SUM(D23:I23)/6</f>
        <v>1877.8033333333333</v>
      </c>
      <c r="AC23" s="249">
        <f t="shared" ref="AC23:AC31" si="37">SUM(J23:O23)/6</f>
        <v>1549.1850000000002</v>
      </c>
      <c r="AD23" s="249">
        <f t="shared" ref="AD23:AD28" si="38">SUM(P23:AA23)/12</f>
        <v>1605.1036279166665</v>
      </c>
      <c r="AE23" s="35">
        <f t="shared" ref="AE23:AE27" si="39">+I23</f>
        <v>1178.5999999999999</v>
      </c>
      <c r="AF23" s="35">
        <f t="shared" ref="AF23:AF28" si="40">+O23</f>
        <v>1932.85</v>
      </c>
      <c r="AG23" s="15"/>
    </row>
    <row r="24" spans="1:33" x14ac:dyDescent="0.25">
      <c r="B24" s="10" t="s">
        <v>109</v>
      </c>
      <c r="C24" s="10"/>
      <c r="D24" s="15">
        <f>+'Inventory Trend'!Y51</f>
        <v>918.42000000000007</v>
      </c>
      <c r="E24" s="15">
        <f>+'Inventory Trend'!Z51</f>
        <v>1053.6099999999999</v>
      </c>
      <c r="F24" s="15">
        <f>+'Inventory Trend'!AA51</f>
        <v>625.64</v>
      </c>
      <c r="G24" s="15">
        <f>+'Inventory Trend'!AB51</f>
        <v>788.38</v>
      </c>
      <c r="H24" s="15">
        <f>+'Inventory Trend'!AC51</f>
        <v>948.72</v>
      </c>
      <c r="I24" s="15">
        <f>+'Inventory Trend'!AD51</f>
        <v>935.42</v>
      </c>
      <c r="J24" s="15">
        <f>+'Inventory Trend'!AE51</f>
        <v>971.22</v>
      </c>
      <c r="K24" s="15">
        <f>+'Inventory Trend'!AF51</f>
        <v>1038.4000000000001</v>
      </c>
      <c r="L24" s="15">
        <f>+'Inventory Trend'!AG51</f>
        <v>817.49</v>
      </c>
      <c r="M24" s="15">
        <f>+'Inventory Trend'!AH51</f>
        <v>817.49</v>
      </c>
      <c r="N24" s="15">
        <f>+'Inventory Trend'!AI51</f>
        <v>817.49</v>
      </c>
      <c r="O24" s="15">
        <f>+'Inventory Trend'!AJ51</f>
        <v>637.6</v>
      </c>
      <c r="P24" s="15">
        <f>+'Inventory Trend'!AK51</f>
        <v>904.47</v>
      </c>
      <c r="Q24" s="15">
        <f>+'Inventory Trend'!AL51</f>
        <v>762.654</v>
      </c>
      <c r="R24" s="15">
        <f>+'Inventory Trend'!AM51</f>
        <v>762.654</v>
      </c>
      <c r="S24" s="15">
        <f>+'Inventory Trend'!AN51</f>
        <v>762.654</v>
      </c>
      <c r="T24" s="15">
        <f>+'Inventory Trend'!AO51</f>
        <v>586.20100000000002</v>
      </c>
      <c r="U24" s="15">
        <f>+'Inventory Trend'!AP51</f>
        <v>695.51</v>
      </c>
      <c r="V24" s="15">
        <f>+'Inventory Trend'!AQ51</f>
        <v>695.51</v>
      </c>
      <c r="W24" s="15">
        <f>+'Inventory Trend'!AR51</f>
        <v>1114.52342</v>
      </c>
      <c r="X24" s="15">
        <f>+'Inventory Trend'!AS51</f>
        <v>1135.91542</v>
      </c>
      <c r="Y24" s="15">
        <f>+'Inventory Trend'!AT51</f>
        <v>1056.14642</v>
      </c>
      <c r="Z24" s="15">
        <f>+'Inventory Trend'!AU51</f>
        <v>965.0954200000001</v>
      </c>
      <c r="AA24" s="15">
        <f>+'Inventory Trend'!AV51</f>
        <v>391.74142000000006</v>
      </c>
      <c r="AB24" s="15">
        <f t="shared" si="36"/>
        <v>878.36500000000012</v>
      </c>
      <c r="AC24" s="249">
        <f t="shared" si="37"/>
        <v>849.94833333333338</v>
      </c>
      <c r="AD24" s="249">
        <f t="shared" si="38"/>
        <v>819.42292499999996</v>
      </c>
      <c r="AE24" s="35">
        <f t="shared" si="39"/>
        <v>935.42</v>
      </c>
      <c r="AF24" s="35">
        <f t="shared" si="40"/>
        <v>637.6</v>
      </c>
      <c r="AG24" s="15"/>
    </row>
    <row r="25" spans="1:33" x14ac:dyDescent="0.25">
      <c r="B25" s="10" t="s">
        <v>451</v>
      </c>
      <c r="C25" s="10"/>
      <c r="D25" s="15">
        <f>+'Inventory Trend'!Y53+'Inventory Trend'!Y55</f>
        <v>2351.0500000000002</v>
      </c>
      <c r="E25" s="15">
        <f>+'Inventory Trend'!Z53+'Inventory Trend'!Z55</f>
        <v>2488.1999999999998</v>
      </c>
      <c r="F25" s="15">
        <f>+'Inventory Trend'!AA53+'Inventory Trend'!AA55</f>
        <v>3442.6400000000003</v>
      </c>
      <c r="G25" s="15">
        <f>+'Inventory Trend'!AB53+'Inventory Trend'!AB55</f>
        <v>3625.41</v>
      </c>
      <c r="H25" s="15">
        <f>+'Inventory Trend'!AC53+'Inventory Trend'!AC55</f>
        <v>3247.36</v>
      </c>
      <c r="I25" s="15">
        <f>+'Inventory Trend'!AD53+'Inventory Trend'!AD55</f>
        <v>3999.5699999999997</v>
      </c>
      <c r="J25" s="15">
        <f>+'Inventory Trend'!AE53+'Inventory Trend'!AE55</f>
        <v>4526.5599999999995</v>
      </c>
      <c r="K25" s="15">
        <f>+'Inventory Trend'!AF53+'Inventory Trend'!AF55</f>
        <v>4245.12</v>
      </c>
      <c r="L25" s="15">
        <f>+'Inventory Trend'!AG53+'Inventory Trend'!AG55</f>
        <v>2564.7200000000003</v>
      </c>
      <c r="M25" s="15">
        <f>+'Inventory Trend'!AH53+'Inventory Trend'!AH55</f>
        <v>2882.1099999999997</v>
      </c>
      <c r="N25" s="15">
        <f>+'Inventory Trend'!AI53+'Inventory Trend'!AI55</f>
        <v>1496.4900000000002</v>
      </c>
      <c r="O25" s="15">
        <f>+'Inventory Trend'!AJ53+'Inventory Trend'!AJ55</f>
        <v>1445.88</v>
      </c>
      <c r="P25" s="15">
        <f>+'Inventory Trend'!AK53+'Inventory Trend'!AK55</f>
        <v>1492.6</v>
      </c>
      <c r="Q25" s="15">
        <f>+'Inventory Trend'!AL53+'Inventory Trend'!AL55</f>
        <v>1660.087</v>
      </c>
      <c r="R25" s="15">
        <f>+'Inventory Trend'!AM53+'Inventory Trend'!AM55</f>
        <v>274.46600000000001</v>
      </c>
      <c r="S25" s="15">
        <f>+'Inventory Trend'!AN53+'Inventory Trend'!AN55</f>
        <v>702.654</v>
      </c>
      <c r="T25" s="15">
        <f>+'Inventory Trend'!AO53+'Inventory Trend'!AO55</f>
        <v>1447.4749999999999</v>
      </c>
      <c r="U25" s="15">
        <f>+'Inventory Trend'!AP53+'Inventory Trend'!AP55</f>
        <v>598.0920000000001</v>
      </c>
      <c r="V25" s="15">
        <f>+'Inventory Trend'!AQ53+'Inventory Trend'!AQ55</f>
        <v>191.203</v>
      </c>
      <c r="W25" s="15">
        <f>+'Inventory Trend'!AR53+'Inventory Trend'!AR55</f>
        <v>482.10500000000002</v>
      </c>
      <c r="X25" s="15">
        <f>+'Inventory Trend'!AS53+'Inventory Trend'!AS55</f>
        <v>500.61099999999999</v>
      </c>
      <c r="Y25" s="15">
        <f>+'Inventory Trend'!AT53+'Inventory Trend'!AT55</f>
        <v>1163.8899999999999</v>
      </c>
      <c r="Z25" s="15">
        <f>+'Inventory Trend'!AU53+'Inventory Trend'!AU55</f>
        <v>934.47499999999991</v>
      </c>
      <c r="AA25" s="15">
        <f>+'Inventory Trend'!AV53+'Inventory Trend'!AV55</f>
        <v>1525.1350000000002</v>
      </c>
      <c r="AB25" s="15">
        <f t="shared" si="36"/>
        <v>3192.3716666666664</v>
      </c>
      <c r="AC25" s="249">
        <f t="shared" si="37"/>
        <v>2860.146666666667</v>
      </c>
      <c r="AD25" s="249">
        <f t="shared" si="38"/>
        <v>914.39941666666675</v>
      </c>
      <c r="AE25" s="35">
        <f t="shared" si="39"/>
        <v>3999.5699999999997</v>
      </c>
      <c r="AF25" s="35">
        <f t="shared" si="40"/>
        <v>1445.88</v>
      </c>
      <c r="AG25" s="15"/>
    </row>
    <row r="26" spans="1:33" x14ac:dyDescent="0.25">
      <c r="B26" s="10" t="s">
        <v>110</v>
      </c>
      <c r="C26" s="10"/>
      <c r="D26" s="15">
        <f>+'Inventory Trend'!Y60</f>
        <v>2211.16</v>
      </c>
      <c r="E26" s="15">
        <f>+'Inventory Trend'!Z60</f>
        <v>1791.23</v>
      </c>
      <c r="F26" s="15">
        <f>+'Inventory Trend'!AA60</f>
        <v>2092.36</v>
      </c>
      <c r="G26" s="15">
        <f>+'Inventory Trend'!AB60</f>
        <v>2145.64</v>
      </c>
      <c r="H26" s="15">
        <f>+'Inventory Trend'!AC60</f>
        <v>2279.2400000000002</v>
      </c>
      <c r="I26" s="15">
        <f>+'Inventory Trend'!AD60</f>
        <v>1949.08</v>
      </c>
      <c r="J26" s="15">
        <f>+'Inventory Trend'!AE60</f>
        <v>1962.65</v>
      </c>
      <c r="K26" s="15">
        <f>+'Inventory Trend'!AF60</f>
        <v>942.19</v>
      </c>
      <c r="L26" s="15">
        <f>+'Inventory Trend'!AG60</f>
        <v>564.03</v>
      </c>
      <c r="M26" s="15">
        <f>+'Inventory Trend'!AH60</f>
        <v>643.18000000000006</v>
      </c>
      <c r="N26" s="15">
        <f>+'Inventory Trend'!AI60</f>
        <v>535.55999999999995</v>
      </c>
      <c r="O26" s="15">
        <f>+'Inventory Trend'!AJ60</f>
        <v>960.82</v>
      </c>
      <c r="P26" s="15">
        <f>+'Inventory Trend'!AK60</f>
        <v>1312.93</v>
      </c>
      <c r="Q26" s="15">
        <f>+'Inventory Trend'!AL60</f>
        <v>1387.3430000000001</v>
      </c>
      <c r="R26" s="15">
        <f>+'Inventory Trend'!AM60</f>
        <v>1402.519</v>
      </c>
      <c r="S26" s="15">
        <f>+'Inventory Trend'!AN60</f>
        <v>1667.8630000000001</v>
      </c>
      <c r="T26" s="15">
        <f>+'Inventory Trend'!AO60</f>
        <v>1858.5540000000001</v>
      </c>
      <c r="U26" s="15">
        <f>+'Inventory Trend'!AP60</f>
        <v>1631.125</v>
      </c>
      <c r="V26" s="15">
        <f>+'Inventory Trend'!AQ60</f>
        <v>1844.067</v>
      </c>
      <c r="W26" s="15">
        <f>+'Inventory Trend'!AR60</f>
        <v>1126.48</v>
      </c>
      <c r="X26" s="15">
        <f>+'Inventory Trend'!AS60</f>
        <v>1204.569</v>
      </c>
      <c r="Y26" s="15">
        <f>+'Inventory Trend'!AT60</f>
        <v>1124.921</v>
      </c>
      <c r="Z26" s="15">
        <f>+'Inventory Trend'!AU60</f>
        <v>1327.8489999999999</v>
      </c>
      <c r="AA26" s="15">
        <f>+'Inventory Trend'!AV60</f>
        <v>1670.19</v>
      </c>
      <c r="AB26" s="15">
        <f t="shared" si="36"/>
        <v>2078.1183333333333</v>
      </c>
      <c r="AC26" s="249">
        <f t="shared" si="37"/>
        <v>934.73833333333334</v>
      </c>
      <c r="AD26" s="249">
        <f t="shared" si="38"/>
        <v>1463.2008333333333</v>
      </c>
      <c r="AE26" s="35">
        <f t="shared" si="39"/>
        <v>1949.08</v>
      </c>
      <c r="AF26" s="35">
        <f t="shared" si="40"/>
        <v>960.82</v>
      </c>
      <c r="AG26" s="15"/>
    </row>
    <row r="27" spans="1:33" x14ac:dyDescent="0.25">
      <c r="B27" s="10" t="s">
        <v>111</v>
      </c>
      <c r="C27" s="10"/>
      <c r="D27" s="15">
        <f>+'Inventory Trend'!Y68</f>
        <v>1551.5300000000002</v>
      </c>
      <c r="E27" s="15">
        <f>+'Inventory Trend'!Z68</f>
        <v>1549.07</v>
      </c>
      <c r="F27" s="15">
        <f>+'Inventory Trend'!AA68</f>
        <v>845.71</v>
      </c>
      <c r="G27" s="15">
        <f>+'Inventory Trend'!AB68</f>
        <v>796.68000000000006</v>
      </c>
      <c r="H27" s="15">
        <f>+'Inventory Trend'!AC68</f>
        <v>567.55999999999995</v>
      </c>
      <c r="I27" s="15">
        <f>+'Inventory Trend'!AD68</f>
        <v>1147.46</v>
      </c>
      <c r="J27" s="15">
        <f>+'Inventory Trend'!AE68</f>
        <v>424.7</v>
      </c>
      <c r="K27" s="15">
        <f>+'Inventory Trend'!AF68</f>
        <v>315.33</v>
      </c>
      <c r="L27" s="15">
        <f>+'Inventory Trend'!AG68</f>
        <v>298.57</v>
      </c>
      <c r="M27" s="15">
        <f>+'Inventory Trend'!AH68</f>
        <v>78</v>
      </c>
      <c r="N27" s="15">
        <f>+'Inventory Trend'!AI68</f>
        <v>197.78</v>
      </c>
      <c r="O27" s="15">
        <f>+'Inventory Trend'!AJ68</f>
        <v>446.06</v>
      </c>
      <c r="P27" s="15">
        <f>+'Inventory Trend'!AK68</f>
        <v>52.9</v>
      </c>
      <c r="Q27" s="15">
        <f>+'Inventory Trend'!AL68</f>
        <v>117.779</v>
      </c>
      <c r="R27" s="15">
        <f>+'Inventory Trend'!AM68</f>
        <v>0</v>
      </c>
      <c r="S27" s="15">
        <f>+'Inventory Trend'!AN68</f>
        <v>20.167000000000002</v>
      </c>
      <c r="T27" s="15">
        <f>+'Inventory Trend'!AO68</f>
        <v>122.34699999999999</v>
      </c>
      <c r="U27" s="15">
        <f>+'Inventory Trend'!AP68</f>
        <v>333.85300000000001</v>
      </c>
      <c r="V27" s="15">
        <f>+'Inventory Trend'!AQ68</f>
        <v>390.64100000000002</v>
      </c>
      <c r="W27" s="15">
        <f>+'Inventory Trend'!AR68</f>
        <v>286.14600000000002</v>
      </c>
      <c r="X27" s="15">
        <f>+'Inventory Trend'!AS68</f>
        <v>403.66800000000001</v>
      </c>
      <c r="Y27" s="15">
        <f>+'Inventory Trend'!AT68</f>
        <v>184.56200000000001</v>
      </c>
      <c r="Z27" s="15">
        <f>+'Inventory Trend'!AU68</f>
        <v>253.10599999999999</v>
      </c>
      <c r="AA27" s="15">
        <f>+'Inventory Trend'!AV68</f>
        <v>276.49</v>
      </c>
      <c r="AB27" s="15">
        <f t="shared" si="36"/>
        <v>1076.3350000000003</v>
      </c>
      <c r="AC27" s="249">
        <f t="shared" si="37"/>
        <v>293.40666666666664</v>
      </c>
      <c r="AD27" s="249">
        <f t="shared" si="38"/>
        <v>203.47158333333331</v>
      </c>
      <c r="AE27" s="35">
        <f t="shared" si="39"/>
        <v>1147.46</v>
      </c>
      <c r="AF27" s="35">
        <f t="shared" si="40"/>
        <v>446.06</v>
      </c>
      <c r="AG27" s="15"/>
    </row>
    <row r="28" spans="1:33" x14ac:dyDescent="0.25">
      <c r="B28" s="10" t="s">
        <v>97</v>
      </c>
      <c r="C28" s="10"/>
      <c r="D28" s="35">
        <f>+D19</f>
        <v>59.761000000000003</v>
      </c>
      <c r="E28" s="35">
        <f t="shared" ref="E28:N28" si="41">+E19</f>
        <v>114.919</v>
      </c>
      <c r="F28" s="35">
        <f t="shared" si="41"/>
        <v>111.35899999999999</v>
      </c>
      <c r="G28" s="35">
        <f t="shared" si="41"/>
        <v>128.48400000000001</v>
      </c>
      <c r="H28" s="35">
        <f t="shared" si="41"/>
        <v>148.476</v>
      </c>
      <c r="I28" s="35">
        <f t="shared" si="41"/>
        <v>185.29400000000001</v>
      </c>
      <c r="J28" s="35">
        <f t="shared" si="41"/>
        <v>223.29</v>
      </c>
      <c r="K28" s="35">
        <f t="shared" si="41"/>
        <v>276.45999999999998</v>
      </c>
      <c r="L28" s="35">
        <f t="shared" si="41"/>
        <v>321.05</v>
      </c>
      <c r="M28" s="35">
        <f t="shared" si="41"/>
        <v>390.68</v>
      </c>
      <c r="N28" s="35">
        <f t="shared" si="41"/>
        <v>434.86</v>
      </c>
      <c r="O28" s="35">
        <f t="shared" ref="O28:R28" si="42">+O19</f>
        <v>470.96</v>
      </c>
      <c r="P28" s="35">
        <f t="shared" si="42"/>
        <v>508.65</v>
      </c>
      <c r="Q28" s="35">
        <f t="shared" si="42"/>
        <v>537.51935000000003</v>
      </c>
      <c r="R28" s="35">
        <f t="shared" si="42"/>
        <v>561.61934999999994</v>
      </c>
      <c r="S28" s="35">
        <f t="shared" ref="S28:T28" si="43">+S19</f>
        <v>623.49234999999999</v>
      </c>
      <c r="T28" s="35">
        <f t="shared" si="43"/>
        <v>698.10235</v>
      </c>
      <c r="U28" s="35">
        <f t="shared" ref="U28:V28" si="44">+U19</f>
        <v>783.65834999999993</v>
      </c>
      <c r="V28" s="35">
        <f t="shared" si="44"/>
        <v>813.09834999999998</v>
      </c>
      <c r="W28" s="35">
        <f t="shared" ref="W28:X28" si="45">+W19</f>
        <v>847.75</v>
      </c>
      <c r="X28" s="35">
        <f t="shared" si="45"/>
        <v>918.52499999999998</v>
      </c>
      <c r="Y28" s="35">
        <f t="shared" ref="Y28:Z28" si="46">+Y19</f>
        <v>951.82299999999998</v>
      </c>
      <c r="Z28" s="35">
        <f t="shared" si="46"/>
        <v>1001.71</v>
      </c>
      <c r="AA28" s="35">
        <f t="shared" ref="AA28" si="47">+AA19</f>
        <v>1061.0029999999999</v>
      </c>
      <c r="AB28" s="15">
        <f t="shared" ref="AB28" si="48">SUM(D28:I28)/6</f>
        <v>124.71550000000001</v>
      </c>
      <c r="AC28" s="249">
        <f t="shared" si="37"/>
        <v>352.88333333333338</v>
      </c>
      <c r="AD28" s="249">
        <f t="shared" si="38"/>
        <v>775.57925833333354</v>
      </c>
      <c r="AE28" s="35">
        <f t="shared" ref="AE28" si="49">+I28</f>
        <v>185.29400000000001</v>
      </c>
      <c r="AF28" s="35">
        <f t="shared" si="40"/>
        <v>470.96</v>
      </c>
    </row>
    <row r="29" spans="1:33" x14ac:dyDescent="0.25">
      <c r="AD29" s="15"/>
    </row>
    <row r="30" spans="1:33" x14ac:dyDescent="0.25">
      <c r="B30" s="17" t="s">
        <v>308</v>
      </c>
      <c r="C30" s="229">
        <v>462</v>
      </c>
      <c r="D30" s="15">
        <v>985</v>
      </c>
      <c r="E30" s="15">
        <v>811</v>
      </c>
      <c r="F30" s="15">
        <v>787</v>
      </c>
      <c r="G30" s="15">
        <v>395</v>
      </c>
      <c r="H30" s="15">
        <v>482</v>
      </c>
      <c r="I30" s="15">
        <v>675</v>
      </c>
      <c r="J30" s="15">
        <v>655</v>
      </c>
      <c r="K30" s="15">
        <v>504</v>
      </c>
      <c r="L30" s="15">
        <v>356</v>
      </c>
      <c r="M30" s="15">
        <v>199</v>
      </c>
      <c r="N30" s="15">
        <v>176.04300000000001</v>
      </c>
      <c r="O30" s="15">
        <v>181.53</v>
      </c>
      <c r="P30" s="15">
        <v>514.34</v>
      </c>
      <c r="Q30" s="15">
        <v>285.80495500000001</v>
      </c>
      <c r="R30" s="15">
        <v>745.26895500000001</v>
      </c>
      <c r="S30" s="135">
        <v>766.56201299999998</v>
      </c>
      <c r="T30" s="135">
        <v>566.45095500000002</v>
      </c>
      <c r="U30" s="135">
        <v>607.86095499999999</v>
      </c>
      <c r="V30" s="135">
        <v>694.74595499999998</v>
      </c>
      <c r="W30" s="135">
        <v>868.12800000000004</v>
      </c>
      <c r="X30" s="135">
        <v>826.26841999999999</v>
      </c>
      <c r="Y30" s="135">
        <v>829.06099999999992</v>
      </c>
      <c r="Z30" s="135">
        <v>758.77499999999998</v>
      </c>
      <c r="AA30" s="135">
        <v>1051.2629999999999</v>
      </c>
      <c r="AB30" s="15">
        <v>588.07499999999993</v>
      </c>
      <c r="AC30" s="249">
        <f t="shared" si="37"/>
        <v>345.2621666666667</v>
      </c>
      <c r="AD30" s="249">
        <f t="shared" ref="AD30:AD31" si="50">SUM(P30:AA30)/12</f>
        <v>709.54410066666662</v>
      </c>
      <c r="AE30" s="35">
        <f t="shared" ref="AE30:AE31" si="51">+I30</f>
        <v>675</v>
      </c>
      <c r="AF30" s="35">
        <f t="shared" ref="AF30:AF31" si="52">+O30</f>
        <v>181.53</v>
      </c>
    </row>
    <row r="31" spans="1:33" x14ac:dyDescent="0.25">
      <c r="B31" s="158" t="s">
        <v>309</v>
      </c>
      <c r="C31" s="140">
        <v>1891</v>
      </c>
      <c r="D31" s="15">
        <v>684</v>
      </c>
      <c r="E31" s="15">
        <v>1439</v>
      </c>
      <c r="F31" s="15">
        <v>1210</v>
      </c>
      <c r="G31" s="15">
        <v>1259</v>
      </c>
      <c r="H31" s="15">
        <v>2104</v>
      </c>
      <c r="I31" s="15">
        <v>2063</v>
      </c>
      <c r="J31" s="15">
        <v>2432</v>
      </c>
      <c r="K31" s="15">
        <v>1265</v>
      </c>
      <c r="L31" s="15">
        <v>668</v>
      </c>
      <c r="M31" s="15">
        <v>767</v>
      </c>
      <c r="N31" s="15">
        <v>1225.7919999999999</v>
      </c>
      <c r="O31" s="15">
        <v>1432.41</v>
      </c>
      <c r="P31" s="15">
        <v>1316.49</v>
      </c>
      <c r="Q31" s="15">
        <v>732.58299999999997</v>
      </c>
      <c r="R31" s="15">
        <v>880.64705800000002</v>
      </c>
      <c r="S31" s="135">
        <v>1368.8029999999999</v>
      </c>
      <c r="T31" s="135">
        <v>984.17399999999998</v>
      </c>
      <c r="U31" s="135">
        <v>1190.0451800000001</v>
      </c>
      <c r="V31" s="135">
        <v>1417.80771</v>
      </c>
      <c r="W31" s="135">
        <v>974.80500000000006</v>
      </c>
      <c r="X31" s="135">
        <v>588.07499999999993</v>
      </c>
      <c r="Y31" s="135">
        <v>616.80700000000002</v>
      </c>
      <c r="Z31" s="135">
        <v>505.07799999999997</v>
      </c>
      <c r="AA31" s="135">
        <v>595.74900000000002</v>
      </c>
      <c r="AB31" s="15">
        <v>826.26841999999999</v>
      </c>
      <c r="AC31" s="249">
        <f t="shared" si="37"/>
        <v>1298.367</v>
      </c>
      <c r="AD31" s="249">
        <f t="shared" si="50"/>
        <v>930.9219956666667</v>
      </c>
      <c r="AE31" s="35">
        <f t="shared" si="51"/>
        <v>2063</v>
      </c>
      <c r="AF31" s="35">
        <f t="shared" si="52"/>
        <v>1432.41</v>
      </c>
    </row>
  </sheetData>
  <mergeCells count="2">
    <mergeCell ref="AB1:AC1"/>
    <mergeCell ref="A1:N1"/>
  </mergeCells>
  <pageMargins left="0.7" right="0.7" top="0.75" bottom="0.75" header="0.3" footer="0.3"/>
  <ignoredErrors>
    <ignoredError sqref="AC30:AC3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8" max="8" width="13.5703125" bestFit="1" customWidth="1"/>
  </cols>
  <sheetData>
    <row r="1" spans="1:8" x14ac:dyDescent="0.25">
      <c r="A1" t="s">
        <v>126</v>
      </c>
    </row>
    <row r="2" spans="1:8" x14ac:dyDescent="0.25">
      <c r="A2" s="10" t="s">
        <v>124</v>
      </c>
      <c r="B2" s="10" t="s">
        <v>117</v>
      </c>
      <c r="C2" s="10" t="s">
        <v>118</v>
      </c>
      <c r="D2" s="10" t="s">
        <v>119</v>
      </c>
      <c r="E2" s="10" t="s">
        <v>120</v>
      </c>
      <c r="F2" s="10" t="s">
        <v>121</v>
      </c>
      <c r="G2" s="10" t="s">
        <v>122</v>
      </c>
      <c r="H2" s="10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5"/>
  <sheetViews>
    <sheetView workbookViewId="0">
      <pane xSplit="3" ySplit="3" topLeftCell="M85" activePane="bottomRight" state="frozen"/>
      <selection pane="topRight" activeCell="D1" sqref="D1"/>
      <selection pane="bottomLeft" activeCell="A4" sqref="A4"/>
      <selection pane="bottomRight" activeCell="AA17" sqref="AA17"/>
    </sheetView>
  </sheetViews>
  <sheetFormatPr defaultRowHeight="15" x14ac:dyDescent="0.25"/>
  <cols>
    <col min="1" max="1" width="15" style="156" customWidth="1"/>
    <col min="2" max="2" width="18.5703125" style="156" bestFit="1" customWidth="1"/>
    <col min="3" max="3" width="27.7109375" style="156" customWidth="1"/>
    <col min="4" max="4" width="16.140625" customWidth="1"/>
    <col min="5" max="5" width="7.7109375" bestFit="1" customWidth="1"/>
    <col min="6" max="6" width="7" bestFit="1" customWidth="1"/>
    <col min="7" max="7" width="6.5703125" bestFit="1" customWidth="1"/>
    <col min="8" max="8" width="7" bestFit="1" customWidth="1"/>
    <col min="13" max="13" width="7" customWidth="1"/>
    <col min="14" max="15" width="9.140625" style="142"/>
    <col min="16" max="21" width="8.85546875" style="142" customWidth="1"/>
    <col min="22" max="22" width="12.85546875" bestFit="1" customWidth="1"/>
    <col min="23" max="23" width="17.140625" customWidth="1"/>
    <col min="24" max="24" width="11.42578125" style="147" bestFit="1" customWidth="1"/>
    <col min="25" max="25" width="11.42578125" style="142" bestFit="1" customWidth="1"/>
    <col min="26" max="26" width="9.140625" style="143"/>
    <col min="27" max="27" width="11.42578125" style="147" bestFit="1" customWidth="1"/>
    <col min="28" max="28" width="11.42578125" style="142" bestFit="1" customWidth="1"/>
    <col min="29" max="29" width="9.140625" style="143"/>
  </cols>
  <sheetData>
    <row r="1" spans="1:29" ht="15.75" thickBot="1" x14ac:dyDescent="0.3">
      <c r="A1" s="390" t="s">
        <v>251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6"/>
      <c r="Y1" s="396"/>
      <c r="Z1" s="397"/>
      <c r="AA1" s="301"/>
      <c r="AB1" s="137"/>
      <c r="AC1" s="138"/>
    </row>
    <row r="2" spans="1:29" x14ac:dyDescent="0.25">
      <c r="C2" s="318"/>
      <c r="D2" s="301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8"/>
      <c r="V2" s="404" t="s">
        <v>269</v>
      </c>
      <c r="W2" s="405"/>
      <c r="X2" s="401" t="s">
        <v>335</v>
      </c>
      <c r="Y2" s="402"/>
      <c r="Z2" s="403"/>
      <c r="AA2" s="401" t="s">
        <v>470</v>
      </c>
      <c r="AB2" s="402"/>
      <c r="AC2" s="403"/>
    </row>
    <row r="3" spans="1:29" ht="15.75" thickBot="1" x14ac:dyDescent="0.3">
      <c r="C3" s="318"/>
      <c r="D3" s="386">
        <v>42278</v>
      </c>
      <c r="E3" s="302">
        <v>42309</v>
      </c>
      <c r="F3" s="302">
        <v>42339</v>
      </c>
      <c r="G3" s="302">
        <v>42370</v>
      </c>
      <c r="H3" s="302">
        <v>42401</v>
      </c>
      <c r="I3" s="302">
        <v>42430</v>
      </c>
      <c r="J3" s="302">
        <v>42461</v>
      </c>
      <c r="K3" s="302">
        <v>42491</v>
      </c>
      <c r="L3" s="302">
        <v>42522</v>
      </c>
      <c r="M3" s="346">
        <v>42552</v>
      </c>
      <c r="N3" s="302">
        <v>42583</v>
      </c>
      <c r="O3" s="302">
        <v>42614</v>
      </c>
      <c r="P3" s="302">
        <v>42644</v>
      </c>
      <c r="Q3" s="302">
        <v>42675</v>
      </c>
      <c r="R3" s="302">
        <v>42705</v>
      </c>
      <c r="S3" s="302">
        <v>42736</v>
      </c>
      <c r="T3" s="302">
        <v>42767</v>
      </c>
      <c r="U3" s="302">
        <v>42795</v>
      </c>
      <c r="V3" s="376" t="s">
        <v>335</v>
      </c>
      <c r="W3" s="369" t="s">
        <v>469</v>
      </c>
      <c r="X3" s="139" t="s">
        <v>260</v>
      </c>
      <c r="Y3" s="140" t="s">
        <v>259</v>
      </c>
      <c r="Z3" s="325" t="s">
        <v>258</v>
      </c>
      <c r="AA3" s="139" t="s">
        <v>260</v>
      </c>
      <c r="AB3" s="140" t="s">
        <v>259</v>
      </c>
      <c r="AC3" s="325" t="s">
        <v>258</v>
      </c>
    </row>
    <row r="4" spans="1:29" x14ac:dyDescent="0.25">
      <c r="A4" s="158" t="s">
        <v>9</v>
      </c>
      <c r="B4" s="158" t="s">
        <v>250</v>
      </c>
      <c r="C4" s="385" t="s">
        <v>247</v>
      </c>
      <c r="D4" s="327">
        <f>+'Detailed Capacity Utilisation'!C16</f>
        <v>4920</v>
      </c>
      <c r="E4" s="141">
        <f>+'Detailed Capacity Utilisation'!C100</f>
        <v>6265</v>
      </c>
      <c r="F4" s="141">
        <f>+'Detailed Capacity Utilisation'!C179</f>
        <v>6548</v>
      </c>
      <c r="G4" s="141">
        <f>+'Detailed Capacity Utilisation'!C264</f>
        <v>7400</v>
      </c>
      <c r="H4" s="141">
        <f>+'Detailed Capacity Utilisation'!C351</f>
        <v>6300</v>
      </c>
      <c r="I4" s="141">
        <f>'Detailed Capacity Utilisation'!C439</f>
        <v>6460</v>
      </c>
      <c r="J4" s="141">
        <f>'Detailed Capacity Utilisation'!C528</f>
        <v>4760</v>
      </c>
      <c r="K4" s="141">
        <f>'Detailed Capacity Utilisation'!C617</f>
        <v>5370</v>
      </c>
      <c r="L4" s="145">
        <f>'Detailed Capacity Utilisation'!C706</f>
        <v>4950</v>
      </c>
      <c r="M4" s="145">
        <f>'Detailed Capacity Utilisation'!C795</f>
        <v>6660</v>
      </c>
      <c r="N4" s="145">
        <f>'Detailed Capacity Utilisation'!C885</f>
        <v>6124</v>
      </c>
      <c r="O4" s="145">
        <f>'Detailed Capacity Utilisation'!C978</f>
        <v>5710</v>
      </c>
      <c r="P4" s="145">
        <f>'Detailed Capacity Utilisation'!C1072</f>
        <v>3450</v>
      </c>
      <c r="Q4" s="145">
        <f>'Detailed Capacity Utilisation'!C1166</f>
        <v>4658</v>
      </c>
      <c r="R4" s="145">
        <f>'Detailed Capacity Utilisation'!C1261</f>
        <v>4425</v>
      </c>
      <c r="S4" s="145">
        <f>'Detailed Capacity Utilisation'!C1358</f>
        <v>6320</v>
      </c>
      <c r="T4" s="145">
        <f>'Detailed Capacity Utilisation'!C1458</f>
        <v>5570</v>
      </c>
      <c r="U4" s="303">
        <f>'Detailed Capacity Utilisation'!C1560</f>
        <v>5950</v>
      </c>
      <c r="V4" s="326">
        <f>SUM(D4:I4)/6</f>
        <v>6315.5</v>
      </c>
      <c r="W4" s="377">
        <f>SUM(J4:U4)/12</f>
        <v>5328.916666666667</v>
      </c>
      <c r="X4" s="301"/>
      <c r="Y4" s="137"/>
      <c r="Z4" s="138"/>
      <c r="AA4" s="301"/>
      <c r="AB4" s="137"/>
      <c r="AC4" s="138"/>
    </row>
    <row r="5" spans="1:29" x14ac:dyDescent="0.25">
      <c r="A5" s="158"/>
      <c r="B5" s="158"/>
      <c r="C5" s="385" t="s">
        <v>14</v>
      </c>
      <c r="D5" s="327">
        <f>+'Detailed Capacity Utilisation'!F16</f>
        <v>5077.4279999999999</v>
      </c>
      <c r="E5" s="141">
        <f>+'Detailed Capacity Utilisation'!F100</f>
        <v>4459.45</v>
      </c>
      <c r="F5" s="141">
        <f>+'Detailed Capacity Utilisation'!F179</f>
        <v>6361.8150000000005</v>
      </c>
      <c r="G5" s="141">
        <f>+'Detailed Capacity Utilisation'!F264</f>
        <v>7352.2999999999993</v>
      </c>
      <c r="H5" s="141">
        <f>+'Detailed Capacity Utilisation'!F351</f>
        <v>6370.7300000000005</v>
      </c>
      <c r="I5" s="141">
        <f>'Detailed Capacity Utilisation'!F439</f>
        <v>6342.0020000000004</v>
      </c>
      <c r="J5" s="141">
        <f>'Detailed Capacity Utilisation'!F528</f>
        <v>2688.904</v>
      </c>
      <c r="K5" s="141">
        <f>'Detailed Capacity Utilisation'!F617</f>
        <v>4129.6549999999997</v>
      </c>
      <c r="L5" s="145">
        <f>'Detailed Capacity Utilisation'!F706</f>
        <v>6279.6350000000002</v>
      </c>
      <c r="M5" s="145">
        <f>'Detailed Capacity Utilisation'!F795</f>
        <v>7183.2879999999996</v>
      </c>
      <c r="N5" s="145">
        <f>'Detailed Capacity Utilisation'!F885</f>
        <v>4886.1630000000005</v>
      </c>
      <c r="O5" s="145">
        <f>'Detailed Capacity Utilisation'!F978</f>
        <v>5186.2160000000003</v>
      </c>
      <c r="P5" s="145">
        <f>'Detailed Capacity Utilisation'!F1072</f>
        <v>4145.6080000000002</v>
      </c>
      <c r="Q5" s="145">
        <f>'Detailed Capacity Utilisation'!F1166</f>
        <v>3477.3710000000001</v>
      </c>
      <c r="R5" s="145">
        <f>'Detailed Capacity Utilisation'!F1261</f>
        <v>5379.8869999999997</v>
      </c>
      <c r="S5" s="145">
        <f>'Detailed Capacity Utilisation'!F1358</f>
        <v>6178.45</v>
      </c>
      <c r="T5" s="145">
        <f>'Detailed Capacity Utilisation'!F1458</f>
        <v>4436.7669999999998</v>
      </c>
      <c r="U5" s="303">
        <f>'Detailed Capacity Utilisation'!F1560</f>
        <v>5565.35</v>
      </c>
      <c r="V5" s="326">
        <f>SUM(D5:I5)/6</f>
        <v>5993.9541666666673</v>
      </c>
      <c r="W5" s="377">
        <f>SUM(J5:U5)/12</f>
        <v>4961.4411666666665</v>
      </c>
      <c r="X5" s="326"/>
      <c r="AA5" s="326"/>
    </row>
    <row r="6" spans="1:29" x14ac:dyDescent="0.25">
      <c r="A6" s="158"/>
      <c r="C6" s="385" t="s">
        <v>252</v>
      </c>
      <c r="D6" s="378">
        <f>+D5/D4</f>
        <v>1.0319975609756098</v>
      </c>
      <c r="E6" s="144">
        <f t="shared" ref="E6:N6" si="0">+E5/E4</f>
        <v>0.711803671189146</v>
      </c>
      <c r="F6" s="144">
        <f t="shared" si="0"/>
        <v>0.97156612706169831</v>
      </c>
      <c r="G6" s="144">
        <f t="shared" si="0"/>
        <v>0.99355405405405395</v>
      </c>
      <c r="H6" s="144">
        <f t="shared" si="0"/>
        <v>1.0112269841269843</v>
      </c>
      <c r="I6" s="144">
        <f t="shared" si="0"/>
        <v>0.98173405572755423</v>
      </c>
      <c r="J6" s="144">
        <f t="shared" si="0"/>
        <v>0.56489579831932768</v>
      </c>
      <c r="K6" s="144">
        <f t="shared" si="0"/>
        <v>0.7690232774674115</v>
      </c>
      <c r="L6" s="144">
        <f t="shared" si="0"/>
        <v>1.2686131313131312</v>
      </c>
      <c r="M6" s="144">
        <f t="shared" si="0"/>
        <v>1.0785717717717718</v>
      </c>
      <c r="N6" s="144">
        <f t="shared" si="0"/>
        <v>0.7978711626387982</v>
      </c>
      <c r="O6" s="144">
        <f t="shared" ref="O6:U6" si="1">+O5/O4</f>
        <v>0.90826900175131353</v>
      </c>
      <c r="P6" s="144">
        <f t="shared" si="1"/>
        <v>1.2016255072463768</v>
      </c>
      <c r="Q6" s="144">
        <f t="shared" si="1"/>
        <v>0.74653735508802066</v>
      </c>
      <c r="R6" s="144">
        <f t="shared" si="1"/>
        <v>1.215793672316384</v>
      </c>
      <c r="S6" s="144">
        <f t="shared" si="1"/>
        <v>0.97760284810126574</v>
      </c>
      <c r="T6" s="144">
        <f t="shared" si="1"/>
        <v>0.79654703770197488</v>
      </c>
      <c r="U6" s="144">
        <f t="shared" si="1"/>
        <v>0.93535294117647061</v>
      </c>
      <c r="V6" s="378">
        <f t="shared" ref="V6:W6" si="2">+V5/V4</f>
        <v>0.94908624284168586</v>
      </c>
      <c r="W6" s="372">
        <f t="shared" si="2"/>
        <v>0.93104123727461796</v>
      </c>
    </row>
    <row r="7" spans="1:29" x14ac:dyDescent="0.25">
      <c r="A7" s="158"/>
      <c r="C7" s="318"/>
      <c r="D7" s="147"/>
      <c r="E7" s="142"/>
      <c r="F7" s="142"/>
      <c r="G7" s="142"/>
      <c r="H7" s="142"/>
      <c r="I7" s="141"/>
      <c r="J7" s="141"/>
      <c r="K7" s="141"/>
      <c r="L7" s="142"/>
      <c r="M7" s="142"/>
      <c r="U7" s="143"/>
      <c r="V7" s="147"/>
      <c r="W7" s="143"/>
    </row>
    <row r="8" spans="1:29" x14ac:dyDescent="0.25">
      <c r="A8" s="158"/>
      <c r="B8" s="158" t="s">
        <v>249</v>
      </c>
      <c r="C8" s="385" t="s">
        <v>247</v>
      </c>
      <c r="D8" s="327">
        <f>+'Detailed Capacity Utilisation'!D13</f>
        <v>25</v>
      </c>
      <c r="E8" s="141">
        <f>+'Detailed Capacity Utilisation'!D97</f>
        <v>24.5</v>
      </c>
      <c r="F8" s="141">
        <f>+'Detailed Capacity Utilisation'!D176</f>
        <v>26</v>
      </c>
      <c r="G8" s="141">
        <f>+'Detailed Capacity Utilisation'!D261</f>
        <v>28</v>
      </c>
      <c r="H8" s="141">
        <f>+'Detailed Capacity Utilisation'!D348</f>
        <v>26</v>
      </c>
      <c r="I8" s="141">
        <f>'Detailed Capacity Utilisation'!D436</f>
        <v>26</v>
      </c>
      <c r="J8" s="141">
        <f>'Detailed Capacity Utilisation'!D525</f>
        <v>23</v>
      </c>
      <c r="K8" s="141">
        <f>'Detailed Capacity Utilisation'!D614</f>
        <v>24</v>
      </c>
      <c r="L8" s="145">
        <f>'Detailed Capacity Utilisation'!D703</f>
        <v>25</v>
      </c>
      <c r="M8" s="145">
        <f>'Detailed Capacity Utilisation'!D792</f>
        <v>26</v>
      </c>
      <c r="N8" s="145">
        <f>'Detailed Capacity Utilisation'!D882</f>
        <v>26</v>
      </c>
      <c r="O8" s="145">
        <f>'Detailed Capacity Utilisation'!D975</f>
        <v>24</v>
      </c>
      <c r="P8" s="145">
        <f>'Detailed Capacity Utilisation'!D1069</f>
        <v>13.5</v>
      </c>
      <c r="Q8" s="145">
        <f>'Detailed Capacity Utilisation'!D1163</f>
        <v>21</v>
      </c>
      <c r="R8" s="145">
        <f>'Detailed Capacity Utilisation'!D1258</f>
        <v>19</v>
      </c>
      <c r="S8" s="145">
        <f>'Detailed Capacity Utilisation'!D1355</f>
        <v>26</v>
      </c>
      <c r="T8" s="145">
        <f>'Detailed Capacity Utilisation'!D1455</f>
        <v>23.5</v>
      </c>
      <c r="U8" s="303">
        <f>'Detailed Capacity Utilisation'!D1557</f>
        <v>27</v>
      </c>
      <c r="V8" s="379">
        <f t="shared" ref="V8:V13" si="3">SUM(D8:I8)/6</f>
        <v>25.916666666666668</v>
      </c>
      <c r="W8" s="377">
        <f t="shared" ref="W8:W13" si="4">SUM(J8:U8)/12</f>
        <v>23.166666666666668</v>
      </c>
    </row>
    <row r="9" spans="1:29" x14ac:dyDescent="0.25">
      <c r="A9" s="158"/>
      <c r="C9" s="385" t="s">
        <v>14</v>
      </c>
      <c r="D9" s="327">
        <f>+'Detailed Capacity Utilisation'!G13</f>
        <v>22.5</v>
      </c>
      <c r="E9" s="141">
        <f>+'Detailed Capacity Utilisation'!G97</f>
        <v>24.5</v>
      </c>
      <c r="F9" s="141">
        <f>+'Detailed Capacity Utilisation'!G176</f>
        <v>25</v>
      </c>
      <c r="G9" s="141">
        <f>+'Detailed Capacity Utilisation'!G261</f>
        <v>28</v>
      </c>
      <c r="H9" s="141">
        <f>+'Detailed Capacity Utilisation'!G348</f>
        <v>26</v>
      </c>
      <c r="I9" s="141">
        <f>'Detailed Capacity Utilisation'!G436</f>
        <v>27</v>
      </c>
      <c r="J9" s="141">
        <f>'Detailed Capacity Utilisation'!G525</f>
        <v>19</v>
      </c>
      <c r="K9" s="141">
        <f>'Detailed Capacity Utilisation'!G614</f>
        <v>17.5</v>
      </c>
      <c r="L9" s="145">
        <f>'Detailed Capacity Utilisation'!G703</f>
        <v>25</v>
      </c>
      <c r="M9" s="347">
        <f>'Detailed Capacity Utilisation'!G792</f>
        <v>26.5</v>
      </c>
      <c r="N9" s="347">
        <f>'Detailed Capacity Utilisation'!G882</f>
        <v>28</v>
      </c>
      <c r="O9" s="347">
        <f>'Detailed Capacity Utilisation'!G975</f>
        <v>27</v>
      </c>
      <c r="P9" s="347">
        <f>'Detailed Capacity Utilisation'!G1069</f>
        <v>24</v>
      </c>
      <c r="Q9" s="347">
        <f>'Detailed Capacity Utilisation'!G1163</f>
        <v>21.5</v>
      </c>
      <c r="R9" s="347">
        <f>'Detailed Capacity Utilisation'!G1258</f>
        <v>25</v>
      </c>
      <c r="S9" s="347">
        <f>'Detailed Capacity Utilisation'!G1355</f>
        <v>29</v>
      </c>
      <c r="T9" s="347">
        <f>'Detailed Capacity Utilisation'!G1455</f>
        <v>24.32</v>
      </c>
      <c r="U9" s="339">
        <f>'Detailed Capacity Utilisation'!G1557</f>
        <v>25</v>
      </c>
      <c r="V9" s="379">
        <f t="shared" si="3"/>
        <v>25.5</v>
      </c>
      <c r="W9" s="377">
        <f t="shared" si="4"/>
        <v>24.318333333333332</v>
      </c>
    </row>
    <row r="10" spans="1:29" x14ac:dyDescent="0.25">
      <c r="A10" s="158"/>
      <c r="B10" s="158" t="s">
        <v>248</v>
      </c>
      <c r="C10" s="385" t="s">
        <v>247</v>
      </c>
      <c r="D10" s="327">
        <f>+'Detailed Capacity Utilisation'!D14</f>
        <v>3</v>
      </c>
      <c r="E10" s="141">
        <f>+'Detailed Capacity Utilisation'!D98</f>
        <v>2.5</v>
      </c>
      <c r="F10" s="141">
        <f>+'Detailed Capacity Utilisation'!D177</f>
        <v>0</v>
      </c>
      <c r="G10" s="141">
        <f>+'Detailed Capacity Utilisation'!D262</f>
        <v>0</v>
      </c>
      <c r="H10" s="141">
        <f>+'Detailed Capacity Utilisation'!D349</f>
        <v>0</v>
      </c>
      <c r="I10" s="141"/>
      <c r="J10" s="141">
        <f>'Detailed Capacity Utilisation'!D526</f>
        <v>3</v>
      </c>
      <c r="K10" s="141">
        <f>'Detailed Capacity Utilisation'!D615</f>
        <v>3.5</v>
      </c>
      <c r="L10" s="142">
        <v>0</v>
      </c>
      <c r="M10" s="145">
        <f>'Detailed Capacity Utilisation'!D793</f>
        <v>0</v>
      </c>
      <c r="N10" s="145">
        <f>'Detailed Capacity Utilisation'!D883</f>
        <v>0</v>
      </c>
      <c r="O10" s="145"/>
      <c r="P10" s="145"/>
      <c r="Q10" s="145">
        <f>'Detailed Capacity Utilisation'!D1164</f>
        <v>6</v>
      </c>
      <c r="R10" s="145"/>
      <c r="S10" s="145"/>
      <c r="T10" s="145"/>
      <c r="U10" s="303"/>
      <c r="V10" s="379">
        <f t="shared" si="3"/>
        <v>0.91666666666666663</v>
      </c>
      <c r="W10" s="377">
        <f t="shared" si="4"/>
        <v>1.0416666666666667</v>
      </c>
    </row>
    <row r="11" spans="1:29" x14ac:dyDescent="0.25">
      <c r="A11" s="158"/>
      <c r="C11" s="385" t="s">
        <v>14</v>
      </c>
      <c r="D11" s="327">
        <f>+'Detailed Capacity Utilisation'!G14</f>
        <v>6</v>
      </c>
      <c r="E11" s="141">
        <f>+'Detailed Capacity Utilisation'!G98</f>
        <v>3</v>
      </c>
      <c r="F11" s="141">
        <f>+'Detailed Capacity Utilisation'!G177</f>
        <v>3</v>
      </c>
      <c r="G11" s="141">
        <f>+'Detailed Capacity Utilisation'!G262</f>
        <v>0</v>
      </c>
      <c r="H11" s="141">
        <f>+'Detailed Capacity Utilisation'!G349</f>
        <v>0</v>
      </c>
      <c r="I11" s="141"/>
      <c r="J11" s="141">
        <f>'Detailed Capacity Utilisation'!G526</f>
        <v>7</v>
      </c>
      <c r="K11" s="141">
        <f>'Detailed Capacity Utilisation'!G615</f>
        <v>11</v>
      </c>
      <c r="L11" s="145">
        <f>'Detailed Capacity Utilisation'!G704</f>
        <v>3.1625000000000001</v>
      </c>
      <c r="M11" s="145">
        <f>'Detailed Capacity Utilisation'!F793</f>
        <v>0</v>
      </c>
      <c r="N11" s="145">
        <f>'Detailed Capacity Utilisation'!G883</f>
        <v>0</v>
      </c>
      <c r="O11" s="145"/>
      <c r="P11" s="145"/>
      <c r="Q11" s="145">
        <f>'Detailed Capacity Utilisation'!G1164</f>
        <v>6</v>
      </c>
      <c r="R11" s="145"/>
      <c r="S11" s="145"/>
      <c r="T11" s="145"/>
      <c r="U11" s="303"/>
      <c r="V11" s="379">
        <f t="shared" si="3"/>
        <v>2</v>
      </c>
      <c r="W11" s="377">
        <f t="shared" si="4"/>
        <v>2.2635416666666668</v>
      </c>
    </row>
    <row r="12" spans="1:29" x14ac:dyDescent="0.25">
      <c r="A12" s="158"/>
      <c r="B12" s="158" t="s">
        <v>433</v>
      </c>
      <c r="C12" s="385" t="s">
        <v>247</v>
      </c>
      <c r="D12" s="327">
        <f>+'Detailed Capacity Utilisation'!D15</f>
        <v>3</v>
      </c>
      <c r="E12" s="141">
        <f>+'Detailed Capacity Utilisation'!D99</f>
        <v>3</v>
      </c>
      <c r="F12" s="141">
        <f>+'Detailed Capacity Utilisation'!D178</f>
        <v>5</v>
      </c>
      <c r="G12" s="141">
        <f>+'Detailed Capacity Utilisation'!D263</f>
        <v>3</v>
      </c>
      <c r="H12" s="141">
        <f>+'Detailed Capacity Utilisation'!D350</f>
        <v>3</v>
      </c>
      <c r="I12" s="145">
        <f>'Detailed Capacity Utilisation'!D438</f>
        <v>5</v>
      </c>
      <c r="J12" s="145">
        <f>'Detailed Capacity Utilisation'!D527</f>
        <v>4</v>
      </c>
      <c r="K12" s="145">
        <f>'Detailed Capacity Utilisation'!D616</f>
        <v>3.5</v>
      </c>
      <c r="L12" s="145">
        <f>'Detailed Capacity Utilisation'!D705</f>
        <v>5</v>
      </c>
      <c r="M12" s="347">
        <f>'Detailed Capacity Utilisation'!D794</f>
        <v>5</v>
      </c>
      <c r="N12" s="347">
        <f>'Detailed Capacity Utilisation'!D884</f>
        <v>5</v>
      </c>
      <c r="O12" s="347">
        <f>'Detailed Capacity Utilisation'!D977</f>
        <v>6</v>
      </c>
      <c r="P12" s="347">
        <f>'Detailed Capacity Utilisation'!D1071</f>
        <v>17.5</v>
      </c>
      <c r="Q12" s="145">
        <f>'Detailed Capacity Utilisation'!D1165</f>
        <v>3</v>
      </c>
      <c r="R12" s="347">
        <f>'Detailed Capacity Utilisation'!D1260</f>
        <v>12</v>
      </c>
      <c r="S12" s="347">
        <f>'Detailed Capacity Utilisation'!D1357</f>
        <v>5</v>
      </c>
      <c r="T12" s="347">
        <f>'Detailed Capacity Utilisation'!D1457</f>
        <v>4.5</v>
      </c>
      <c r="U12" s="339">
        <f>'Detailed Capacity Utilisation'!D1559</f>
        <v>4</v>
      </c>
      <c r="V12" s="379">
        <f t="shared" si="3"/>
        <v>3.6666666666666665</v>
      </c>
      <c r="W12" s="377">
        <f t="shared" si="4"/>
        <v>6.208333333333333</v>
      </c>
    </row>
    <row r="13" spans="1:29" x14ac:dyDescent="0.25">
      <c r="A13" s="158"/>
      <c r="B13" s="158"/>
      <c r="C13" s="385" t="s">
        <v>14</v>
      </c>
      <c r="D13" s="327">
        <f>+'Detailed Capacity Utilisation'!G15</f>
        <v>3</v>
      </c>
      <c r="E13" s="141">
        <f>+'Detailed Capacity Utilisation'!G99</f>
        <v>2.5</v>
      </c>
      <c r="F13" s="141">
        <f>+'Detailed Capacity Utilisation'!G178</f>
        <v>3</v>
      </c>
      <c r="G13" s="141">
        <f>+'Detailed Capacity Utilisation'!G263</f>
        <v>3</v>
      </c>
      <c r="H13" s="141">
        <f>+'Detailed Capacity Utilisation'!G350</f>
        <v>3</v>
      </c>
      <c r="I13" s="145">
        <f>'Detailed Capacity Utilisation'!G438</f>
        <v>4</v>
      </c>
      <c r="J13" s="145">
        <f>'Detailed Capacity Utilisation'!G527</f>
        <v>4</v>
      </c>
      <c r="K13" s="145">
        <f>'Detailed Capacity Utilisation'!G616</f>
        <v>2.5</v>
      </c>
      <c r="L13" s="145">
        <f>'Detailed Capacity Utilisation'!G705</f>
        <v>1.8374999999999986</v>
      </c>
      <c r="M13" s="347">
        <f>'Detailed Capacity Utilisation'!G794</f>
        <v>4.5</v>
      </c>
      <c r="N13" s="347">
        <f>'Detailed Capacity Utilisation'!G884</f>
        <v>3</v>
      </c>
      <c r="O13" s="347">
        <f>'Detailed Capacity Utilisation'!G977</f>
        <v>3</v>
      </c>
      <c r="P13" s="347">
        <f>'Detailed Capacity Utilisation'!G1071</f>
        <v>7</v>
      </c>
      <c r="Q13" s="145">
        <f>'Detailed Capacity Utilisation'!G1165</f>
        <v>2.5</v>
      </c>
      <c r="R13" s="347">
        <f>'Detailed Capacity Utilisation'!G1260</f>
        <v>6</v>
      </c>
      <c r="S13" s="347">
        <f>'Detailed Capacity Utilisation'!G1357</f>
        <v>2</v>
      </c>
      <c r="T13" s="347">
        <f>'Detailed Capacity Utilisation'!G1457</f>
        <v>3.6799999999999997</v>
      </c>
      <c r="U13" s="339">
        <f>'Detailed Capacity Utilisation'!G1559</f>
        <v>6</v>
      </c>
      <c r="V13" s="379">
        <f t="shared" si="3"/>
        <v>3.0833333333333335</v>
      </c>
      <c r="W13" s="377">
        <f t="shared" si="4"/>
        <v>3.8347916666666664</v>
      </c>
    </row>
    <row r="14" spans="1:29" x14ac:dyDescent="0.25">
      <c r="A14" s="158"/>
      <c r="B14" s="158"/>
      <c r="C14" s="385"/>
      <c r="D14" s="147"/>
      <c r="E14" s="142"/>
      <c r="F14" s="142"/>
      <c r="G14" s="142"/>
      <c r="H14" s="142"/>
      <c r="I14" s="142"/>
      <c r="J14" s="142"/>
      <c r="K14" s="142"/>
      <c r="L14" s="142"/>
      <c r="M14" s="142"/>
      <c r="Q14" s="347"/>
      <c r="U14" s="143"/>
      <c r="V14" s="147"/>
      <c r="W14" s="143"/>
    </row>
    <row r="15" spans="1:29" x14ac:dyDescent="0.25">
      <c r="A15" s="158"/>
      <c r="B15" s="158" t="s">
        <v>253</v>
      </c>
      <c r="C15" s="385" t="s">
        <v>247</v>
      </c>
      <c r="D15" s="383">
        <f>+'Detailed Capacity Utilisation'!C5</f>
        <v>3100</v>
      </c>
      <c r="E15" s="145">
        <f>+'Detailed Capacity Utilisation'!C89</f>
        <v>3700</v>
      </c>
      <c r="F15" s="145">
        <f>+'Detailed Capacity Utilisation'!C168</f>
        <v>3300</v>
      </c>
      <c r="G15" s="145">
        <f>+'Detailed Capacity Utilisation'!C253</f>
        <v>4130</v>
      </c>
      <c r="H15" s="145">
        <f>+'Detailed Capacity Utilisation'!C340</f>
        <v>3520</v>
      </c>
      <c r="I15" s="145">
        <f>'Detailed Capacity Utilisation'!C429</f>
        <v>3380</v>
      </c>
      <c r="J15" s="145">
        <f>'Detailed Capacity Utilisation'!C518</f>
        <v>2650</v>
      </c>
      <c r="K15" s="145">
        <f>'Detailed Capacity Utilisation'!C607</f>
        <v>3570</v>
      </c>
      <c r="L15" s="145">
        <f>'Detailed Capacity Utilisation'!C696</f>
        <v>2150</v>
      </c>
      <c r="M15" s="145">
        <f>'Detailed Capacity Utilisation'!C785</f>
        <v>3500</v>
      </c>
      <c r="N15" s="145">
        <f>'Detailed Capacity Utilisation'!C875</f>
        <v>3854</v>
      </c>
      <c r="O15" s="145">
        <f>'Detailed Capacity Utilisation'!C968</f>
        <v>4010</v>
      </c>
      <c r="P15" s="145">
        <f>'Detailed Capacity Utilisation'!C1062</f>
        <v>2250</v>
      </c>
      <c r="Q15" s="145">
        <f>'Detailed Capacity Utilisation'!C1156</f>
        <v>3350</v>
      </c>
      <c r="R15" s="145">
        <f>'Detailed Capacity Utilisation'!C1251</f>
        <v>3100</v>
      </c>
      <c r="S15" s="145">
        <f>'Detailed Capacity Utilisation'!C1348</f>
        <v>3470</v>
      </c>
      <c r="T15" s="145">
        <f>'Detailed Capacity Utilisation'!C1448</f>
        <v>2980</v>
      </c>
      <c r="U15" s="303">
        <f>'Detailed Capacity Utilisation'!C1550</f>
        <v>3050</v>
      </c>
      <c r="V15" s="326">
        <f>SUM(D15:I15)/6</f>
        <v>3521.6666666666665</v>
      </c>
      <c r="W15" s="377">
        <f t="shared" ref="W15:W31" si="5">SUM(J15:U15)/12</f>
        <v>3161.1666666666665</v>
      </c>
    </row>
    <row r="16" spans="1:29" x14ac:dyDescent="0.25">
      <c r="A16" s="158"/>
      <c r="B16" s="158"/>
      <c r="C16" s="385" t="s">
        <v>14</v>
      </c>
      <c r="D16" s="383">
        <f>+'Detailed Capacity Utilisation'!F5</f>
        <v>3397.4879999999998</v>
      </c>
      <c r="E16" s="145">
        <f>+'Detailed Capacity Utilisation'!F89</f>
        <v>2041.29</v>
      </c>
      <c r="F16" s="145">
        <f>+'Detailed Capacity Utilisation'!F168</f>
        <v>2213.0149999999999</v>
      </c>
      <c r="G16" s="145">
        <f>+'Detailed Capacity Utilisation'!F253</f>
        <v>3326.5899999999997</v>
      </c>
      <c r="H16" s="145">
        <f>+'Detailed Capacity Utilisation'!F340</f>
        <v>3623.02</v>
      </c>
      <c r="I16" s="145">
        <f>'Detailed Capacity Utilisation'!F429</f>
        <v>2742.2219999999998</v>
      </c>
      <c r="J16" s="145">
        <f>'Detailed Capacity Utilisation'!F518</f>
        <v>1246.1139999999998</v>
      </c>
      <c r="K16" s="145">
        <f>'Detailed Capacity Utilisation'!F607</f>
        <v>3316.482</v>
      </c>
      <c r="L16" s="145">
        <f>'Detailed Capacity Utilisation'!F696</f>
        <v>2421.37</v>
      </c>
      <c r="M16" s="145">
        <f>'Detailed Capacity Utilisation'!F785</f>
        <v>4446.0050000000001</v>
      </c>
      <c r="N16" s="145">
        <f>'Detailed Capacity Utilisation'!F875</f>
        <v>2105.5030000000002</v>
      </c>
      <c r="O16" s="145">
        <f>'Detailed Capacity Utilisation'!F968</f>
        <v>3618.1899999999996</v>
      </c>
      <c r="P16" s="145">
        <f>'Detailed Capacity Utilisation'!F1062</f>
        <v>3273.1810000000005</v>
      </c>
      <c r="Q16" s="145">
        <f>'Detailed Capacity Utilisation'!F1156</f>
        <v>1826.5999999999997</v>
      </c>
      <c r="R16" s="145">
        <f>'Detailed Capacity Utilisation'!F1251</f>
        <v>3648.529</v>
      </c>
      <c r="S16" s="145">
        <f>'Detailed Capacity Utilisation'!F1348</f>
        <v>2904.41</v>
      </c>
      <c r="T16" s="145">
        <f>'Detailed Capacity Utilisation'!F1448</f>
        <v>2189.5600000000004</v>
      </c>
      <c r="U16" s="303">
        <f>'Detailed Capacity Utilisation'!F1550</f>
        <v>3109.7200000000003</v>
      </c>
      <c r="V16" s="326">
        <f>SUM(D16:I16)/6</f>
        <v>2890.6041666666665</v>
      </c>
      <c r="W16" s="377">
        <f t="shared" si="5"/>
        <v>2842.1386666666663</v>
      </c>
    </row>
    <row r="17" spans="1:29" x14ac:dyDescent="0.25">
      <c r="A17" s="158"/>
      <c r="C17" s="385" t="s">
        <v>256</v>
      </c>
      <c r="D17" s="383">
        <f>+'Detailed Capacity Utilisation'!D5</f>
        <v>13</v>
      </c>
      <c r="E17" s="145">
        <f>+'Detailed Capacity Utilisation'!D89</f>
        <v>12</v>
      </c>
      <c r="F17" s="145">
        <f>+'Detailed Capacity Utilisation'!D168</f>
        <v>11</v>
      </c>
      <c r="G17" s="145">
        <f>+'Detailed Capacity Utilisation'!D253</f>
        <v>13</v>
      </c>
      <c r="H17" s="145">
        <f>+'Detailed Capacity Utilisation'!D340</f>
        <v>13</v>
      </c>
      <c r="I17" s="145">
        <f>'Detailed Capacity Utilisation'!D429</f>
        <v>12</v>
      </c>
      <c r="J17" s="145">
        <f>'Detailed Capacity Utilisation'!D518</f>
        <v>10</v>
      </c>
      <c r="K17" s="145">
        <f>'Detailed Capacity Utilisation'!D607</f>
        <v>13</v>
      </c>
      <c r="L17" s="145">
        <f>'Detailed Capacity Utilisation'!D696</f>
        <v>10</v>
      </c>
      <c r="M17" s="145">
        <f>'Detailed Capacity Utilisation'!D785</f>
        <v>10</v>
      </c>
      <c r="N17" s="145">
        <f>'Detailed Capacity Utilisation'!D875</f>
        <v>11</v>
      </c>
      <c r="O17" s="145">
        <f>'Detailed Capacity Utilisation'!D968</f>
        <v>14</v>
      </c>
      <c r="P17" s="145">
        <f>'Detailed Capacity Utilisation'!D1062</f>
        <v>7</v>
      </c>
      <c r="Q17" s="145">
        <f>'Detailed Capacity Utilisation'!D1156</f>
        <v>13</v>
      </c>
      <c r="R17" s="145">
        <f>'Detailed Capacity Utilisation'!D1251</f>
        <v>10.5</v>
      </c>
      <c r="S17" s="145">
        <f>'Detailed Capacity Utilisation'!D1348</f>
        <v>11</v>
      </c>
      <c r="T17" s="145">
        <f>'Detailed Capacity Utilisation'!D1448</f>
        <v>9</v>
      </c>
      <c r="U17" s="303">
        <f>'Detailed Capacity Utilisation'!D1550</f>
        <v>12</v>
      </c>
      <c r="V17" s="380">
        <f>SUM(D17:I17)/6</f>
        <v>12.333333333333334</v>
      </c>
      <c r="W17" s="377">
        <f t="shared" si="5"/>
        <v>10.875</v>
      </c>
      <c r="X17" s="327">
        <f>+V15/V17</f>
        <v>285.54054054054052</v>
      </c>
      <c r="AA17" s="327">
        <f>+W15/W17</f>
        <v>290.68199233716473</v>
      </c>
    </row>
    <row r="18" spans="1:29" x14ac:dyDescent="0.25">
      <c r="A18" s="158"/>
      <c r="C18" s="385" t="s">
        <v>257</v>
      </c>
      <c r="D18" s="383">
        <f>+'Detailed Capacity Utilisation'!G5</f>
        <v>13.5</v>
      </c>
      <c r="E18" s="145">
        <f>+'Detailed Capacity Utilisation'!G89</f>
        <v>9</v>
      </c>
      <c r="F18" s="145">
        <f>+'Detailed Capacity Utilisation'!G168</f>
        <v>7</v>
      </c>
      <c r="G18" s="145">
        <f>+'Detailed Capacity Utilisation'!G253</f>
        <v>10</v>
      </c>
      <c r="H18" s="145">
        <f>+'Detailed Capacity Utilisation'!G340</f>
        <v>13</v>
      </c>
      <c r="I18" s="145">
        <f>'Detailed Capacity Utilisation'!G429</f>
        <v>10</v>
      </c>
      <c r="J18" s="145">
        <f>'Detailed Capacity Utilisation'!G518</f>
        <v>7</v>
      </c>
      <c r="K18" s="145">
        <f>'Detailed Capacity Utilisation'!G607</f>
        <v>12</v>
      </c>
      <c r="L18" s="145">
        <f>'Detailed Capacity Utilisation'!G696</f>
        <v>8</v>
      </c>
      <c r="M18" s="145">
        <f>'Detailed Capacity Utilisation'!G785</f>
        <v>13.5</v>
      </c>
      <c r="N18" s="145">
        <f>'Detailed Capacity Utilisation'!G875</f>
        <v>6</v>
      </c>
      <c r="O18" s="145">
        <f>'Detailed Capacity Utilisation'!G968</f>
        <v>17</v>
      </c>
      <c r="P18" s="145">
        <f>'Detailed Capacity Utilisation'!G1062</f>
        <v>16</v>
      </c>
      <c r="Q18" s="145">
        <f>'Detailed Capacity Utilisation'!G1156</f>
        <v>11</v>
      </c>
      <c r="R18" s="145">
        <f>'Detailed Capacity Utilisation'!G1251</f>
        <v>13</v>
      </c>
      <c r="S18" s="145">
        <f>'Detailed Capacity Utilisation'!G1348</f>
        <v>10</v>
      </c>
      <c r="T18" s="145">
        <f>'Detailed Capacity Utilisation'!G1448</f>
        <v>9</v>
      </c>
      <c r="U18" s="303">
        <f>'Detailed Capacity Utilisation'!G1550</f>
        <v>13</v>
      </c>
      <c r="V18" s="380">
        <f>SUM(D18:I18)/6</f>
        <v>10.416666666666666</v>
      </c>
      <c r="W18" s="377">
        <f t="shared" si="5"/>
        <v>11.291666666666666</v>
      </c>
      <c r="X18" s="327">
        <f>+V16/V18</f>
        <v>277.49799999999999</v>
      </c>
      <c r="Y18" s="142">
        <v>400</v>
      </c>
      <c r="Z18" s="146">
        <f>+X18/Y18</f>
        <v>0.69374499999999995</v>
      </c>
      <c r="AA18" s="327">
        <f>+W16/W18</f>
        <v>251.70231734317341</v>
      </c>
      <c r="AB18" s="142">
        <v>400</v>
      </c>
      <c r="AC18" s="146">
        <f>+AA18/AB18</f>
        <v>0.62925579335793347</v>
      </c>
    </row>
    <row r="19" spans="1:29" x14ac:dyDescent="0.25">
      <c r="A19" s="158"/>
      <c r="C19" s="385" t="s">
        <v>255</v>
      </c>
      <c r="D19" s="147">
        <v>2</v>
      </c>
      <c r="E19" s="142">
        <v>1</v>
      </c>
      <c r="F19" s="142">
        <v>2</v>
      </c>
      <c r="G19" s="142">
        <v>2</v>
      </c>
      <c r="H19" s="142">
        <v>2</v>
      </c>
      <c r="I19" s="248">
        <v>2</v>
      </c>
      <c r="J19" s="248">
        <v>2</v>
      </c>
      <c r="K19" s="248">
        <v>2</v>
      </c>
      <c r="L19" s="142">
        <v>2</v>
      </c>
      <c r="M19" s="142">
        <v>2</v>
      </c>
      <c r="N19" s="142">
        <v>1</v>
      </c>
      <c r="O19" s="142">
        <v>2</v>
      </c>
      <c r="P19" s="142">
        <v>2</v>
      </c>
      <c r="U19" s="143"/>
      <c r="V19" s="380">
        <f>SUM(D19:I19)/6</f>
        <v>1.8333333333333333</v>
      </c>
      <c r="W19" s="377">
        <f t="shared" si="5"/>
        <v>1.0833333333333333</v>
      </c>
    </row>
    <row r="20" spans="1:29" x14ac:dyDescent="0.25">
      <c r="A20" s="158"/>
      <c r="C20" s="385"/>
      <c r="D20" s="147"/>
      <c r="E20" s="142"/>
      <c r="F20" s="142"/>
      <c r="G20" s="142"/>
      <c r="H20" s="142"/>
      <c r="I20" s="142"/>
      <c r="J20" s="142"/>
      <c r="K20" s="142"/>
      <c r="L20" s="142"/>
      <c r="M20" s="142"/>
      <c r="U20" s="143"/>
      <c r="V20" s="147"/>
      <c r="W20" s="143"/>
    </row>
    <row r="21" spans="1:29" x14ac:dyDescent="0.25">
      <c r="A21" s="158"/>
      <c r="B21" s="158" t="s">
        <v>333</v>
      </c>
      <c r="C21" s="385" t="s">
        <v>247</v>
      </c>
      <c r="D21" s="383">
        <f>+'Detailed Capacity Utilisation'!C8</f>
        <v>1120</v>
      </c>
      <c r="E21" s="145">
        <f>+'Detailed Capacity Utilisation'!C92</f>
        <v>1915</v>
      </c>
      <c r="F21" s="145">
        <f>+'Detailed Capacity Utilisation'!C171</f>
        <v>1948</v>
      </c>
      <c r="G21" s="145">
        <f>+'Detailed Capacity Utilisation'!C256</f>
        <v>2820</v>
      </c>
      <c r="H21" s="145">
        <f>+'Detailed Capacity Utilisation'!C343</f>
        <v>1750</v>
      </c>
      <c r="I21" s="145">
        <f>'Detailed Capacity Utilisation'!C431</f>
        <v>2260</v>
      </c>
      <c r="J21" s="145">
        <f>'Detailed Capacity Utilisation'!C520</f>
        <v>1330</v>
      </c>
      <c r="K21" s="145">
        <f>'Detailed Capacity Utilisation'!C609</f>
        <v>1300</v>
      </c>
      <c r="L21" s="145">
        <f>'Detailed Capacity Utilisation'!C698</f>
        <v>2200</v>
      </c>
      <c r="M21" s="145">
        <f>'Detailed Capacity Utilisation'!C787</f>
        <v>2550</v>
      </c>
      <c r="N21" s="145">
        <f>'Detailed Capacity Utilisation'!C877</f>
        <v>700</v>
      </c>
      <c r="O21" s="145">
        <f>'Detailed Capacity Utilisation'!C970</f>
        <v>1000</v>
      </c>
      <c r="P21" s="145">
        <f>'Detailed Capacity Utilisation'!C1064</f>
        <v>800</v>
      </c>
      <c r="Q21" s="145">
        <f>'Detailed Capacity Utilisation'!C1158</f>
        <v>1308</v>
      </c>
      <c r="R21" s="145">
        <f>'Detailed Capacity Utilisation'!C1253</f>
        <v>600</v>
      </c>
      <c r="S21" s="145">
        <f>'Detailed Capacity Utilisation'!C1350</f>
        <v>1750</v>
      </c>
      <c r="T21" s="145">
        <f>'Detailed Capacity Utilisation'!C1450</f>
        <v>1675</v>
      </c>
      <c r="U21" s="303">
        <f>'Detailed Capacity Utilisation'!C1552</f>
        <v>1900</v>
      </c>
      <c r="V21" s="326">
        <f>SUM(D21:I21)/6</f>
        <v>1968.8333333333333</v>
      </c>
      <c r="W21" s="377">
        <f t="shared" si="5"/>
        <v>1426.0833333333333</v>
      </c>
    </row>
    <row r="22" spans="1:29" x14ac:dyDescent="0.25">
      <c r="A22" s="158"/>
      <c r="B22" s="158"/>
      <c r="C22" s="385" t="s">
        <v>14</v>
      </c>
      <c r="D22" s="383">
        <f>+'Detailed Capacity Utilisation'!F8</f>
        <v>1634.9400000000003</v>
      </c>
      <c r="E22" s="145">
        <f>+'Detailed Capacity Utilisation'!F92</f>
        <v>1646.82</v>
      </c>
      <c r="F22" s="145">
        <f>+'Detailed Capacity Utilisation'!F171</f>
        <v>2613.9300000000003</v>
      </c>
      <c r="G22" s="145">
        <f>+'Detailed Capacity Utilisation'!F256</f>
        <v>3566.69</v>
      </c>
      <c r="H22" s="145">
        <f>+'Detailed Capacity Utilisation'!F343</f>
        <v>1784.2700000000002</v>
      </c>
      <c r="I22" s="145">
        <f>'Detailed Capacity Utilisation'!F431</f>
        <v>2502.4300000000003</v>
      </c>
      <c r="J22" s="145">
        <f>'Detailed Capacity Utilisation'!F520</f>
        <v>521.44000000000005</v>
      </c>
      <c r="K22" s="145">
        <f>'Detailed Capacity Utilisation'!F609</f>
        <v>317.52000000000004</v>
      </c>
      <c r="L22" s="145">
        <f>'Detailed Capacity Utilisation'!F698</f>
        <v>2951.62</v>
      </c>
      <c r="M22" s="145">
        <f>'Detailed Capacity Utilisation'!F787</f>
        <v>2519.61</v>
      </c>
      <c r="N22" s="145">
        <f>'Detailed Capacity Utilisation'!F877</f>
        <v>1291.27</v>
      </c>
      <c r="O22" s="145">
        <f>'Detailed Capacity Utilisation'!F970</f>
        <v>783.54600000000005</v>
      </c>
      <c r="P22" s="145">
        <f>'Detailed Capacity Utilisation'!F1064</f>
        <v>0</v>
      </c>
      <c r="Q22" s="145">
        <f>'Detailed Capacity Utilisation'!F1158</f>
        <v>1650.7710000000002</v>
      </c>
      <c r="R22" s="145">
        <f>'Detailed Capacity Utilisation'!F1253</f>
        <v>695.46</v>
      </c>
      <c r="S22" s="145">
        <f>'Detailed Capacity Utilisation'!F1350</f>
        <v>1975.31</v>
      </c>
      <c r="T22" s="145">
        <f>'Detailed Capacity Utilisation'!F1450</f>
        <v>1736.7399999999998</v>
      </c>
      <c r="U22" s="303">
        <f>'Detailed Capacity Utilisation'!F1552</f>
        <v>1846.5000000000002</v>
      </c>
      <c r="V22" s="326">
        <f>SUM(D22:I22)/6</f>
        <v>2291.5133333333338</v>
      </c>
      <c r="W22" s="377">
        <f t="shared" si="5"/>
        <v>1357.48225</v>
      </c>
    </row>
    <row r="23" spans="1:29" x14ac:dyDescent="0.25">
      <c r="A23" s="158"/>
      <c r="C23" s="385" t="s">
        <v>256</v>
      </c>
      <c r="D23" s="383">
        <f>+'Detailed Capacity Utilisation'!D8</f>
        <v>6</v>
      </c>
      <c r="E23" s="145">
        <f>+'Detailed Capacity Utilisation'!D92</f>
        <v>7.5</v>
      </c>
      <c r="F23" s="145">
        <f>+'Detailed Capacity Utilisation'!D171</f>
        <v>9</v>
      </c>
      <c r="G23" s="145">
        <f>+'Detailed Capacity Utilisation'!D256</f>
        <v>12</v>
      </c>
      <c r="H23" s="145">
        <f>+'Detailed Capacity Utilisation'!D343</f>
        <v>8</v>
      </c>
      <c r="I23" s="145">
        <f>'Detailed Capacity Utilisation'!D431</f>
        <v>10</v>
      </c>
      <c r="J23" s="145">
        <f>'Detailed Capacity Utilisation'!D520</f>
        <v>7</v>
      </c>
      <c r="K23" s="145">
        <f>'Detailed Capacity Utilisation'!D609</f>
        <v>7</v>
      </c>
      <c r="L23" s="145">
        <f>'Detailed Capacity Utilisation'!D698</f>
        <v>11</v>
      </c>
      <c r="M23" s="145">
        <f>'Detailed Capacity Utilisation'!D787</f>
        <v>11</v>
      </c>
      <c r="N23" s="145">
        <f>'Detailed Capacity Utilisation'!D877</f>
        <v>4</v>
      </c>
      <c r="O23" s="145">
        <f>'Detailed Capacity Utilisation'!D970</f>
        <v>6</v>
      </c>
      <c r="P23" s="145">
        <f>'Detailed Capacity Utilisation'!D1064</f>
        <v>4</v>
      </c>
      <c r="Q23" s="145">
        <f>'Detailed Capacity Utilisation'!D1158</f>
        <v>8</v>
      </c>
      <c r="R23" s="145">
        <f>'Detailed Capacity Utilisation'!D1253</f>
        <v>3</v>
      </c>
      <c r="S23" s="145">
        <f>'Detailed Capacity Utilisation'!D1350</f>
        <v>8</v>
      </c>
      <c r="T23" s="145">
        <f>'Detailed Capacity Utilisation'!D1450</f>
        <v>8</v>
      </c>
      <c r="U23" s="303">
        <f>'Detailed Capacity Utilisation'!D1552</f>
        <v>9</v>
      </c>
      <c r="V23" s="380">
        <f>SUM(D23:I23)/6</f>
        <v>8.75</v>
      </c>
      <c r="W23" s="377">
        <f t="shared" si="5"/>
        <v>7.166666666666667</v>
      </c>
      <c r="X23" s="327">
        <f>+V21/V23</f>
        <v>225.00952380952381</v>
      </c>
      <c r="AA23" s="327">
        <f>+W21/W23</f>
        <v>198.98837209302323</v>
      </c>
    </row>
    <row r="24" spans="1:29" x14ac:dyDescent="0.25">
      <c r="A24" s="158"/>
      <c r="C24" s="385" t="s">
        <v>257</v>
      </c>
      <c r="D24" s="383">
        <f>+'Detailed Capacity Utilisation'!G8</f>
        <v>8</v>
      </c>
      <c r="E24" s="145">
        <f>+'Detailed Capacity Utilisation'!G92</f>
        <v>9</v>
      </c>
      <c r="F24" s="145">
        <f>+'Detailed Capacity Utilisation'!G171</f>
        <v>11</v>
      </c>
      <c r="G24" s="145">
        <f>+'Detailed Capacity Utilisation'!G256</f>
        <v>15</v>
      </c>
      <c r="H24" s="145">
        <f>+'Detailed Capacity Utilisation'!G343</f>
        <v>7.5</v>
      </c>
      <c r="I24" s="145">
        <f>'Detailed Capacity Utilisation'!G431</f>
        <v>12</v>
      </c>
      <c r="J24" s="145">
        <f>'Detailed Capacity Utilisation'!G520</f>
        <v>3</v>
      </c>
      <c r="K24" s="145">
        <f>'Detailed Capacity Utilisation'!G609</f>
        <v>2</v>
      </c>
      <c r="L24" s="145">
        <f>'Detailed Capacity Utilisation'!G698</f>
        <v>12</v>
      </c>
      <c r="M24" s="145">
        <f>'Detailed Capacity Utilisation'!G787</f>
        <v>11</v>
      </c>
      <c r="N24" s="145">
        <f>'Detailed Capacity Utilisation'!G877</f>
        <v>8</v>
      </c>
      <c r="O24" s="145">
        <f>'Detailed Capacity Utilisation'!G970</f>
        <v>6</v>
      </c>
      <c r="P24" s="145"/>
      <c r="Q24" s="145">
        <f>'Detailed Capacity Utilisation'!G1158</f>
        <v>10.5</v>
      </c>
      <c r="R24" s="145">
        <f>'Detailed Capacity Utilisation'!G1253</f>
        <v>4</v>
      </c>
      <c r="S24" s="145">
        <f>'Detailed Capacity Utilisation'!G1350</f>
        <v>10</v>
      </c>
      <c r="T24" s="145">
        <f>'Detailed Capacity Utilisation'!G1450</f>
        <v>11</v>
      </c>
      <c r="U24" s="303">
        <f>'Detailed Capacity Utilisation'!G1552</f>
        <v>9</v>
      </c>
      <c r="V24" s="380">
        <f>SUM(D24:I24)/6</f>
        <v>10.416666666666666</v>
      </c>
      <c r="W24" s="377">
        <f t="shared" si="5"/>
        <v>7.208333333333333</v>
      </c>
      <c r="X24" s="327">
        <f>+V22/V24</f>
        <v>219.98528000000005</v>
      </c>
      <c r="Y24" s="142">
        <v>280</v>
      </c>
      <c r="Z24" s="146">
        <f>+X24/Y24</f>
        <v>0.78566171428571441</v>
      </c>
      <c r="AA24" s="327">
        <f>+W22/W24</f>
        <v>188.32123699421967</v>
      </c>
      <c r="AB24" s="142">
        <v>280</v>
      </c>
      <c r="AC24" s="146">
        <f>+AA24/AB24</f>
        <v>0.67257584640792745</v>
      </c>
    </row>
    <row r="25" spans="1:29" x14ac:dyDescent="0.25">
      <c r="A25" s="158"/>
      <c r="C25" s="385" t="s">
        <v>255</v>
      </c>
      <c r="D25" s="147">
        <v>1</v>
      </c>
      <c r="E25" s="142">
        <v>1</v>
      </c>
      <c r="F25" s="142">
        <v>1</v>
      </c>
      <c r="G25" s="142">
        <v>1</v>
      </c>
      <c r="H25" s="142">
        <v>1</v>
      </c>
      <c r="I25" s="248">
        <v>2</v>
      </c>
      <c r="J25" s="248">
        <v>1</v>
      </c>
      <c r="K25" s="248">
        <v>1</v>
      </c>
      <c r="L25" s="142">
        <v>2</v>
      </c>
      <c r="M25" s="142">
        <v>1</v>
      </c>
      <c r="N25" s="142">
        <v>1</v>
      </c>
      <c r="O25" s="142">
        <v>1</v>
      </c>
      <c r="P25" s="142">
        <v>0</v>
      </c>
      <c r="U25" s="143"/>
      <c r="V25" s="380">
        <f>SUM(D25:I25)/6</f>
        <v>1.1666666666666667</v>
      </c>
      <c r="W25" s="377">
        <f t="shared" si="5"/>
        <v>0.58333333333333337</v>
      </c>
    </row>
    <row r="26" spans="1:29" x14ac:dyDescent="0.25">
      <c r="A26" s="158"/>
      <c r="C26" s="385"/>
      <c r="D26" s="147"/>
      <c r="E26" s="142"/>
      <c r="F26" s="142"/>
      <c r="G26" s="142"/>
      <c r="H26" s="142"/>
      <c r="I26" s="142"/>
      <c r="J26" s="142"/>
      <c r="K26" s="142"/>
      <c r="L26" s="142"/>
      <c r="M26" s="142"/>
      <c r="U26" s="143"/>
      <c r="V26" s="147"/>
      <c r="W26" s="143"/>
    </row>
    <row r="27" spans="1:29" x14ac:dyDescent="0.25">
      <c r="A27" s="158"/>
      <c r="B27" s="158" t="s">
        <v>254</v>
      </c>
      <c r="C27" s="385" t="s">
        <v>247</v>
      </c>
      <c r="D27" s="327">
        <f>+D4-D15-D21</f>
        <v>700</v>
      </c>
      <c r="E27" s="141">
        <f t="shared" ref="E27:H27" si="6">+E4-E15-E21</f>
        <v>650</v>
      </c>
      <c r="F27" s="141">
        <f t="shared" si="6"/>
        <v>1300</v>
      </c>
      <c r="G27" s="141">
        <f t="shared" si="6"/>
        <v>450</v>
      </c>
      <c r="H27" s="141">
        <f t="shared" si="6"/>
        <v>1030</v>
      </c>
      <c r="I27" s="145">
        <f>'Detailed Capacity Utilisation'!C430</f>
        <v>820</v>
      </c>
      <c r="J27" s="145">
        <f>'Detailed Capacity Utilisation'!C523</f>
        <v>780</v>
      </c>
      <c r="K27" s="145">
        <f>'Detailed Capacity Utilisation'!C610</f>
        <v>500</v>
      </c>
      <c r="L27" s="145">
        <f>'Detailed Capacity Utilisation'!C697</f>
        <v>600</v>
      </c>
      <c r="M27" s="145">
        <f>'Detailed Capacity Utilisation'!C790</f>
        <v>610</v>
      </c>
      <c r="N27" s="145">
        <f>'Detailed Capacity Utilisation'!C878+'Detailed Capacity Utilisation'!C879+'Detailed Capacity Utilisation'!C880</f>
        <v>1570</v>
      </c>
      <c r="O27" s="145">
        <f>'Detailed Capacity Utilisation'!C969</f>
        <v>700</v>
      </c>
      <c r="P27" s="145">
        <f>'Detailed Capacity Utilisation'!C1063+'Detailed Capacity Utilisation'!C1065</f>
        <v>400</v>
      </c>
      <c r="Q27" s="145"/>
      <c r="R27" s="145">
        <f>'Detailed Capacity Utilisation'!C1252+'Detailed Capacity Utilisation'!C1254</f>
        <v>725</v>
      </c>
      <c r="S27" s="145">
        <f>'Detailed Capacity Utilisation'!C1349+'Detailed Capacity Utilisation'!C1353</f>
        <v>1100</v>
      </c>
      <c r="T27" s="145">
        <f>'Detailed Capacity Utilisation'!C1449+'Detailed Capacity Utilisation'!C1451</f>
        <v>915</v>
      </c>
      <c r="U27" s="303">
        <f>'Detailed Capacity Utilisation'!C1551</f>
        <v>450</v>
      </c>
      <c r="V27" s="326">
        <f>SUM(D27:I27)/6</f>
        <v>825</v>
      </c>
      <c r="W27" s="377">
        <f t="shared" si="5"/>
        <v>695.83333333333337</v>
      </c>
    </row>
    <row r="28" spans="1:29" x14ac:dyDescent="0.25">
      <c r="B28" s="158"/>
      <c r="C28" s="385" t="s">
        <v>14</v>
      </c>
      <c r="D28" s="327">
        <f t="shared" ref="D28:H28" si="7">+D5-D16-D22</f>
        <v>44.999999999999773</v>
      </c>
      <c r="E28" s="141">
        <f t="shared" si="7"/>
        <v>771.33999999999992</v>
      </c>
      <c r="F28" s="141">
        <f t="shared" si="7"/>
        <v>1534.8700000000008</v>
      </c>
      <c r="G28" s="141">
        <f t="shared" si="7"/>
        <v>459.01999999999953</v>
      </c>
      <c r="H28" s="141">
        <f t="shared" si="7"/>
        <v>963.44000000000028</v>
      </c>
      <c r="I28" s="145">
        <f>'Detailed Capacity Utilisation'!F430</f>
        <v>1097.3499999999999</v>
      </c>
      <c r="J28" s="145">
        <f>'Detailed Capacity Utilisation'!F523</f>
        <v>921.35</v>
      </c>
      <c r="K28" s="145">
        <f>'Detailed Capacity Utilisation'!F610</f>
        <v>495.65300000000002</v>
      </c>
      <c r="L28" s="145">
        <f>'Detailed Capacity Utilisation'!F697</f>
        <v>906.64499999999998</v>
      </c>
      <c r="M28" s="145">
        <f>'Detailed Capacity Utilisation'!H787</f>
        <v>229.05545454545455</v>
      </c>
      <c r="N28" s="145">
        <f>'Detailed Capacity Utilisation'!F878+'Detailed Capacity Utilisation'!F879+'Detailed Capacity Utilisation'!F880</f>
        <v>1489.3899999999999</v>
      </c>
      <c r="O28" s="145">
        <f>'Detailed Capacity Utilisation'!F969</f>
        <v>784.48</v>
      </c>
      <c r="P28" s="145">
        <f>'Detailed Capacity Utilisation'!F1063+'Detailed Capacity Utilisation'!F1065</f>
        <v>872.42700000000013</v>
      </c>
      <c r="Q28" s="145"/>
      <c r="R28" s="145">
        <f>'Detailed Capacity Utilisation'!F1252+'Detailed Capacity Utilisation'!F1254</f>
        <v>1035.8980000000001</v>
      </c>
      <c r="S28" s="145">
        <f>'Detailed Capacity Utilisation'!F1349+'Detailed Capacity Utilisation'!F1353</f>
        <v>1298.73</v>
      </c>
      <c r="T28" s="145">
        <f>'Detailed Capacity Utilisation'!F1449+'Detailed Capacity Utilisation'!F1451</f>
        <v>510.46700000000004</v>
      </c>
      <c r="U28" s="303">
        <f>'Detailed Capacity Utilisation'!F1551</f>
        <v>609.13</v>
      </c>
      <c r="V28" s="326">
        <f>SUM(D28:I28)/6</f>
        <v>811.8366666666667</v>
      </c>
      <c r="W28" s="377">
        <f t="shared" si="5"/>
        <v>762.76878787878786</v>
      </c>
    </row>
    <row r="29" spans="1:29" x14ac:dyDescent="0.25">
      <c r="B29" s="158"/>
      <c r="C29" s="385" t="s">
        <v>256</v>
      </c>
      <c r="D29" s="383">
        <f>+D8-D17-D23</f>
        <v>6</v>
      </c>
      <c r="E29" s="145">
        <f t="shared" ref="E29:H29" si="8">+E8-E17-E23</f>
        <v>5</v>
      </c>
      <c r="F29" s="145">
        <f t="shared" si="8"/>
        <v>6</v>
      </c>
      <c r="G29" s="145">
        <f t="shared" si="8"/>
        <v>3</v>
      </c>
      <c r="H29" s="145">
        <f t="shared" si="8"/>
        <v>5</v>
      </c>
      <c r="I29" s="145">
        <f>'Detailed Capacity Utilisation'!D430</f>
        <v>4</v>
      </c>
      <c r="J29" s="145">
        <f>'Detailed Capacity Utilisation'!D523</f>
        <v>6</v>
      </c>
      <c r="K29" s="145">
        <f>'Detailed Capacity Utilisation'!D610</f>
        <v>4</v>
      </c>
      <c r="L29" s="145">
        <f>'Detailed Capacity Utilisation'!D697</f>
        <v>4</v>
      </c>
      <c r="M29" s="145">
        <f>'Detailed Capacity Utilisation'!D790</f>
        <v>5</v>
      </c>
      <c r="N29" s="145">
        <f>'Detailed Capacity Utilisation'!D878+'Detailed Capacity Utilisation'!D879+'Detailed Capacity Utilisation'!D880</f>
        <v>11</v>
      </c>
      <c r="O29" s="145">
        <f>'Detailed Capacity Utilisation'!D969</f>
        <v>4</v>
      </c>
      <c r="P29" s="145">
        <f>'Detailed Capacity Utilisation'!D1063</f>
        <v>2.5</v>
      </c>
      <c r="Q29" s="145"/>
      <c r="R29" s="145">
        <f>'Detailed Capacity Utilisation'!D1252+'Detailed Capacity Utilisation'!D1254</f>
        <v>5.5</v>
      </c>
      <c r="S29" s="145">
        <f>'Detailed Capacity Utilisation'!D1349+'Detailed Capacity Utilisation'!D1353</f>
        <v>7</v>
      </c>
      <c r="T29" s="145">
        <f>'Detailed Capacity Utilisation'!D1449+'Detailed Capacity Utilisation'!D1451</f>
        <v>6.5</v>
      </c>
      <c r="U29" s="303">
        <f>'Detailed Capacity Utilisation'!D1551</f>
        <v>2</v>
      </c>
      <c r="V29" s="380">
        <f>SUM(D29:I29)/6</f>
        <v>4.833333333333333</v>
      </c>
      <c r="W29" s="377">
        <f t="shared" si="5"/>
        <v>4.791666666666667</v>
      </c>
      <c r="X29" s="327">
        <f>+V27/V29</f>
        <v>170.68965517241381</v>
      </c>
      <c r="AA29" s="327">
        <f>+W27/W29</f>
        <v>145.21739130434781</v>
      </c>
    </row>
    <row r="30" spans="1:29" x14ac:dyDescent="0.25">
      <c r="C30" s="385" t="s">
        <v>257</v>
      </c>
      <c r="D30" s="383">
        <f>+D9-D18-D24</f>
        <v>1</v>
      </c>
      <c r="E30" s="145">
        <f t="shared" ref="E30:H30" si="9">+E9-E18-E24</f>
        <v>6.5</v>
      </c>
      <c r="F30" s="145">
        <f t="shared" si="9"/>
        <v>7</v>
      </c>
      <c r="G30" s="145">
        <f t="shared" si="9"/>
        <v>3</v>
      </c>
      <c r="H30" s="145">
        <f t="shared" si="9"/>
        <v>5.5</v>
      </c>
      <c r="I30" s="145">
        <f>'Detailed Capacity Utilisation'!G430</f>
        <v>5</v>
      </c>
      <c r="J30" s="145">
        <f>'Detailed Capacity Utilisation'!G523</f>
        <v>9</v>
      </c>
      <c r="K30" s="145">
        <f>'Detailed Capacity Utilisation'!G610</f>
        <v>3.5</v>
      </c>
      <c r="L30" s="145">
        <f>'Detailed Capacity Utilisation'!G697</f>
        <v>5</v>
      </c>
      <c r="M30" s="145">
        <f>'Detailed Capacity Utilisation'!G788</f>
        <v>2</v>
      </c>
      <c r="N30" s="145">
        <f>'Detailed Capacity Utilisation'!G878+'Detailed Capacity Utilisation'!G879+'Detailed Capacity Utilisation'!G880</f>
        <v>14</v>
      </c>
      <c r="O30" s="145">
        <f>'Detailed Capacity Utilisation'!G969</f>
        <v>4</v>
      </c>
      <c r="P30" s="145">
        <f>'Detailed Capacity Utilisation'!G1063+'Detailed Capacity Utilisation'!G1065</f>
        <v>8</v>
      </c>
      <c r="Q30" s="145"/>
      <c r="R30" s="145">
        <f>'Detailed Capacity Utilisation'!G1252+'Detailed Capacity Utilisation'!G1254</f>
        <v>8</v>
      </c>
      <c r="S30" s="145">
        <f>'Detailed Capacity Utilisation'!G1349+'Detailed Capacity Utilisation'!G1353</f>
        <v>9</v>
      </c>
      <c r="T30" s="145">
        <f>'Detailed Capacity Utilisation'!G1449+'Detailed Capacity Utilisation'!G1451</f>
        <v>4.32</v>
      </c>
      <c r="U30" s="303">
        <f>'Detailed Capacity Utilisation'!G1551</f>
        <v>3</v>
      </c>
      <c r="V30" s="380">
        <f>SUM(D30:I30)/6</f>
        <v>4.666666666666667</v>
      </c>
      <c r="W30" s="377">
        <f t="shared" si="5"/>
        <v>5.8183333333333325</v>
      </c>
      <c r="X30" s="327">
        <f>+V28/V30</f>
        <v>173.965</v>
      </c>
      <c r="Y30" s="142">
        <v>240</v>
      </c>
      <c r="Z30" s="146">
        <f>+X30/Y30</f>
        <v>0.72485416666666669</v>
      </c>
      <c r="AA30" s="327">
        <f>+W28/W30</f>
        <v>131.09747142001513</v>
      </c>
      <c r="AB30" s="142">
        <v>232</v>
      </c>
      <c r="AC30" s="146">
        <f>+AA30/AB30</f>
        <v>0.56507530784489279</v>
      </c>
    </row>
    <row r="31" spans="1:29" ht="15.75" thickBot="1" x14ac:dyDescent="0.3">
      <c r="C31" s="385" t="s">
        <v>255</v>
      </c>
      <c r="D31" s="147">
        <v>0</v>
      </c>
      <c r="E31" s="142">
        <v>1</v>
      </c>
      <c r="F31" s="338">
        <f>1</f>
        <v>1</v>
      </c>
      <c r="G31" s="142">
        <v>1</v>
      </c>
      <c r="H31" s="142">
        <v>1</v>
      </c>
      <c r="I31" s="142">
        <v>1</v>
      </c>
      <c r="J31" s="142">
        <v>1</v>
      </c>
      <c r="K31" s="142">
        <v>1</v>
      </c>
      <c r="L31" s="142">
        <v>1</v>
      </c>
      <c r="M31" s="142">
        <v>1</v>
      </c>
      <c r="N31" s="142">
        <v>1</v>
      </c>
      <c r="O31" s="142">
        <v>1</v>
      </c>
      <c r="P31" s="142">
        <v>1</v>
      </c>
      <c r="S31" s="142">
        <v>1</v>
      </c>
      <c r="U31" s="142">
        <v>1</v>
      </c>
      <c r="V31" s="380">
        <f>SUM(D31:I31)/6</f>
        <v>0.83333333333333337</v>
      </c>
      <c r="W31" s="377">
        <f t="shared" si="5"/>
        <v>0.75</v>
      </c>
      <c r="X31" s="148"/>
      <c r="Y31" s="149"/>
      <c r="Z31" s="151"/>
      <c r="AA31" s="148"/>
      <c r="AB31" s="149"/>
      <c r="AC31" s="151"/>
    </row>
    <row r="32" spans="1:29" x14ac:dyDescent="0.25">
      <c r="C32" s="318"/>
      <c r="D32" s="147"/>
      <c r="E32" s="335" t="s">
        <v>311</v>
      </c>
      <c r="F32" s="335" t="s">
        <v>312</v>
      </c>
      <c r="G32" s="335" t="s">
        <v>313</v>
      </c>
      <c r="H32" s="335" t="s">
        <v>312</v>
      </c>
      <c r="I32" s="335" t="s">
        <v>312</v>
      </c>
      <c r="J32" s="335" t="s">
        <v>311</v>
      </c>
      <c r="K32" s="335" t="s">
        <v>313</v>
      </c>
      <c r="L32" s="335" t="s">
        <v>312</v>
      </c>
      <c r="M32" s="335" t="s">
        <v>313</v>
      </c>
      <c r="N32" s="353" t="s">
        <v>408</v>
      </c>
      <c r="O32" s="335" t="s">
        <v>312</v>
      </c>
      <c r="P32" s="335" t="s">
        <v>434</v>
      </c>
      <c r="Q32" s="353"/>
      <c r="R32" s="335" t="s">
        <v>468</v>
      </c>
      <c r="S32" s="353" t="s">
        <v>408</v>
      </c>
      <c r="T32" s="335" t="s">
        <v>468</v>
      </c>
      <c r="U32" s="335" t="s">
        <v>312</v>
      </c>
      <c r="V32" s="147"/>
      <c r="W32" s="143"/>
    </row>
    <row r="33" spans="1:29" x14ac:dyDescent="0.25">
      <c r="A33" s="158" t="s">
        <v>262</v>
      </c>
      <c r="C33" s="318"/>
      <c r="D33" s="147"/>
      <c r="E33" s="142"/>
      <c r="F33" s="142"/>
      <c r="G33" s="142"/>
      <c r="H33" s="142"/>
      <c r="I33" s="142"/>
      <c r="J33" s="142"/>
      <c r="K33" s="142"/>
      <c r="L33" s="142"/>
      <c r="M33" s="142"/>
      <c r="U33" s="143"/>
      <c r="V33" s="147"/>
      <c r="W33" s="143"/>
    </row>
    <row r="34" spans="1:29" x14ac:dyDescent="0.25">
      <c r="A34" s="158" t="s">
        <v>261</v>
      </c>
      <c r="B34" s="158" t="s">
        <v>250</v>
      </c>
      <c r="C34" s="385" t="s">
        <v>247</v>
      </c>
      <c r="D34" s="383">
        <f>+'Detailed Capacity Utilisation'!C28</f>
        <v>4265</v>
      </c>
      <c r="E34" s="145">
        <f>+'Detailed Capacity Utilisation'!C110</f>
        <v>3571</v>
      </c>
      <c r="F34" s="145">
        <f>+'Detailed Capacity Utilisation'!C191</f>
        <v>3863</v>
      </c>
      <c r="G34" s="145">
        <f>+'Detailed Capacity Utilisation'!C276</f>
        <v>3319</v>
      </c>
      <c r="H34" s="145">
        <f>+'Detailed Capacity Utilisation'!C363</f>
        <v>2624</v>
      </c>
      <c r="I34" s="145">
        <f>'Detailed Capacity Utilisation'!C451</f>
        <v>4230</v>
      </c>
      <c r="J34" s="145">
        <f>'Detailed Capacity Utilisation'!C540</f>
        <v>5685</v>
      </c>
      <c r="K34" s="145">
        <f>'Detailed Capacity Utilisation'!C629</f>
        <v>5970</v>
      </c>
      <c r="L34" s="145">
        <f>'Detailed Capacity Utilisation'!C706</f>
        <v>4950</v>
      </c>
      <c r="M34" s="145">
        <f>'Detailed Capacity Utilisation'!C807</f>
        <v>6570</v>
      </c>
      <c r="N34" s="145">
        <f>'Detailed Capacity Utilisation'!C898</f>
        <v>5651</v>
      </c>
      <c r="O34" s="145">
        <f>'Detailed Capacity Utilisation'!C991</f>
        <v>3720</v>
      </c>
      <c r="P34" s="145">
        <f>'Detailed Capacity Utilisation'!C1085</f>
        <v>3453</v>
      </c>
      <c r="Q34" s="145">
        <f>'Detailed Capacity Utilisation'!C1179</f>
        <v>4520</v>
      </c>
      <c r="R34" s="145">
        <f>'Detailed Capacity Utilisation'!C1274</f>
        <v>3971</v>
      </c>
      <c r="S34" s="145">
        <f>'Detailed Capacity Utilisation'!C1373</f>
        <v>4689</v>
      </c>
      <c r="T34" s="145">
        <f>'Detailed Capacity Utilisation'!C1473</f>
        <v>3481</v>
      </c>
      <c r="U34" s="303">
        <f>'Detailed Capacity Utilisation'!C1575</f>
        <v>3206</v>
      </c>
      <c r="V34" s="326">
        <f>SUM(D34:I34)/6</f>
        <v>3645.3333333333335</v>
      </c>
      <c r="W34" s="377">
        <f t="shared" ref="W34:W35" si="10">SUM(J34:U34)/12</f>
        <v>4655.5</v>
      </c>
    </row>
    <row r="35" spans="1:29" x14ac:dyDescent="0.25">
      <c r="B35" s="158"/>
      <c r="C35" s="385" t="s">
        <v>14</v>
      </c>
      <c r="D35" s="383">
        <f>+'Detailed Capacity Utilisation'!F28</f>
        <v>4427.8369999999995</v>
      </c>
      <c r="E35" s="145">
        <f>+'Detailed Capacity Utilisation'!F110</f>
        <v>3049.6880000000001</v>
      </c>
      <c r="F35" s="145">
        <f>+'Detailed Capacity Utilisation'!F191</f>
        <v>5882.0409999999993</v>
      </c>
      <c r="G35" s="145">
        <f>+'Detailed Capacity Utilisation'!F276</f>
        <v>3789.1559999999999</v>
      </c>
      <c r="H35" s="145">
        <f>+'Detailed Capacity Utilisation'!F363</f>
        <v>2874.598</v>
      </c>
      <c r="I35" s="145">
        <f>'Detailed Capacity Utilisation'!F451</f>
        <v>4204.5590000000002</v>
      </c>
      <c r="J35" s="145">
        <f>'Detailed Capacity Utilisation'!F540</f>
        <v>3588.5549999999994</v>
      </c>
      <c r="K35" s="145">
        <f>'Detailed Capacity Utilisation'!F629</f>
        <v>5055.2849999999999</v>
      </c>
      <c r="L35" s="145">
        <f>'Detailed Capacity Utilisation'!F706</f>
        <v>6279.6350000000002</v>
      </c>
      <c r="M35" s="145">
        <f>'Detailed Capacity Utilisation'!F807</f>
        <v>7036.6850000000013</v>
      </c>
      <c r="N35" s="145">
        <f>'Detailed Capacity Utilisation'!F898</f>
        <v>5022.0889999999999</v>
      </c>
      <c r="O35" s="145">
        <f>'Detailed Capacity Utilisation'!F991</f>
        <v>4139.1989999999996</v>
      </c>
      <c r="P35" s="145">
        <f>'Detailed Capacity Utilisation'!F1085</f>
        <v>4471.2910000000002</v>
      </c>
      <c r="Q35" s="145">
        <f>'Detailed Capacity Utilisation'!F1179</f>
        <v>3931.152</v>
      </c>
      <c r="R35" s="145">
        <f>'Detailed Capacity Utilisation'!F1274</f>
        <v>5011.418999999999</v>
      </c>
      <c r="S35" s="145">
        <f>'Detailed Capacity Utilisation'!F1373</f>
        <v>4390.3119999999999</v>
      </c>
      <c r="T35" s="145">
        <f>'Detailed Capacity Utilisation'!F1473</f>
        <v>3688.154</v>
      </c>
      <c r="U35" s="303">
        <f>'Detailed Capacity Utilisation'!F1575</f>
        <v>2539.107</v>
      </c>
      <c r="V35" s="326">
        <f>SUM(D35:I35)/6</f>
        <v>4037.9798333333333</v>
      </c>
      <c r="W35" s="377">
        <f t="shared" si="10"/>
        <v>4596.0735833333338</v>
      </c>
    </row>
    <row r="36" spans="1:29" x14ac:dyDescent="0.25">
      <c r="C36" s="385" t="s">
        <v>252</v>
      </c>
      <c r="D36" s="378">
        <f>+D35/D34</f>
        <v>1.038179835873388</v>
      </c>
      <c r="E36" s="144">
        <f t="shared" ref="E36:P36" si="11">+E35/E34</f>
        <v>0.85401512181461781</v>
      </c>
      <c r="F36" s="144">
        <f t="shared" si="11"/>
        <v>1.5226614030546206</v>
      </c>
      <c r="G36" s="144">
        <f t="shared" si="11"/>
        <v>1.1416559204579693</v>
      </c>
      <c r="H36" s="144">
        <f t="shared" si="11"/>
        <v>1.0955022865853659</v>
      </c>
      <c r="I36" s="144">
        <f t="shared" si="11"/>
        <v>0.99398557919621755</v>
      </c>
      <c r="J36" s="144">
        <f t="shared" si="11"/>
        <v>0.63123218997361463</v>
      </c>
      <c r="K36" s="144">
        <f t="shared" si="11"/>
        <v>0.8467814070351759</v>
      </c>
      <c r="L36" s="144">
        <f t="shared" si="11"/>
        <v>1.2686131313131312</v>
      </c>
      <c r="M36" s="144">
        <f t="shared" si="11"/>
        <v>1.0710327245053275</v>
      </c>
      <c r="N36" s="144">
        <f t="shared" si="11"/>
        <v>0.88870801628030438</v>
      </c>
      <c r="O36" s="144">
        <f t="shared" si="11"/>
        <v>1.1126879032258064</v>
      </c>
      <c r="P36" s="144">
        <f t="shared" si="11"/>
        <v>1.2949003764842166</v>
      </c>
      <c r="Q36" s="144">
        <f t="shared" ref="Q36:U36" si="12">+Q35/Q34</f>
        <v>0.86972389380530979</v>
      </c>
      <c r="R36" s="144">
        <f t="shared" si="12"/>
        <v>1.2620042810375218</v>
      </c>
      <c r="S36" s="144">
        <f t="shared" si="12"/>
        <v>0.93630027724461506</v>
      </c>
      <c r="T36" s="144">
        <f t="shared" si="12"/>
        <v>1.0595099109451307</v>
      </c>
      <c r="U36" s="144">
        <f t="shared" si="12"/>
        <v>0.79198596381784159</v>
      </c>
      <c r="V36" s="378">
        <f t="shared" ref="V36:W36" si="13">+V35/V34</f>
        <v>1.1077120976591075</v>
      </c>
      <c r="W36" s="372">
        <f t="shared" si="13"/>
        <v>0.98723522357068705</v>
      </c>
    </row>
    <row r="37" spans="1:29" x14ac:dyDescent="0.25">
      <c r="C37" s="385"/>
      <c r="D37" s="147"/>
      <c r="E37" s="142"/>
      <c r="F37" s="142"/>
      <c r="G37" s="142"/>
      <c r="H37" s="142"/>
      <c r="I37" s="142"/>
      <c r="J37" s="142"/>
      <c r="K37" s="142"/>
      <c r="L37" s="142"/>
      <c r="M37" s="142"/>
      <c r="U37" s="143"/>
      <c r="V37" s="147"/>
      <c r="W37" s="143"/>
    </row>
    <row r="38" spans="1:29" x14ac:dyDescent="0.25">
      <c r="B38" s="158" t="s">
        <v>249</v>
      </c>
      <c r="C38" s="385" t="s">
        <v>247</v>
      </c>
      <c r="D38" s="383">
        <f>+'Detailed Capacity Utilisation'!D26</f>
        <v>23.5</v>
      </c>
      <c r="E38" s="145">
        <f>+'Detailed Capacity Utilisation'!D108</f>
        <v>24</v>
      </c>
      <c r="F38" s="145">
        <f>+'Detailed Capacity Utilisation'!D189</f>
        <v>26</v>
      </c>
      <c r="G38" s="145">
        <f>+'Detailed Capacity Utilisation'!D274</f>
        <v>23.5</v>
      </c>
      <c r="H38" s="145">
        <f>+'Detailed Capacity Utilisation'!D361</f>
        <v>13</v>
      </c>
      <c r="I38" s="145">
        <f>'Detailed Capacity Utilisation'!D449</f>
        <v>24</v>
      </c>
      <c r="J38" s="145">
        <f>'Detailed Capacity Utilisation'!D538</f>
        <v>23</v>
      </c>
      <c r="K38" s="145">
        <f>'Detailed Capacity Utilisation'!D627</f>
        <v>21.5</v>
      </c>
      <c r="L38" s="145">
        <f>'Detailed Capacity Utilisation'!D716</f>
        <v>21.5</v>
      </c>
      <c r="M38" s="145">
        <f>'Detailed Capacity Utilisation'!D805</f>
        <v>27</v>
      </c>
      <c r="N38" s="145">
        <f>'Detailed Capacity Utilisation'!D896</f>
        <v>27</v>
      </c>
      <c r="O38" s="145">
        <f>'Detailed Capacity Utilisation'!D989</f>
        <v>21.25</v>
      </c>
      <c r="P38" s="145">
        <f>'Detailed Capacity Utilisation'!D1083</f>
        <v>21.5</v>
      </c>
      <c r="Q38" s="145">
        <f>'Detailed Capacity Utilisation'!D1177</f>
        <v>22</v>
      </c>
      <c r="R38" s="145">
        <f>'Detailed Capacity Utilisation'!D1272</f>
        <v>25</v>
      </c>
      <c r="S38" s="145">
        <f>'Detailed Capacity Utilisation'!D1371</f>
        <v>24</v>
      </c>
      <c r="T38" s="145">
        <f>'Detailed Capacity Utilisation'!D1471</f>
        <v>19</v>
      </c>
      <c r="U38" s="303">
        <f>'Detailed Capacity Utilisation'!D1573</f>
        <v>26</v>
      </c>
      <c r="V38" s="380">
        <f>SUM(D38:I38)/6</f>
        <v>22.333333333333332</v>
      </c>
      <c r="W38" s="377">
        <f t="shared" ref="W38:W39" si="14">SUM(J38:U38)/12</f>
        <v>23.229166666666668</v>
      </c>
      <c r="X38" s="328">
        <f>+V34/V38</f>
        <v>163.22388059701495</v>
      </c>
      <c r="AA38" s="327">
        <f>+W34/W38</f>
        <v>200.41614349775784</v>
      </c>
    </row>
    <row r="39" spans="1:29" x14ac:dyDescent="0.25">
      <c r="C39" s="385" t="s">
        <v>14</v>
      </c>
      <c r="D39" s="383">
        <f>+'Detailed Capacity Utilisation'!G26</f>
        <v>27.5</v>
      </c>
      <c r="E39" s="145">
        <f>+'Detailed Capacity Utilisation'!G108</f>
        <v>26.5</v>
      </c>
      <c r="F39" s="145">
        <f>+'Detailed Capacity Utilisation'!G189</f>
        <v>28.3</v>
      </c>
      <c r="G39" s="145">
        <f>+'Detailed Capacity Utilisation'!G274</f>
        <v>25.5</v>
      </c>
      <c r="H39" s="145">
        <f>+'Detailed Capacity Utilisation'!G361</f>
        <v>14</v>
      </c>
      <c r="I39" s="145">
        <f>'Detailed Capacity Utilisation'!G449</f>
        <v>19</v>
      </c>
      <c r="J39" s="145">
        <f>'Detailed Capacity Utilisation'!G538</f>
        <v>22</v>
      </c>
      <c r="K39" s="145">
        <f>'Detailed Capacity Utilisation'!G627</f>
        <v>26</v>
      </c>
      <c r="L39" s="145">
        <f>'Detailed Capacity Utilisation'!G716</f>
        <v>18.5</v>
      </c>
      <c r="M39" s="145">
        <f>'Detailed Capacity Utilisation'!G805</f>
        <v>30</v>
      </c>
      <c r="N39" s="347">
        <f>'Detailed Capacity Utilisation'!G896</f>
        <v>27.5</v>
      </c>
      <c r="O39" s="347">
        <f>'Detailed Capacity Utilisation'!G989</f>
        <v>26</v>
      </c>
      <c r="P39" s="347">
        <f>'Detailed Capacity Utilisation'!G1083</f>
        <v>26</v>
      </c>
      <c r="Q39" s="347">
        <f>'Detailed Capacity Utilisation'!G1177</f>
        <v>25.5</v>
      </c>
      <c r="R39" s="347">
        <f>'Detailed Capacity Utilisation'!G1272</f>
        <v>29.5</v>
      </c>
      <c r="S39" s="347">
        <f>'Detailed Capacity Utilisation'!G1371</f>
        <v>29.5</v>
      </c>
      <c r="T39" s="347">
        <f>'Detailed Capacity Utilisation'!G1471</f>
        <v>25</v>
      </c>
      <c r="U39" s="339">
        <f>'Detailed Capacity Utilisation'!G1573</f>
        <v>24.25</v>
      </c>
      <c r="V39" s="380">
        <f>SUM(D39:I39)/6</f>
        <v>23.466666666666669</v>
      </c>
      <c r="W39" s="377">
        <f t="shared" si="14"/>
        <v>25.8125</v>
      </c>
      <c r="X39" s="328">
        <f>+V35/V39</f>
        <v>172.07300426136362</v>
      </c>
      <c r="Y39" s="145">
        <f>524*0.56</f>
        <v>293.44000000000005</v>
      </c>
      <c r="Z39" s="146">
        <f>+X39/Y39</f>
        <v>0.58639927842613004</v>
      </c>
      <c r="AA39" s="327">
        <f>+W35/W39</f>
        <v>178.0561194511703</v>
      </c>
      <c r="AB39" s="145">
        <v>295.98355229337648</v>
      </c>
      <c r="AC39" s="146">
        <f>+AA39/AB39</f>
        <v>0.60157437152008542</v>
      </c>
    </row>
    <row r="40" spans="1:29" x14ac:dyDescent="0.25">
      <c r="B40" s="158" t="s">
        <v>248</v>
      </c>
      <c r="C40" s="385" t="s">
        <v>247</v>
      </c>
      <c r="D40" s="147"/>
      <c r="E40" s="142"/>
      <c r="F40" s="142"/>
      <c r="G40" s="142"/>
      <c r="H40" s="142"/>
      <c r="I40" s="142"/>
      <c r="J40" s="142"/>
      <c r="K40" s="142"/>
      <c r="L40" s="142"/>
      <c r="M40" s="142"/>
      <c r="Q40" s="145"/>
      <c r="U40" s="143"/>
      <c r="V40" s="147"/>
      <c r="W40" s="143"/>
    </row>
    <row r="41" spans="1:29" x14ac:dyDescent="0.25">
      <c r="C41" s="385" t="s">
        <v>14</v>
      </c>
      <c r="D41" s="147"/>
      <c r="E41" s="142"/>
      <c r="F41" s="142"/>
      <c r="G41" s="142"/>
      <c r="H41" s="142"/>
      <c r="I41" s="142"/>
      <c r="J41" s="142"/>
      <c r="K41" s="142"/>
      <c r="L41" s="142"/>
      <c r="M41" s="142"/>
      <c r="Q41" s="145"/>
      <c r="U41" s="143"/>
      <c r="V41" s="147"/>
      <c r="W41" s="143"/>
    </row>
    <row r="42" spans="1:29" x14ac:dyDescent="0.25">
      <c r="B42" s="158" t="s">
        <v>263</v>
      </c>
      <c r="C42" s="385" t="s">
        <v>247</v>
      </c>
      <c r="D42" s="383">
        <f>+'Detailed Capacity Utilisation'!D27</f>
        <v>7</v>
      </c>
      <c r="E42" s="145">
        <f>+'Detailed Capacity Utilisation'!D109</f>
        <v>6</v>
      </c>
      <c r="F42" s="145">
        <f>+'Detailed Capacity Utilisation'!D190</f>
        <v>5</v>
      </c>
      <c r="G42" s="145">
        <f>+'Detailed Capacity Utilisation'!D275</f>
        <v>7</v>
      </c>
      <c r="H42" s="145">
        <f>+'Detailed Capacity Utilisation'!D362</f>
        <v>16</v>
      </c>
      <c r="I42" s="145">
        <f>'Detailed Capacity Utilisation'!D450</f>
        <v>7</v>
      </c>
      <c r="J42" s="145">
        <f>'Detailed Capacity Utilisation'!D539</f>
        <v>7</v>
      </c>
      <c r="K42" s="145">
        <f>'Detailed Capacity Utilisation'!D628</f>
        <v>9.5</v>
      </c>
      <c r="L42" s="145">
        <f>'Detailed Capacity Utilisation'!D717</f>
        <v>8.5</v>
      </c>
      <c r="M42" s="145">
        <f>'Detailed Capacity Utilisation'!D806</f>
        <v>4</v>
      </c>
      <c r="N42" s="145">
        <f>'Detailed Capacity Utilisation'!D897</f>
        <v>4</v>
      </c>
      <c r="O42" s="145">
        <f>'Detailed Capacity Utilisation'!D990</f>
        <v>8.75</v>
      </c>
      <c r="P42" s="145">
        <f>'Detailed Capacity Utilisation'!D1084</f>
        <v>9.5</v>
      </c>
      <c r="Q42" s="145">
        <f>'Detailed Capacity Utilisation'!D1178</f>
        <v>8</v>
      </c>
      <c r="R42" s="142">
        <f>'Detailed Capacity Utilisation'!D1273</f>
        <v>6</v>
      </c>
      <c r="S42" s="145">
        <f>'Detailed Capacity Utilisation'!D1372</f>
        <v>7</v>
      </c>
      <c r="T42" s="145">
        <f>'Detailed Capacity Utilisation'!D1472</f>
        <v>9</v>
      </c>
      <c r="U42" s="303">
        <f>'Detailed Capacity Utilisation'!D1574</f>
        <v>5</v>
      </c>
      <c r="V42" s="380">
        <f>SUM(D42:I42)/6</f>
        <v>8</v>
      </c>
      <c r="W42" s="377">
        <f t="shared" ref="W42:W43" si="15">SUM(J42:U42)/12</f>
        <v>7.1875</v>
      </c>
      <c r="X42" s="329"/>
      <c r="AA42" s="329"/>
    </row>
    <row r="43" spans="1:29" x14ac:dyDescent="0.25">
      <c r="B43" s="158"/>
      <c r="C43" s="385" t="s">
        <v>14</v>
      </c>
      <c r="D43" s="383">
        <f>+'Detailed Capacity Utilisation'!G27</f>
        <v>3.5</v>
      </c>
      <c r="E43" s="145">
        <f>+'Detailed Capacity Utilisation'!G109</f>
        <v>3.5</v>
      </c>
      <c r="F43" s="145">
        <f>+'Detailed Capacity Utilisation'!G190</f>
        <v>2.6999999999999993</v>
      </c>
      <c r="G43" s="145">
        <f>+'Detailed Capacity Utilisation'!G275</f>
        <v>5.5</v>
      </c>
      <c r="H43" s="145">
        <f>+'Detailed Capacity Utilisation'!G362</f>
        <v>15</v>
      </c>
      <c r="I43" s="145">
        <f>'Detailed Capacity Utilisation'!G450</f>
        <v>12</v>
      </c>
      <c r="J43" s="145">
        <f>'Detailed Capacity Utilisation'!G539</f>
        <v>8</v>
      </c>
      <c r="K43" s="145">
        <f>'Detailed Capacity Utilisation'!G628</f>
        <v>5</v>
      </c>
      <c r="L43" s="145">
        <f>'Detailed Capacity Utilisation'!G717</f>
        <v>11.5</v>
      </c>
      <c r="M43" s="145">
        <f>'Detailed Capacity Utilisation'!G806</f>
        <v>1</v>
      </c>
      <c r="N43" s="347">
        <f>'Detailed Capacity Utilisation'!G897</f>
        <v>3.5</v>
      </c>
      <c r="O43" s="347">
        <f>'Detailed Capacity Utilisation'!G990</f>
        <v>4</v>
      </c>
      <c r="P43" s="347">
        <f>'Detailed Capacity Utilisation'!G1084</f>
        <v>5</v>
      </c>
      <c r="Q43" s="145">
        <f>'Detailed Capacity Utilisation'!G1178</f>
        <v>4.5</v>
      </c>
      <c r="R43" s="142">
        <f>'Detailed Capacity Utilisation'!G1273</f>
        <v>1.5</v>
      </c>
      <c r="S43" s="145">
        <f>'Detailed Capacity Utilisation'!G1372</f>
        <v>1.5</v>
      </c>
      <c r="T43" s="145">
        <f>'Detailed Capacity Utilisation'!G1472</f>
        <v>3</v>
      </c>
      <c r="U43" s="303">
        <f>'Detailed Capacity Utilisation'!G1574</f>
        <v>6.75</v>
      </c>
      <c r="V43" s="380">
        <f>SUM(D43:I43)/6</f>
        <v>7.0333333333333341</v>
      </c>
      <c r="W43" s="377">
        <f t="shared" si="15"/>
        <v>4.604166666666667</v>
      </c>
      <c r="X43" s="329"/>
      <c r="AA43" s="329"/>
    </row>
    <row r="44" spans="1:29" x14ac:dyDescent="0.25">
      <c r="B44" s="158" t="s">
        <v>265</v>
      </c>
      <c r="C44" s="385" t="s">
        <v>247</v>
      </c>
      <c r="D44" s="383">
        <f>+D42+D40+D38</f>
        <v>30.5</v>
      </c>
      <c r="E44" s="145">
        <f t="shared" ref="E44:J44" si="16">+E42+E40+E38</f>
        <v>30</v>
      </c>
      <c r="F44" s="145">
        <f t="shared" si="16"/>
        <v>31</v>
      </c>
      <c r="G44" s="145">
        <f t="shared" si="16"/>
        <v>30.5</v>
      </c>
      <c r="H44" s="145">
        <f t="shared" si="16"/>
        <v>29</v>
      </c>
      <c r="I44" s="145">
        <f t="shared" si="16"/>
        <v>31</v>
      </c>
      <c r="J44" s="145">
        <f t="shared" si="16"/>
        <v>30</v>
      </c>
      <c r="K44" s="145">
        <f t="shared" ref="K44:M44" si="17">+K42+K40+K38</f>
        <v>31</v>
      </c>
      <c r="L44" s="145">
        <f t="shared" si="17"/>
        <v>30</v>
      </c>
      <c r="M44" s="145">
        <f t="shared" si="17"/>
        <v>31</v>
      </c>
      <c r="N44" s="145">
        <f t="shared" ref="N44:O44" si="18">+N42+N40+N38</f>
        <v>31</v>
      </c>
      <c r="O44" s="145">
        <f t="shared" si="18"/>
        <v>30</v>
      </c>
      <c r="P44" s="145">
        <f t="shared" ref="P44" si="19">+P42+P40+P38</f>
        <v>31</v>
      </c>
      <c r="Q44" s="145">
        <f t="shared" ref="Q44" si="20">+Q42+Q40+Q38</f>
        <v>30</v>
      </c>
      <c r="R44" s="142">
        <f>+R42+Q40+Q38</f>
        <v>28</v>
      </c>
      <c r="S44" s="145">
        <f>S42+S38</f>
        <v>31</v>
      </c>
      <c r="T44" s="145">
        <f>T42+T38</f>
        <v>28</v>
      </c>
      <c r="U44" s="145">
        <f>U42+U38</f>
        <v>31</v>
      </c>
      <c r="V44" s="326"/>
      <c r="W44" s="381"/>
      <c r="X44" s="327"/>
      <c r="AA44" s="327"/>
    </row>
    <row r="45" spans="1:29" x14ac:dyDescent="0.25">
      <c r="C45" s="385" t="s">
        <v>14</v>
      </c>
      <c r="D45" s="387">
        <f>+D43+D41+D39</f>
        <v>31</v>
      </c>
      <c r="E45" s="336">
        <f t="shared" ref="E45:J45" si="21">+E43+E41+E39</f>
        <v>30</v>
      </c>
      <c r="F45" s="336">
        <f t="shared" si="21"/>
        <v>31</v>
      </c>
      <c r="G45" s="336">
        <f t="shared" si="21"/>
        <v>31</v>
      </c>
      <c r="H45" s="336">
        <f t="shared" si="21"/>
        <v>29</v>
      </c>
      <c r="I45" s="336">
        <f t="shared" si="21"/>
        <v>31</v>
      </c>
      <c r="J45" s="336">
        <f t="shared" si="21"/>
        <v>30</v>
      </c>
      <c r="K45" s="336">
        <f t="shared" ref="K45:M45" si="22">+K43+K41+K39</f>
        <v>31</v>
      </c>
      <c r="L45" s="336">
        <f t="shared" si="22"/>
        <v>30</v>
      </c>
      <c r="M45" s="336">
        <f t="shared" si="22"/>
        <v>31</v>
      </c>
      <c r="N45" s="336">
        <f t="shared" ref="N45:O45" si="23">+N43+N41+N39</f>
        <v>31</v>
      </c>
      <c r="O45" s="336">
        <f t="shared" si="23"/>
        <v>30</v>
      </c>
      <c r="P45" s="336">
        <f t="shared" ref="P45" si="24">+P43+P41+P39</f>
        <v>31</v>
      </c>
      <c r="Q45" s="336">
        <f t="shared" ref="Q45" si="25">+Q43+Q41+Q39</f>
        <v>30</v>
      </c>
      <c r="R45" s="142">
        <f>+R43+Q41+Q39</f>
        <v>27</v>
      </c>
      <c r="S45" s="145">
        <f>S39+S43</f>
        <v>31</v>
      </c>
      <c r="T45" s="145">
        <f>T39+T43</f>
        <v>28</v>
      </c>
      <c r="U45" s="145">
        <f>U39+U43</f>
        <v>31</v>
      </c>
      <c r="V45" s="326"/>
      <c r="W45" s="381"/>
      <c r="X45" s="327"/>
      <c r="AA45" s="327"/>
    </row>
    <row r="46" spans="1:29" x14ac:dyDescent="0.25">
      <c r="C46" s="318"/>
      <c r="D46" s="147"/>
      <c r="E46" s="142"/>
      <c r="F46" s="142"/>
      <c r="G46" s="142"/>
      <c r="H46" s="142"/>
      <c r="I46" s="142"/>
      <c r="J46" s="142"/>
      <c r="K46" s="142"/>
      <c r="L46" s="142"/>
      <c r="M46" s="142"/>
      <c r="Q46" s="145"/>
      <c r="U46" s="143"/>
      <c r="V46" s="147"/>
      <c r="W46" s="143"/>
    </row>
    <row r="47" spans="1:29" x14ac:dyDescent="0.25">
      <c r="A47" s="158" t="s">
        <v>264</v>
      </c>
      <c r="B47" s="158" t="s">
        <v>250</v>
      </c>
      <c r="C47" s="385" t="s">
        <v>247</v>
      </c>
      <c r="D47" s="383">
        <f>+'Detailed Capacity Utilisation'!C40</f>
        <v>1540</v>
      </c>
      <c r="E47" s="145">
        <f>+'Detailed Capacity Utilisation'!C122</f>
        <v>1055</v>
      </c>
      <c r="F47" s="145">
        <f>+'Detailed Capacity Utilisation'!C204</f>
        <v>2120</v>
      </c>
      <c r="G47" s="145">
        <f>+'Detailed Capacity Utilisation'!C289</f>
        <v>2217</v>
      </c>
      <c r="H47" s="145">
        <f>+'Detailed Capacity Utilisation'!C376</f>
        <v>1615</v>
      </c>
      <c r="I47" s="145">
        <f>'Detailed Capacity Utilisation'!C464</f>
        <v>1249</v>
      </c>
      <c r="J47" s="145">
        <f>'Detailed Capacity Utilisation'!C553</f>
        <v>1774</v>
      </c>
      <c r="K47" s="145">
        <f>'Detailed Capacity Utilisation'!C642</f>
        <v>2346</v>
      </c>
      <c r="L47" s="145">
        <f>'Detailed Capacity Utilisation'!C731</f>
        <v>690</v>
      </c>
      <c r="M47" s="145">
        <f>'Detailed Capacity Utilisation'!C820</f>
        <v>843</v>
      </c>
      <c r="N47" s="145">
        <f>'Detailed Capacity Utilisation'!C911</f>
        <v>1767</v>
      </c>
      <c r="O47" s="145">
        <f>'Detailed Capacity Utilisation'!C1007</f>
        <v>910</v>
      </c>
      <c r="P47" s="145">
        <f>'Detailed Capacity Utilisation'!C1099</f>
        <v>1320</v>
      </c>
      <c r="Q47" s="145">
        <f>'Detailed Capacity Utilisation'!C1195</f>
        <v>805</v>
      </c>
      <c r="R47" s="142">
        <f>'Detailed Capacity Utilisation'!C1290</f>
        <v>990</v>
      </c>
      <c r="S47" s="145">
        <f>'Detailed Capacity Utilisation'!C1388</f>
        <v>2019</v>
      </c>
      <c r="T47" s="145">
        <f>'Detailed Capacity Utilisation'!C1488</f>
        <v>1932</v>
      </c>
      <c r="U47" s="303">
        <f>'Detailed Capacity Utilisation'!C1592</f>
        <v>2428</v>
      </c>
      <c r="V47" s="380">
        <f>SUM(D47:I47)/6</f>
        <v>1632.6666666666667</v>
      </c>
      <c r="W47" s="377">
        <f t="shared" ref="W47:W48" si="26">SUM(J47:U47)/12</f>
        <v>1485.3333333333333</v>
      </c>
    </row>
    <row r="48" spans="1:29" x14ac:dyDescent="0.25">
      <c r="B48" s="158"/>
      <c r="C48" s="385" t="s">
        <v>14</v>
      </c>
      <c r="D48" s="383">
        <f>+'Detailed Capacity Utilisation'!F40</f>
        <v>1886.1130000000001</v>
      </c>
      <c r="E48" s="145">
        <f>+'Detailed Capacity Utilisation'!F122</f>
        <v>1583.2759999999998</v>
      </c>
      <c r="F48" s="145">
        <f>+'Detailed Capacity Utilisation'!F204</f>
        <v>2343.7000000000003</v>
      </c>
      <c r="G48" s="145">
        <f>+'Detailed Capacity Utilisation'!F289</f>
        <v>2299.2260000000001</v>
      </c>
      <c r="H48" s="145">
        <f>+'Detailed Capacity Utilisation'!F376</f>
        <v>2073.6849999999999</v>
      </c>
      <c r="I48" s="145">
        <f>'Detailed Capacity Utilisation'!F464</f>
        <v>1106.989</v>
      </c>
      <c r="J48" s="145">
        <f>'Detailed Capacity Utilisation'!F553</f>
        <v>592.18000000000006</v>
      </c>
      <c r="K48" s="145">
        <f>'Detailed Capacity Utilisation'!F642</f>
        <v>1870.8050000000001</v>
      </c>
      <c r="L48" s="145">
        <f>'Detailed Capacity Utilisation'!F731</f>
        <v>892.19799999999998</v>
      </c>
      <c r="M48" s="145">
        <f>'Detailed Capacity Utilisation'!F820</f>
        <v>1341.2468999999999</v>
      </c>
      <c r="N48" s="145">
        <f>'Detailed Capacity Utilisation'!F911</f>
        <v>2012.0673000000002</v>
      </c>
      <c r="O48" s="145">
        <f>'Detailed Capacity Utilisation'!F1005</f>
        <v>1028.6043</v>
      </c>
      <c r="P48" s="145">
        <f>'Detailed Capacity Utilisation'!F1099</f>
        <v>1150.75936</v>
      </c>
      <c r="Q48" s="145">
        <f>'Detailed Capacity Utilisation'!F1195</f>
        <v>708.52099999999996</v>
      </c>
      <c r="R48" s="145">
        <f>'Detailed Capacity Utilisation'!F1290</f>
        <v>1336.9199999999998</v>
      </c>
      <c r="S48" s="145">
        <f>'Detailed Capacity Utilisation'!F1390</f>
        <v>1237.4389999999999</v>
      </c>
      <c r="T48" s="145">
        <f>'Detailed Capacity Utilisation'!F1490</f>
        <v>986.85599999999999</v>
      </c>
      <c r="U48" s="303">
        <f>'Detailed Capacity Utilisation'!F1592</f>
        <v>2784.4518000000003</v>
      </c>
      <c r="V48" s="380">
        <f>SUM(D48:I48)/6</f>
        <v>1882.1648333333333</v>
      </c>
      <c r="W48" s="377">
        <f t="shared" si="26"/>
        <v>1328.5040550000001</v>
      </c>
    </row>
    <row r="49" spans="1:29" x14ac:dyDescent="0.25">
      <c r="C49" s="385" t="s">
        <v>252</v>
      </c>
      <c r="D49" s="378">
        <f>+D48/D47</f>
        <v>1.2247487012987013</v>
      </c>
      <c r="E49" s="144">
        <f t="shared" ref="E49" si="27">+E48/E47</f>
        <v>1.5007355450236965</v>
      </c>
      <c r="F49" s="144">
        <f t="shared" ref="F49" si="28">+F48/F47</f>
        <v>1.1055188679245285</v>
      </c>
      <c r="G49" s="144">
        <f t="shared" ref="G49" si="29">+G48/G47</f>
        <v>1.0370888588182228</v>
      </c>
      <c r="H49" s="144">
        <f t="shared" ref="H49:Q49" si="30">+H48/H47</f>
        <v>1.2840154798761609</v>
      </c>
      <c r="I49" s="144">
        <f t="shared" si="30"/>
        <v>0.8863002401921537</v>
      </c>
      <c r="J49" s="144">
        <f t="shared" si="30"/>
        <v>0.33381059751972947</v>
      </c>
      <c r="K49" s="144">
        <f t="shared" si="30"/>
        <v>0.79744458653026429</v>
      </c>
      <c r="L49" s="144">
        <f t="shared" si="30"/>
        <v>1.293040579710145</v>
      </c>
      <c r="M49" s="144">
        <f t="shared" si="30"/>
        <v>1.5910402135231314</v>
      </c>
      <c r="N49" s="144">
        <f t="shared" si="30"/>
        <v>1.13869117147708</v>
      </c>
      <c r="O49" s="144">
        <f t="shared" si="30"/>
        <v>1.1303343956043956</v>
      </c>
      <c r="P49" s="144">
        <f t="shared" si="30"/>
        <v>0.87178739393939397</v>
      </c>
      <c r="Q49" s="144">
        <f t="shared" si="30"/>
        <v>0.88015031055900617</v>
      </c>
      <c r="R49" s="144">
        <f>+R48/R47</f>
        <v>1.3504242424242423</v>
      </c>
      <c r="S49" s="144">
        <f>+S48/S47</f>
        <v>0.61289697870232784</v>
      </c>
      <c r="T49" s="144">
        <f>+T48/T47</f>
        <v>0.51079503105590063</v>
      </c>
      <c r="U49" s="144">
        <f>+U48/U47</f>
        <v>1.1468088138385504</v>
      </c>
      <c r="V49" s="378">
        <f t="shared" ref="V49:W49" si="31">+V48/V47</f>
        <v>1.1528163536137197</v>
      </c>
      <c r="W49" s="372">
        <f t="shared" si="31"/>
        <v>0.8944147587522443</v>
      </c>
    </row>
    <row r="50" spans="1:29" x14ac:dyDescent="0.25">
      <c r="C50" s="385"/>
      <c r="D50" s="147"/>
      <c r="E50" s="142"/>
      <c r="F50" s="142"/>
      <c r="G50" s="142"/>
      <c r="H50" s="142"/>
      <c r="I50" s="142"/>
      <c r="J50" s="142"/>
      <c r="K50" s="142"/>
      <c r="L50" s="142"/>
      <c r="M50" s="142"/>
      <c r="Q50" s="145"/>
      <c r="U50" s="143"/>
      <c r="V50" s="147"/>
      <c r="W50" s="143"/>
    </row>
    <row r="51" spans="1:29" x14ac:dyDescent="0.25">
      <c r="B51" s="158" t="s">
        <v>249</v>
      </c>
      <c r="C51" s="385" t="s">
        <v>247</v>
      </c>
      <c r="D51" s="383">
        <f>+'Detailed Capacity Utilisation'!D38</f>
        <v>18</v>
      </c>
      <c r="E51" s="145">
        <f>+'Detailed Capacity Utilisation'!D120</f>
        <v>14</v>
      </c>
      <c r="F51" s="145">
        <f>+'Detailed Capacity Utilisation'!D202</f>
        <v>23</v>
      </c>
      <c r="G51" s="145">
        <f>+'Detailed Capacity Utilisation'!D287</f>
        <v>25</v>
      </c>
      <c r="H51" s="145">
        <f>+'Detailed Capacity Utilisation'!D374</f>
        <v>19.5</v>
      </c>
      <c r="I51" s="142">
        <f>'Detailed Capacity Utilisation'!D462</f>
        <v>14.5</v>
      </c>
      <c r="J51" s="145">
        <f>'Detailed Capacity Utilisation'!D551</f>
        <v>27</v>
      </c>
      <c r="K51" s="145">
        <f>'Detailed Capacity Utilisation'!D640</f>
        <v>27</v>
      </c>
      <c r="L51" s="145">
        <f>'Detailed Capacity Utilisation'!D729</f>
        <v>10</v>
      </c>
      <c r="M51" s="145">
        <f>'Detailed Capacity Utilisation'!D818</f>
        <v>11</v>
      </c>
      <c r="N51" s="145">
        <f>'Detailed Capacity Utilisation'!D911</f>
        <v>23</v>
      </c>
      <c r="O51" s="145">
        <f>'Detailed Capacity Utilisation'!D1005</f>
        <v>13</v>
      </c>
      <c r="P51" s="145">
        <f>'Detailed Capacity Utilisation'!D1099</f>
        <v>19.5</v>
      </c>
      <c r="Q51" s="145">
        <f>'Detailed Capacity Utilisation'!D1193</f>
        <v>14</v>
      </c>
      <c r="R51" s="142">
        <f>'Detailed Capacity Utilisation'!D1288</f>
        <v>11</v>
      </c>
      <c r="S51" s="145">
        <f>'Detailed Capacity Utilisation'!D1388</f>
        <v>25</v>
      </c>
      <c r="T51" s="145">
        <f>'Detailed Capacity Utilisation'!D1488</f>
        <v>23</v>
      </c>
      <c r="U51" s="303">
        <f>'Detailed Capacity Utilisation'!D1590</f>
        <v>21</v>
      </c>
      <c r="V51" s="380">
        <f>SUM(D51:I51)/6</f>
        <v>19</v>
      </c>
      <c r="W51" s="377">
        <f t="shared" ref="W51:W52" si="32">SUM(J51:U51)/12</f>
        <v>18.708333333333332</v>
      </c>
      <c r="X51" s="330">
        <f>+V47/V51</f>
        <v>85.929824561403507</v>
      </c>
      <c r="AA51" s="327">
        <f>+W47/W51</f>
        <v>79.394209354120264</v>
      </c>
    </row>
    <row r="52" spans="1:29" x14ac:dyDescent="0.25">
      <c r="C52" s="385" t="s">
        <v>14</v>
      </c>
      <c r="D52" s="383">
        <f>+'Detailed Capacity Utilisation'!G38</f>
        <v>24</v>
      </c>
      <c r="E52" s="145">
        <f>+'Detailed Capacity Utilisation'!G120</f>
        <v>20</v>
      </c>
      <c r="F52" s="145">
        <f>+'Detailed Capacity Utilisation'!G202</f>
        <v>24</v>
      </c>
      <c r="G52" s="145">
        <f>+'Detailed Capacity Utilisation'!G287</f>
        <v>27</v>
      </c>
      <c r="H52" s="145">
        <f>+'Detailed Capacity Utilisation'!G374</f>
        <v>25</v>
      </c>
      <c r="I52" s="145">
        <f>'Detailed Capacity Utilisation'!G462</f>
        <v>14</v>
      </c>
      <c r="J52" s="145">
        <f>'Detailed Capacity Utilisation'!G551</f>
        <v>8.5</v>
      </c>
      <c r="K52" s="145">
        <f>'Detailed Capacity Utilisation'!G640</f>
        <v>28.5</v>
      </c>
      <c r="L52" s="145">
        <f>'Detailed Capacity Utilisation'!G729</f>
        <v>12</v>
      </c>
      <c r="M52" s="145">
        <f>'Detailed Capacity Utilisation'!G818</f>
        <v>18</v>
      </c>
      <c r="N52" s="145">
        <f>'Detailed Capacity Utilisation'!G911</f>
        <v>20</v>
      </c>
      <c r="O52" s="145">
        <f>'Detailed Capacity Utilisation'!G1005</f>
        <v>13</v>
      </c>
      <c r="P52" s="145">
        <f>'Detailed Capacity Utilisation'!G1099</f>
        <v>13</v>
      </c>
      <c r="Q52" s="145">
        <f>'Detailed Capacity Utilisation'!G1193</f>
        <v>8.5</v>
      </c>
      <c r="R52" s="142">
        <f>'Detailed Capacity Utilisation'!G1288</f>
        <v>19</v>
      </c>
      <c r="S52" s="145">
        <f>'Detailed Capacity Utilisation'!G1388</f>
        <v>14</v>
      </c>
      <c r="T52" s="145">
        <f>'Detailed Capacity Utilisation'!G1488</f>
        <v>16.5</v>
      </c>
      <c r="U52" s="303">
        <f>'Detailed Capacity Utilisation'!G1590</f>
        <v>25</v>
      </c>
      <c r="V52" s="380">
        <f>SUM(D52:I52)/6</f>
        <v>22.333333333333332</v>
      </c>
      <c r="W52" s="377">
        <f t="shared" si="32"/>
        <v>16.333333333333332</v>
      </c>
      <c r="X52" s="330">
        <f>+V48/V52</f>
        <v>84.276037313432838</v>
      </c>
      <c r="Y52" s="145">
        <f>166*0.71</f>
        <v>117.86</v>
      </c>
      <c r="Z52" s="146">
        <f>+X52/Y52</f>
        <v>0.71505207291220807</v>
      </c>
      <c r="AA52" s="327">
        <f>+W48/W52</f>
        <v>81.336982959183686</v>
      </c>
      <c r="AB52" s="145">
        <v>117.82741250786336</v>
      </c>
      <c r="AC52" s="146">
        <f>+AA52/AB52</f>
        <v>0.69030611152354349</v>
      </c>
    </row>
    <row r="53" spans="1:29" x14ac:dyDescent="0.25">
      <c r="B53" s="158" t="s">
        <v>248</v>
      </c>
      <c r="C53" s="385" t="s">
        <v>247</v>
      </c>
      <c r="D53" s="147"/>
      <c r="E53" s="142"/>
      <c r="F53" s="142"/>
      <c r="G53" s="142"/>
      <c r="H53" s="142"/>
      <c r="I53" s="142"/>
      <c r="J53" s="142"/>
      <c r="K53" s="142"/>
      <c r="L53" s="142"/>
      <c r="M53" s="142"/>
      <c r="Q53" s="145"/>
      <c r="U53" s="143"/>
      <c r="V53" s="330"/>
      <c r="W53" s="382"/>
      <c r="X53" s="330"/>
      <c r="AA53" s="330"/>
    </row>
    <row r="54" spans="1:29" x14ac:dyDescent="0.25">
      <c r="C54" s="385" t="s">
        <v>14</v>
      </c>
      <c r="D54" s="147"/>
      <c r="E54" s="142"/>
      <c r="F54" s="142"/>
      <c r="G54" s="142"/>
      <c r="H54" s="142"/>
      <c r="I54" s="142"/>
      <c r="J54" s="142"/>
      <c r="K54" s="142"/>
      <c r="L54" s="142"/>
      <c r="M54" s="142"/>
      <c r="Q54" s="145"/>
      <c r="U54" s="143"/>
      <c r="V54" s="147"/>
      <c r="W54" s="143"/>
    </row>
    <row r="55" spans="1:29" x14ac:dyDescent="0.25">
      <c r="B55" s="158" t="s">
        <v>263</v>
      </c>
      <c r="C55" s="385" t="s">
        <v>247</v>
      </c>
      <c r="D55" s="383">
        <f>+'Detailed Capacity Utilisation'!D39</f>
        <v>13</v>
      </c>
      <c r="E55" s="145">
        <f>+'Detailed Capacity Utilisation'!D121</f>
        <v>16</v>
      </c>
      <c r="F55" s="145">
        <f>+'Detailed Capacity Utilisation'!D203</f>
        <v>8</v>
      </c>
      <c r="G55" s="145">
        <f>+'Detailed Capacity Utilisation'!D288</f>
        <v>6</v>
      </c>
      <c r="H55" s="145">
        <f>+'Detailed Capacity Utilisation'!D375</f>
        <v>9.5</v>
      </c>
      <c r="I55" s="145">
        <f>'Detailed Capacity Utilisation'!D463</f>
        <v>16.5</v>
      </c>
      <c r="J55" s="145">
        <f>'Detailed Capacity Utilisation'!D552</f>
        <v>3</v>
      </c>
      <c r="K55" s="145">
        <f>'Detailed Capacity Utilisation'!D641</f>
        <v>4</v>
      </c>
      <c r="L55" s="145">
        <f>'Detailed Capacity Utilisation'!D730</f>
        <v>21</v>
      </c>
      <c r="M55" s="145">
        <f>'Detailed Capacity Utilisation'!D819</f>
        <v>20</v>
      </c>
      <c r="N55" s="145">
        <f>'Detailed Capacity Utilisation'!D912</f>
        <v>8</v>
      </c>
      <c r="O55" s="145">
        <f>'Detailed Capacity Utilisation'!D1006</f>
        <v>17</v>
      </c>
      <c r="P55" s="145">
        <f>'Detailed Capacity Utilisation'!D1100</f>
        <v>11.5</v>
      </c>
      <c r="Q55" s="145">
        <f>'Detailed Capacity Utilisation'!D1194</f>
        <v>16</v>
      </c>
      <c r="R55" s="145">
        <f>'Detailed Capacity Utilisation'!D1301</f>
        <v>5</v>
      </c>
      <c r="S55" s="145">
        <f>'Detailed Capacity Utilisation'!D1389</f>
        <v>6</v>
      </c>
      <c r="T55" s="145">
        <f>'Detailed Capacity Utilisation'!D1489</f>
        <v>5</v>
      </c>
      <c r="U55" s="303">
        <f>'Detailed Capacity Utilisation'!D1591</f>
        <v>10</v>
      </c>
      <c r="V55" s="380">
        <f>SUM(D55:I55)/6</f>
        <v>11.5</v>
      </c>
      <c r="W55" s="377">
        <f t="shared" ref="W55:W56" si="33">SUM(J55:U55)/12</f>
        <v>10.541666666666666</v>
      </c>
    </row>
    <row r="56" spans="1:29" x14ac:dyDescent="0.25">
      <c r="B56" s="158"/>
      <c r="C56" s="385" t="s">
        <v>14</v>
      </c>
      <c r="D56" s="383">
        <f>+'Detailed Capacity Utilisation'!G39</f>
        <v>7</v>
      </c>
      <c r="E56" s="145">
        <f>+'Detailed Capacity Utilisation'!G121</f>
        <v>10</v>
      </c>
      <c r="F56" s="145">
        <f>+'Detailed Capacity Utilisation'!G203</f>
        <v>7</v>
      </c>
      <c r="G56" s="145">
        <f>+'Detailed Capacity Utilisation'!G288</f>
        <v>4</v>
      </c>
      <c r="H56" s="145">
        <f>+'Detailed Capacity Utilisation'!G375</f>
        <v>4</v>
      </c>
      <c r="I56" s="145">
        <f>'Detailed Capacity Utilisation'!G463</f>
        <v>17</v>
      </c>
      <c r="J56" s="145">
        <f>'Detailed Capacity Utilisation'!G552</f>
        <v>21.5</v>
      </c>
      <c r="K56" s="145">
        <f>'Detailed Capacity Utilisation'!G641</f>
        <v>2.5</v>
      </c>
      <c r="L56" s="145">
        <f>'Detailed Capacity Utilisation'!G730</f>
        <v>19</v>
      </c>
      <c r="M56" s="145">
        <f>'Detailed Capacity Utilisation'!G819</f>
        <v>13</v>
      </c>
      <c r="N56" s="145">
        <f>'Detailed Capacity Utilisation'!G912</f>
        <v>11</v>
      </c>
      <c r="O56" s="145">
        <f>'Detailed Capacity Utilisation'!G1006</f>
        <v>17</v>
      </c>
      <c r="P56" s="145">
        <f>'Detailed Capacity Utilisation'!G1100</f>
        <v>18</v>
      </c>
      <c r="Q56" s="145">
        <f>'Detailed Capacity Utilisation'!G1194</f>
        <v>21.5</v>
      </c>
      <c r="R56" s="145">
        <f>'Detailed Capacity Utilisation'!G1301</f>
        <v>5.5</v>
      </c>
      <c r="S56" s="145">
        <f>'Detailed Capacity Utilisation'!G1389</f>
        <v>17</v>
      </c>
      <c r="T56" s="145">
        <f>'Detailed Capacity Utilisation'!G1489</f>
        <v>11.5</v>
      </c>
      <c r="U56" s="303">
        <f>'Detailed Capacity Utilisation'!G1591</f>
        <v>6</v>
      </c>
      <c r="V56" s="380">
        <f>SUM(D56:I56)/6</f>
        <v>8.1666666666666661</v>
      </c>
      <c r="W56" s="377">
        <f t="shared" si="33"/>
        <v>13.625</v>
      </c>
    </row>
    <row r="57" spans="1:29" x14ac:dyDescent="0.25">
      <c r="B57" s="158" t="s">
        <v>265</v>
      </c>
      <c r="C57" s="385" t="s">
        <v>247</v>
      </c>
      <c r="D57" s="387">
        <f>+D55+D53+D51</f>
        <v>31</v>
      </c>
      <c r="E57" s="145">
        <f t="shared" ref="E57:I57" si="34">+E55+E53+E51</f>
        <v>30</v>
      </c>
      <c r="F57" s="145">
        <f t="shared" si="34"/>
        <v>31</v>
      </c>
      <c r="G57" s="145">
        <f t="shared" si="34"/>
        <v>31</v>
      </c>
      <c r="H57" s="145">
        <f t="shared" si="34"/>
        <v>29</v>
      </c>
      <c r="I57" s="145">
        <f t="shared" si="34"/>
        <v>31</v>
      </c>
      <c r="J57" s="145">
        <f t="shared" ref="J57:K57" si="35">+J55+J53+J51</f>
        <v>30</v>
      </c>
      <c r="K57" s="145">
        <f t="shared" si="35"/>
        <v>31</v>
      </c>
      <c r="L57" s="145">
        <f t="shared" ref="L57:M57" si="36">+L55+L53+L51</f>
        <v>31</v>
      </c>
      <c r="M57" s="145">
        <f t="shared" si="36"/>
        <v>31</v>
      </c>
      <c r="N57" s="145">
        <f t="shared" ref="N57:O57" si="37">+N55+N53+N51</f>
        <v>31</v>
      </c>
      <c r="O57" s="145">
        <f t="shared" si="37"/>
        <v>30</v>
      </c>
      <c r="P57" s="145">
        <f t="shared" ref="P57:Q57" si="38">+P55+P53+P51</f>
        <v>31</v>
      </c>
      <c r="Q57" s="145">
        <f t="shared" si="38"/>
        <v>30</v>
      </c>
      <c r="R57" s="145">
        <f t="shared" ref="R57:S57" si="39">+R55+R53+R51</f>
        <v>16</v>
      </c>
      <c r="S57" s="145">
        <f t="shared" si="39"/>
        <v>31</v>
      </c>
      <c r="T57" s="145">
        <f t="shared" ref="T57:U57" si="40">+T55+T53+T51</f>
        <v>28</v>
      </c>
      <c r="U57" s="145">
        <f t="shared" si="40"/>
        <v>31</v>
      </c>
      <c r="V57" s="147"/>
      <c r="W57" s="143"/>
    </row>
    <row r="58" spans="1:29" x14ac:dyDescent="0.25">
      <c r="C58" s="385" t="s">
        <v>14</v>
      </c>
      <c r="D58" s="387">
        <f>+D56+D54+D52</f>
        <v>31</v>
      </c>
      <c r="E58" s="336">
        <f t="shared" ref="E58:I58" si="41">+E56+E54+E52</f>
        <v>30</v>
      </c>
      <c r="F58" s="336">
        <f t="shared" si="41"/>
        <v>31</v>
      </c>
      <c r="G58" s="336">
        <f t="shared" si="41"/>
        <v>31</v>
      </c>
      <c r="H58" s="336">
        <f t="shared" si="41"/>
        <v>29</v>
      </c>
      <c r="I58" s="336">
        <f t="shared" si="41"/>
        <v>31</v>
      </c>
      <c r="J58" s="336">
        <f t="shared" ref="J58:K58" si="42">+J56+J54+J52</f>
        <v>30</v>
      </c>
      <c r="K58" s="336">
        <f t="shared" si="42"/>
        <v>31</v>
      </c>
      <c r="L58" s="336">
        <f t="shared" ref="L58:M58" si="43">+L56+L54+L52</f>
        <v>31</v>
      </c>
      <c r="M58" s="336">
        <f t="shared" si="43"/>
        <v>31</v>
      </c>
      <c r="N58" s="336">
        <f t="shared" ref="N58:O58" si="44">+N56+N54+N52</f>
        <v>31</v>
      </c>
      <c r="O58" s="336">
        <f t="shared" si="44"/>
        <v>30</v>
      </c>
      <c r="P58" s="336">
        <f t="shared" ref="P58:Q58" si="45">+P56+P54+P52</f>
        <v>31</v>
      </c>
      <c r="Q58" s="336">
        <f t="shared" si="45"/>
        <v>30</v>
      </c>
      <c r="R58" s="336">
        <f t="shared" ref="R58:S58" si="46">+R56+R54+R52</f>
        <v>24.5</v>
      </c>
      <c r="S58" s="336">
        <f t="shared" si="46"/>
        <v>31</v>
      </c>
      <c r="T58" s="336">
        <f t="shared" ref="T58:U58" si="47">+T56+T54+T52</f>
        <v>28</v>
      </c>
      <c r="U58" s="336">
        <f t="shared" si="47"/>
        <v>31</v>
      </c>
      <c r="V58" s="147"/>
      <c r="W58" s="143"/>
    </row>
    <row r="59" spans="1:29" x14ac:dyDescent="0.25">
      <c r="C59" s="318"/>
      <c r="D59" s="147"/>
      <c r="E59" s="142"/>
      <c r="F59" s="142"/>
      <c r="G59" s="142"/>
      <c r="H59" s="142"/>
      <c r="I59" s="142"/>
      <c r="J59" s="142"/>
      <c r="K59" s="142"/>
      <c r="L59" s="142"/>
      <c r="M59" s="142"/>
      <c r="U59" s="143"/>
      <c r="V59" s="147"/>
      <c r="W59" s="143"/>
    </row>
    <row r="60" spans="1:29" x14ac:dyDescent="0.25">
      <c r="A60" s="158" t="s">
        <v>266</v>
      </c>
      <c r="B60" s="158" t="s">
        <v>250</v>
      </c>
      <c r="C60" s="385" t="s">
        <v>247</v>
      </c>
      <c r="D60" s="383">
        <f>+'Detailed Capacity Utilisation'!C50</f>
        <v>1855</v>
      </c>
      <c r="E60" s="145">
        <f>+'Detailed Capacity Utilisation'!C130</f>
        <v>1035</v>
      </c>
      <c r="F60" s="145">
        <f>+'Detailed Capacity Utilisation'!C215</f>
        <v>945</v>
      </c>
      <c r="G60" s="145">
        <f>+'Detailed Capacity Utilisation'!C300</f>
        <v>680</v>
      </c>
      <c r="H60" s="145">
        <f>+'Detailed Capacity Utilisation'!C387</f>
        <v>980</v>
      </c>
      <c r="I60" s="145">
        <f>'Detailed Capacity Utilisation'!C476</f>
        <v>1465</v>
      </c>
      <c r="J60" s="145">
        <f>'Detailed Capacity Utilisation'!C565</f>
        <v>1553</v>
      </c>
      <c r="K60" s="145">
        <f>'Detailed Capacity Utilisation'!C654</f>
        <v>1390</v>
      </c>
      <c r="L60" s="145">
        <f>'Detailed Capacity Utilisation'!C743</f>
        <v>1300</v>
      </c>
      <c r="M60" s="145">
        <f>'Detailed Capacity Utilisation'!C832</f>
        <v>1775</v>
      </c>
      <c r="N60" s="145">
        <f>'Detailed Capacity Utilisation'!C923</f>
        <v>1470</v>
      </c>
      <c r="O60" s="145">
        <f>'Detailed Capacity Utilisation'!C1017</f>
        <v>1520</v>
      </c>
      <c r="P60" s="145">
        <f>'Detailed Capacity Utilisation'!C1111</f>
        <v>815</v>
      </c>
      <c r="Q60" s="145">
        <f>'Detailed Capacity Utilisation'!C1207</f>
        <v>1290</v>
      </c>
      <c r="R60" s="145">
        <f>'Detailed Capacity Utilisation'!C1302</f>
        <v>1738</v>
      </c>
      <c r="S60" s="145">
        <f>'Detailed Capacity Utilisation'!C1402</f>
        <v>1677</v>
      </c>
      <c r="T60" s="145">
        <f>'Detailed Capacity Utilisation'!C1503</f>
        <v>1480</v>
      </c>
      <c r="U60" s="303">
        <f>'Detailed Capacity Utilisation'!C1605</f>
        <v>1123</v>
      </c>
      <c r="V60" s="380">
        <f>SUM(D60:I60)/6</f>
        <v>1160</v>
      </c>
      <c r="W60" s="377">
        <f t="shared" ref="W60:W61" si="48">SUM(J60:U60)/12</f>
        <v>1427.5833333333333</v>
      </c>
    </row>
    <row r="61" spans="1:29" x14ac:dyDescent="0.25">
      <c r="B61" s="158"/>
      <c r="C61" s="385" t="s">
        <v>14</v>
      </c>
      <c r="D61" s="383">
        <f>+'Detailed Capacity Utilisation'!F50</f>
        <v>1759.5010000000002</v>
      </c>
      <c r="E61" s="145">
        <f>+'Detailed Capacity Utilisation'!F130</f>
        <v>1304.338</v>
      </c>
      <c r="F61" s="145">
        <f>+'Detailed Capacity Utilisation'!F215</f>
        <v>1364.8879999999999</v>
      </c>
      <c r="G61" s="145">
        <f>+'Detailed Capacity Utilisation'!F300</f>
        <v>977.36900000000003</v>
      </c>
      <c r="H61" s="145">
        <f>+'Detailed Capacity Utilisation'!F387</f>
        <v>1448.8130000000001</v>
      </c>
      <c r="I61" s="145">
        <f>'Detailed Capacity Utilisation'!F476</f>
        <v>1603.591774</v>
      </c>
      <c r="J61" s="145">
        <f>'Detailed Capacity Utilisation'!F565</f>
        <v>1636.643</v>
      </c>
      <c r="K61" s="145">
        <f>'Detailed Capacity Utilisation'!F654</f>
        <v>1601.3020000000001</v>
      </c>
      <c r="L61" s="145">
        <f>'Detailed Capacity Utilisation'!F743</f>
        <v>1401.607</v>
      </c>
      <c r="M61" s="145">
        <f>'Detailed Capacity Utilisation'!F832</f>
        <v>1583.105</v>
      </c>
      <c r="N61" s="145">
        <f>'Detailed Capacity Utilisation'!F923</f>
        <v>1378.9686999999999</v>
      </c>
      <c r="O61" s="145">
        <f>'Detailed Capacity Utilisation'!F1017</f>
        <v>1731.558</v>
      </c>
      <c r="P61" s="145">
        <f>'Detailed Capacity Utilisation'!F1111</f>
        <v>1462.8462000000002</v>
      </c>
      <c r="Q61" s="145">
        <f>'Detailed Capacity Utilisation'!F1207</f>
        <v>1489.5410000000002</v>
      </c>
      <c r="R61" s="145">
        <f>'Detailed Capacity Utilisation'!F1302</f>
        <v>1800.4689999999998</v>
      </c>
      <c r="S61" s="145">
        <f>'Detailed Capacity Utilisation'!F1402</f>
        <v>2371.35</v>
      </c>
      <c r="T61" s="145">
        <f>'Detailed Capacity Utilisation'!F1503</f>
        <v>1643.655</v>
      </c>
      <c r="U61" s="303">
        <f>'Detailed Capacity Utilisation'!F1605</f>
        <v>1440.3069999999998</v>
      </c>
      <c r="V61" s="380">
        <f>SUM(D61:I61)/6</f>
        <v>1409.750129</v>
      </c>
      <c r="W61" s="377">
        <f t="shared" si="48"/>
        <v>1628.4459916666665</v>
      </c>
    </row>
    <row r="62" spans="1:29" x14ac:dyDescent="0.25">
      <c r="C62" s="385" t="s">
        <v>252</v>
      </c>
      <c r="D62" s="378">
        <f>+D61/D60</f>
        <v>0.94851805929919153</v>
      </c>
      <c r="E62" s="144">
        <f t="shared" ref="E62" si="49">+E61/E60</f>
        <v>1.2602299516908213</v>
      </c>
      <c r="F62" s="144">
        <f t="shared" ref="F62" si="50">+F61/F60</f>
        <v>1.4443259259259258</v>
      </c>
      <c r="G62" s="144">
        <f t="shared" ref="G62" si="51">+G61/G60</f>
        <v>1.4373073529411766</v>
      </c>
      <c r="H62" s="144">
        <f t="shared" ref="H62:R62" si="52">+H61/H60</f>
        <v>1.4783806122448981</v>
      </c>
      <c r="I62" s="144">
        <f t="shared" si="52"/>
        <v>1.0946018935153583</v>
      </c>
      <c r="J62" s="144">
        <f t="shared" si="52"/>
        <v>1.053858982614295</v>
      </c>
      <c r="K62" s="144">
        <f t="shared" si="52"/>
        <v>1.1520158273381296</v>
      </c>
      <c r="L62" s="144">
        <f t="shared" si="52"/>
        <v>1.0781592307692307</v>
      </c>
      <c r="M62" s="144">
        <f t="shared" si="52"/>
        <v>0.89189014084507046</v>
      </c>
      <c r="N62" s="144">
        <f t="shared" si="52"/>
        <v>0.93807394557823121</v>
      </c>
      <c r="O62" s="144">
        <f t="shared" si="52"/>
        <v>1.1391828947368421</v>
      </c>
      <c r="P62" s="144">
        <f t="shared" si="52"/>
        <v>1.7949033128834357</v>
      </c>
      <c r="Q62" s="144">
        <f t="shared" si="52"/>
        <v>1.1546829457364343</v>
      </c>
      <c r="R62" s="144">
        <f t="shared" si="52"/>
        <v>1.0359430379746835</v>
      </c>
      <c r="S62" s="144">
        <f t="shared" ref="S62:U62" si="53">+S61/S60</f>
        <v>1.4140429338103757</v>
      </c>
      <c r="T62" s="144">
        <f t="shared" si="53"/>
        <v>1.1105777027027026</v>
      </c>
      <c r="U62" s="144">
        <f t="shared" si="53"/>
        <v>1.2825529830810327</v>
      </c>
      <c r="V62" s="378">
        <f t="shared" ref="V62:W62" si="54">+V61/V60</f>
        <v>1.2153018353448275</v>
      </c>
      <c r="W62" s="372">
        <f t="shared" si="54"/>
        <v>1.1407011791489112</v>
      </c>
    </row>
    <row r="63" spans="1:29" x14ac:dyDescent="0.25">
      <c r="C63" s="385"/>
      <c r="D63" s="147"/>
      <c r="E63" s="142"/>
      <c r="F63" s="142"/>
      <c r="G63" s="142"/>
      <c r="H63" s="142"/>
      <c r="I63" s="142"/>
      <c r="J63" s="142"/>
      <c r="K63" s="142"/>
      <c r="L63" s="142"/>
      <c r="M63" s="142"/>
      <c r="U63" s="143"/>
      <c r="V63" s="147"/>
      <c r="W63" s="143"/>
    </row>
    <row r="64" spans="1:29" x14ac:dyDescent="0.25">
      <c r="B64" s="158" t="s">
        <v>249</v>
      </c>
      <c r="C64" s="385" t="s">
        <v>247</v>
      </c>
      <c r="D64" s="383">
        <f>+'Detailed Capacity Utilisation'!D48</f>
        <v>27</v>
      </c>
      <c r="E64" s="145">
        <f>+'Detailed Capacity Utilisation'!D128</f>
        <v>13.5</v>
      </c>
      <c r="F64" s="145">
        <f>+'Detailed Capacity Utilisation'!D213</f>
        <v>10</v>
      </c>
      <c r="G64" s="145">
        <f>+'Detailed Capacity Utilisation'!D298</f>
        <v>11</v>
      </c>
      <c r="H64" s="145">
        <f>+'Detailed Capacity Utilisation'!D385</f>
        <v>14.5</v>
      </c>
      <c r="I64" s="145">
        <f>'Detailed Capacity Utilisation'!D474</f>
        <v>20.5</v>
      </c>
      <c r="J64" s="145">
        <f>'Detailed Capacity Utilisation'!D563</f>
        <v>24.5</v>
      </c>
      <c r="K64" s="145">
        <f>'Detailed Capacity Utilisation'!D652</f>
        <v>20.5</v>
      </c>
      <c r="L64" s="145">
        <f>'Detailed Capacity Utilisation'!D741</f>
        <v>21.5</v>
      </c>
      <c r="M64" s="145">
        <f>'Detailed Capacity Utilisation'!D830</f>
        <v>29</v>
      </c>
      <c r="N64" s="145">
        <f>'Detailed Capacity Utilisation'!D923</f>
        <v>19</v>
      </c>
      <c r="O64" s="145">
        <f>'Detailed Capacity Utilisation'!D1017</f>
        <v>21.5</v>
      </c>
      <c r="P64" s="145">
        <f>'Detailed Capacity Utilisation'!D1111</f>
        <v>13</v>
      </c>
      <c r="Q64" s="145">
        <f>'Detailed Capacity Utilisation'!D1205</f>
        <v>19</v>
      </c>
      <c r="R64" s="145">
        <f>'Detailed Capacity Utilisation'!D1300</f>
        <v>26</v>
      </c>
      <c r="S64" s="145">
        <f>'Detailed Capacity Utilisation'!D1400</f>
        <v>24</v>
      </c>
      <c r="T64" s="145">
        <f>'Detailed Capacity Utilisation'!D1501</f>
        <v>19</v>
      </c>
      <c r="U64" s="303">
        <f>'Detailed Capacity Utilisation'!D1603</f>
        <v>16</v>
      </c>
      <c r="V64" s="380">
        <f>SUM(D64:I64)/6</f>
        <v>16.083333333333332</v>
      </c>
      <c r="W64" s="377">
        <f t="shared" ref="W64:W65" si="55">SUM(J64:U64)/12</f>
        <v>21.083333333333332</v>
      </c>
      <c r="X64" s="330">
        <f>+V60/V64</f>
        <v>72.124352331606218</v>
      </c>
      <c r="AA64" s="327">
        <f>+W60/W64</f>
        <v>67.71146245059289</v>
      </c>
    </row>
    <row r="65" spans="1:29" x14ac:dyDescent="0.25">
      <c r="C65" s="385" t="s">
        <v>14</v>
      </c>
      <c r="D65" s="383">
        <f>+'Detailed Capacity Utilisation'!G48</f>
        <v>29.4</v>
      </c>
      <c r="E65" s="145">
        <f>+'Detailed Capacity Utilisation'!G128</f>
        <v>22.5</v>
      </c>
      <c r="F65" s="145">
        <f>+'Detailed Capacity Utilisation'!G213</f>
        <v>18</v>
      </c>
      <c r="G65" s="145">
        <f>+'Detailed Capacity Utilisation'!G298</f>
        <v>14</v>
      </c>
      <c r="H65" s="145">
        <f>+'Detailed Capacity Utilisation'!G385</f>
        <v>21.5</v>
      </c>
      <c r="I65" s="145">
        <f>'Detailed Capacity Utilisation'!G474</f>
        <v>24.5</v>
      </c>
      <c r="J65" s="145">
        <f>'Detailed Capacity Utilisation'!G563</f>
        <v>22.5</v>
      </c>
      <c r="K65" s="145">
        <f>'Detailed Capacity Utilisation'!G652</f>
        <v>23.5</v>
      </c>
      <c r="L65" s="145">
        <f>'Detailed Capacity Utilisation'!G741</f>
        <v>22.5</v>
      </c>
      <c r="M65" s="145">
        <f>'Detailed Capacity Utilisation'!G830</f>
        <v>26.5</v>
      </c>
      <c r="N65" s="145">
        <f>'Detailed Capacity Utilisation'!G923</f>
        <v>20</v>
      </c>
      <c r="O65" s="145">
        <f>'Detailed Capacity Utilisation'!G1017</f>
        <v>23.5</v>
      </c>
      <c r="P65" s="145">
        <f>'Detailed Capacity Utilisation'!G1111</f>
        <v>19</v>
      </c>
      <c r="Q65" s="145">
        <f>'Detailed Capacity Utilisation'!G1205</f>
        <v>23</v>
      </c>
      <c r="R65" s="145">
        <f>'Detailed Capacity Utilisation'!G1300</f>
        <v>25.5</v>
      </c>
      <c r="S65" s="145">
        <f>'Detailed Capacity Utilisation'!G1400</f>
        <v>28.5</v>
      </c>
      <c r="T65" s="145">
        <f>'Detailed Capacity Utilisation'!G1501</f>
        <v>17</v>
      </c>
      <c r="U65" s="303">
        <f>'Detailed Capacity Utilisation'!G1603</f>
        <v>26</v>
      </c>
      <c r="V65" s="380">
        <f>SUM(D65:I65)/6</f>
        <v>21.650000000000002</v>
      </c>
      <c r="W65" s="377">
        <f t="shared" si="55"/>
        <v>23.125</v>
      </c>
      <c r="X65" s="330">
        <f>+V61/V65</f>
        <v>65.115479399538103</v>
      </c>
      <c r="Y65" s="142">
        <f>165*0.42</f>
        <v>69.3</v>
      </c>
      <c r="Z65" s="146">
        <f>+X65/Y65</f>
        <v>0.93961730735264226</v>
      </c>
      <c r="AA65" s="327">
        <f>+W61/W65</f>
        <v>70.419286126126124</v>
      </c>
      <c r="AB65" s="142">
        <v>78</v>
      </c>
      <c r="AC65" s="146">
        <f>+AA65/AB65</f>
        <v>0.90281136059136058</v>
      </c>
    </row>
    <row r="66" spans="1:29" x14ac:dyDescent="0.25">
      <c r="B66" s="158" t="s">
        <v>248</v>
      </c>
      <c r="C66" s="385" t="s">
        <v>247</v>
      </c>
      <c r="D66" s="147"/>
      <c r="E66" s="142"/>
      <c r="F66" s="142"/>
      <c r="G66" s="142"/>
      <c r="H66" s="142"/>
      <c r="I66" s="142"/>
      <c r="J66" s="142"/>
      <c r="K66" s="142"/>
      <c r="L66" s="142"/>
      <c r="M66" s="142"/>
      <c r="U66" s="143"/>
      <c r="V66" s="330"/>
      <c r="W66" s="382"/>
      <c r="X66" s="330"/>
      <c r="AA66" s="330"/>
    </row>
    <row r="67" spans="1:29" x14ac:dyDescent="0.25">
      <c r="C67" s="385" t="s">
        <v>14</v>
      </c>
      <c r="D67" s="147"/>
      <c r="E67" s="142"/>
      <c r="F67" s="142"/>
      <c r="G67" s="142"/>
      <c r="H67" s="142"/>
      <c r="I67" s="142"/>
      <c r="J67" s="142"/>
      <c r="K67" s="142"/>
      <c r="L67" s="142"/>
      <c r="M67" s="142"/>
      <c r="U67" s="143"/>
      <c r="V67" s="147"/>
      <c r="W67" s="143"/>
    </row>
    <row r="68" spans="1:29" x14ac:dyDescent="0.25">
      <c r="B68" s="158" t="s">
        <v>263</v>
      </c>
      <c r="C68" s="385" t="s">
        <v>247</v>
      </c>
      <c r="D68" s="383">
        <f>+'Detailed Capacity Utilisation'!D49</f>
        <v>4</v>
      </c>
      <c r="E68" s="145">
        <f>+'Detailed Capacity Utilisation'!D129</f>
        <v>16.5</v>
      </c>
      <c r="F68" s="145">
        <f>+'Detailed Capacity Utilisation'!D214</f>
        <v>21</v>
      </c>
      <c r="G68" s="145">
        <f>+'Detailed Capacity Utilisation'!D299</f>
        <v>20</v>
      </c>
      <c r="H68" s="145">
        <f>+'Detailed Capacity Utilisation'!D386</f>
        <v>14.5</v>
      </c>
      <c r="I68" s="145">
        <f>'Detailed Capacity Utilisation'!D475</f>
        <v>10.5</v>
      </c>
      <c r="J68" s="145">
        <f>'Detailed Capacity Utilisation'!D564</f>
        <v>5.5</v>
      </c>
      <c r="K68" s="145">
        <f>'Detailed Capacity Utilisation'!D653</f>
        <v>10.5</v>
      </c>
      <c r="L68" s="145">
        <f>'Detailed Capacity Utilisation'!D742</f>
        <v>8.5</v>
      </c>
      <c r="M68" s="145">
        <f>'Detailed Capacity Utilisation'!D831</f>
        <v>2</v>
      </c>
      <c r="N68" s="145">
        <f>'Detailed Capacity Utilisation'!D924</f>
        <v>12</v>
      </c>
      <c r="O68" s="145">
        <f>'Detailed Capacity Utilisation'!D1018</f>
        <v>8.5</v>
      </c>
      <c r="P68" s="145">
        <f>'Detailed Capacity Utilisation'!D1112</f>
        <v>18</v>
      </c>
      <c r="Q68" s="145">
        <f>'Detailed Capacity Utilisation'!D1206</f>
        <v>11</v>
      </c>
      <c r="R68" s="145">
        <f>'Detailed Capacity Utilisation'!D1301</f>
        <v>5</v>
      </c>
      <c r="S68" s="145">
        <f>'Detailed Capacity Utilisation'!D1401</f>
        <v>7</v>
      </c>
      <c r="T68" s="145">
        <f>'Detailed Capacity Utilisation'!D1502</f>
        <v>9</v>
      </c>
      <c r="U68" s="303">
        <f>'Detailed Capacity Utilisation'!D1604</f>
        <v>15</v>
      </c>
      <c r="V68" s="380">
        <f>SUM(D68:I68)/6</f>
        <v>14.416666666666666</v>
      </c>
      <c r="W68" s="377">
        <f t="shared" ref="W68:W69" si="56">SUM(J68:U68)/12</f>
        <v>9.3333333333333339</v>
      </c>
    </row>
    <row r="69" spans="1:29" x14ac:dyDescent="0.25">
      <c r="B69" s="158"/>
      <c r="C69" s="385" t="s">
        <v>14</v>
      </c>
      <c r="D69" s="383">
        <f>+'Detailed Capacity Utilisation'!G49</f>
        <v>1.6000000000000014</v>
      </c>
      <c r="E69" s="145">
        <f>+'Detailed Capacity Utilisation'!G129</f>
        <v>7.5</v>
      </c>
      <c r="F69" s="145">
        <f>+'Detailed Capacity Utilisation'!G214</f>
        <v>13</v>
      </c>
      <c r="G69" s="145">
        <f>+'Detailed Capacity Utilisation'!G299</f>
        <v>17</v>
      </c>
      <c r="H69" s="145">
        <f>+'Detailed Capacity Utilisation'!G386</f>
        <v>7.5</v>
      </c>
      <c r="I69" s="145">
        <f>'Detailed Capacity Utilisation'!G475</f>
        <v>6.5</v>
      </c>
      <c r="J69" s="145">
        <f>'Detailed Capacity Utilisation'!G564</f>
        <v>7.5</v>
      </c>
      <c r="K69" s="145">
        <f>'Detailed Capacity Utilisation'!G653</f>
        <v>7.5</v>
      </c>
      <c r="L69" s="145">
        <f>'Detailed Capacity Utilisation'!G742</f>
        <v>7.5</v>
      </c>
      <c r="M69" s="145">
        <f>'Detailed Capacity Utilisation'!G831</f>
        <v>4.5</v>
      </c>
      <c r="N69" s="145">
        <f>'Detailed Capacity Utilisation'!G924</f>
        <v>11</v>
      </c>
      <c r="O69" s="145">
        <f>'Detailed Capacity Utilisation'!G1018</f>
        <v>6.5</v>
      </c>
      <c r="P69" s="145">
        <f>'Detailed Capacity Utilisation'!G1112</f>
        <v>12</v>
      </c>
      <c r="Q69" s="145">
        <f>'Detailed Capacity Utilisation'!G1206</f>
        <v>7</v>
      </c>
      <c r="R69" s="145">
        <f>'Detailed Capacity Utilisation'!G1301</f>
        <v>5.5</v>
      </c>
      <c r="S69" s="145">
        <f>'Detailed Capacity Utilisation'!G1401</f>
        <v>2.5</v>
      </c>
      <c r="T69" s="145">
        <f>'Detailed Capacity Utilisation'!G1502</f>
        <v>11</v>
      </c>
      <c r="U69" s="303">
        <f>'Detailed Capacity Utilisation'!G1604</f>
        <v>5</v>
      </c>
      <c r="V69" s="380">
        <f>SUM(D69:I69)/6</f>
        <v>8.85</v>
      </c>
      <c r="W69" s="377">
        <f t="shared" si="56"/>
        <v>7.291666666666667</v>
      </c>
    </row>
    <row r="70" spans="1:29" x14ac:dyDescent="0.25">
      <c r="B70" s="158" t="s">
        <v>265</v>
      </c>
      <c r="C70" s="385" t="s">
        <v>247</v>
      </c>
      <c r="D70" s="387">
        <f>+D68+D66+D64</f>
        <v>31</v>
      </c>
      <c r="E70" s="145">
        <f t="shared" ref="E70:I70" si="57">+E68+E66+E64</f>
        <v>30</v>
      </c>
      <c r="F70" s="145">
        <f t="shared" si="57"/>
        <v>31</v>
      </c>
      <c r="G70" s="145">
        <f t="shared" si="57"/>
        <v>31</v>
      </c>
      <c r="H70" s="145">
        <f t="shared" si="57"/>
        <v>29</v>
      </c>
      <c r="I70" s="145">
        <f t="shared" si="57"/>
        <v>31</v>
      </c>
      <c r="J70" s="145">
        <f t="shared" ref="J70:K70" si="58">+J68+J66+J64</f>
        <v>30</v>
      </c>
      <c r="K70" s="145">
        <f t="shared" si="58"/>
        <v>31</v>
      </c>
      <c r="L70" s="145">
        <f t="shared" ref="L70:M70" si="59">+L68+L66+L64</f>
        <v>30</v>
      </c>
      <c r="M70" s="145">
        <f t="shared" si="59"/>
        <v>31</v>
      </c>
      <c r="N70" s="145">
        <f t="shared" ref="N70:O70" si="60">+N68+N66+N64</f>
        <v>31</v>
      </c>
      <c r="O70" s="145">
        <f t="shared" si="60"/>
        <v>30</v>
      </c>
      <c r="P70" s="145">
        <f t="shared" ref="P70:Q70" si="61">+P68+P66+P64</f>
        <v>31</v>
      </c>
      <c r="Q70" s="145">
        <f t="shared" si="61"/>
        <v>30</v>
      </c>
      <c r="R70" s="145">
        <f t="shared" ref="R70:S70" si="62">+R68+R66+R64</f>
        <v>31</v>
      </c>
      <c r="S70" s="145">
        <f t="shared" si="62"/>
        <v>31</v>
      </c>
      <c r="T70" s="145">
        <f t="shared" ref="T70:U70" si="63">+T68+T66+T64</f>
        <v>28</v>
      </c>
      <c r="U70" s="145">
        <f t="shared" si="63"/>
        <v>31</v>
      </c>
      <c r="V70" s="147"/>
      <c r="W70" s="143"/>
    </row>
    <row r="71" spans="1:29" x14ac:dyDescent="0.25">
      <c r="C71" s="385" t="s">
        <v>14</v>
      </c>
      <c r="D71" s="387">
        <f>+D69+D67+D65</f>
        <v>31</v>
      </c>
      <c r="E71" s="336">
        <f t="shared" ref="E71:I71" si="64">+E69+E67+E65</f>
        <v>30</v>
      </c>
      <c r="F71" s="336">
        <f t="shared" si="64"/>
        <v>31</v>
      </c>
      <c r="G71" s="336">
        <f t="shared" si="64"/>
        <v>31</v>
      </c>
      <c r="H71" s="336">
        <f t="shared" si="64"/>
        <v>29</v>
      </c>
      <c r="I71" s="336">
        <f t="shared" si="64"/>
        <v>31</v>
      </c>
      <c r="J71" s="336">
        <f t="shared" ref="J71:K71" si="65">+J69+J67+J65</f>
        <v>30</v>
      </c>
      <c r="K71" s="336">
        <f t="shared" si="65"/>
        <v>31</v>
      </c>
      <c r="L71" s="336">
        <f t="shared" ref="L71:M71" si="66">+L69+L67+L65</f>
        <v>30</v>
      </c>
      <c r="M71" s="336">
        <f t="shared" si="66"/>
        <v>31</v>
      </c>
      <c r="N71" s="336">
        <f t="shared" ref="N71:O71" si="67">+N69+N67+N65</f>
        <v>31</v>
      </c>
      <c r="O71" s="336">
        <f t="shared" si="67"/>
        <v>30</v>
      </c>
      <c r="P71" s="336">
        <f t="shared" ref="P71:Q71" si="68">+P69+P67+P65</f>
        <v>31</v>
      </c>
      <c r="Q71" s="336">
        <f t="shared" si="68"/>
        <v>30</v>
      </c>
      <c r="R71" s="336">
        <f t="shared" ref="R71:S71" si="69">+R69+R67+R65</f>
        <v>31</v>
      </c>
      <c r="S71" s="336">
        <f t="shared" si="69"/>
        <v>31</v>
      </c>
      <c r="T71" s="336">
        <f t="shared" ref="T71:U71" si="70">+T69+T67+T65</f>
        <v>28</v>
      </c>
      <c r="U71" s="336">
        <f t="shared" si="70"/>
        <v>31</v>
      </c>
      <c r="V71" s="147"/>
      <c r="W71" s="143"/>
    </row>
    <row r="72" spans="1:29" x14ac:dyDescent="0.25">
      <c r="C72" s="318"/>
      <c r="D72" s="147"/>
      <c r="E72" s="142"/>
      <c r="F72" s="142"/>
      <c r="G72" s="142"/>
      <c r="H72" s="142"/>
      <c r="I72" s="142"/>
      <c r="J72" s="142"/>
      <c r="K72" s="142"/>
      <c r="L72" s="142"/>
      <c r="M72" s="142"/>
      <c r="U72" s="143"/>
      <c r="V72" s="147"/>
      <c r="W72" s="143"/>
    </row>
    <row r="73" spans="1:29" x14ac:dyDescent="0.25">
      <c r="A73" s="158" t="s">
        <v>267</v>
      </c>
      <c r="B73" s="158" t="s">
        <v>250</v>
      </c>
      <c r="C73" s="385" t="s">
        <v>247</v>
      </c>
      <c r="D73" s="383">
        <f>+'Detailed Capacity Utilisation'!C58</f>
        <v>1564</v>
      </c>
      <c r="E73" s="145">
        <f>+'Detailed Capacity Utilisation'!C138</f>
        <v>1910</v>
      </c>
      <c r="F73" s="145">
        <f>+'Detailed Capacity Utilisation'!C223</f>
        <v>1853</v>
      </c>
      <c r="G73" s="145">
        <f>+'Detailed Capacity Utilisation'!C309</f>
        <v>1867</v>
      </c>
      <c r="H73" s="145">
        <f>+'Detailed Capacity Utilisation'!C396</f>
        <v>1448</v>
      </c>
      <c r="I73" s="145">
        <f>'Detailed Capacity Utilisation'!C485</f>
        <v>1992</v>
      </c>
      <c r="J73" s="145">
        <f>'Detailed Capacity Utilisation'!C574</f>
        <v>2060</v>
      </c>
      <c r="K73" s="145">
        <f>'Detailed Capacity Utilisation'!C663</f>
        <v>2012</v>
      </c>
      <c r="L73" s="145">
        <f>'Detailed Capacity Utilisation'!C752</f>
        <v>2106</v>
      </c>
      <c r="M73" s="145">
        <f>'Detailed Capacity Utilisation'!C841</f>
        <v>1854</v>
      </c>
      <c r="N73" s="145">
        <f>'Detailed Capacity Utilisation'!C934</f>
        <v>2120</v>
      </c>
      <c r="O73" s="145">
        <f>'Detailed Capacity Utilisation'!C1028</f>
        <v>1980</v>
      </c>
      <c r="P73" s="145">
        <f>'Detailed Capacity Utilisation'!C1122</f>
        <v>2563</v>
      </c>
      <c r="Q73" s="145">
        <f>'Detailed Capacity Utilisation'!C1216</f>
        <v>2460</v>
      </c>
      <c r="R73" s="145">
        <f>'Detailed Capacity Utilisation'!C1311</f>
        <v>2195</v>
      </c>
      <c r="S73" s="145">
        <f>'Detailed Capacity Utilisation'!C1411</f>
        <v>2180</v>
      </c>
      <c r="T73" s="145">
        <f>'Detailed Capacity Utilisation'!C1512</f>
        <v>1640</v>
      </c>
      <c r="U73" s="303">
        <f>'Detailed Capacity Utilisation'!C1614</f>
        <v>2146</v>
      </c>
      <c r="V73" s="380">
        <f>SUM(D73:I73)/6</f>
        <v>1772.3333333333333</v>
      </c>
      <c r="W73" s="377">
        <f t="shared" ref="W73:W74" si="71">SUM(J73:U73)/12</f>
        <v>2109.6666666666665</v>
      </c>
    </row>
    <row r="74" spans="1:29" x14ac:dyDescent="0.25">
      <c r="B74" s="158"/>
      <c r="C74" s="385" t="s">
        <v>14</v>
      </c>
      <c r="D74" s="383">
        <f>+'Detailed Capacity Utilisation'!F58</f>
        <v>783.56249999999989</v>
      </c>
      <c r="E74" s="145">
        <f>+'Detailed Capacity Utilisation'!F138</f>
        <v>1673.4</v>
      </c>
      <c r="F74" s="145">
        <f>+'Detailed Capacity Utilisation'!F223</f>
        <v>1983.3675000000001</v>
      </c>
      <c r="G74" s="145">
        <f>+'Detailed Capacity Utilisation'!F309</f>
        <v>2267.5714000000003</v>
      </c>
      <c r="H74" s="145">
        <f>+'Detailed Capacity Utilisation'!F396</f>
        <v>962.57499999999993</v>
      </c>
      <c r="I74" s="145">
        <f>'Detailed Capacity Utilisation'!F485</f>
        <v>2054.0150000000003</v>
      </c>
      <c r="J74" s="145">
        <f>'Detailed Capacity Utilisation'!F574</f>
        <v>2041.0499999999997</v>
      </c>
      <c r="K74" s="145">
        <f>'Detailed Capacity Utilisation'!F663</f>
        <v>1974.0799999999997</v>
      </c>
      <c r="L74" s="145">
        <f>'Detailed Capacity Utilisation'!F752</f>
        <v>2177.9049999999997</v>
      </c>
      <c r="M74" s="145">
        <f>'Detailed Capacity Utilisation'!F841</f>
        <v>1940.4870000000001</v>
      </c>
      <c r="N74" s="145">
        <f>'Detailed Capacity Utilisation'!F934</f>
        <v>2447.6999999999998</v>
      </c>
      <c r="O74" s="145">
        <f>'Detailed Capacity Utilisation'!F1028</f>
        <v>1853.9059999999999</v>
      </c>
      <c r="P74" s="145">
        <f>'Detailed Capacity Utilisation'!F1122</f>
        <v>2252.5</v>
      </c>
      <c r="Q74" s="145">
        <f>'Detailed Capacity Utilisation'!F1216</f>
        <v>2542.1999999999998</v>
      </c>
      <c r="R74" s="145">
        <f>'Detailed Capacity Utilisation'!F1311</f>
        <v>2405</v>
      </c>
      <c r="S74" s="145">
        <f>'Detailed Capacity Utilisation'!F1411</f>
        <v>2046.5</v>
      </c>
      <c r="T74" s="145">
        <f>'Detailed Capacity Utilisation'!F1512</f>
        <v>1582.5</v>
      </c>
      <c r="U74" s="303">
        <f>'Detailed Capacity Utilisation'!F1614</f>
        <v>1845.8</v>
      </c>
      <c r="V74" s="380">
        <f>SUM(D74:I74)/6</f>
        <v>1620.7485666666669</v>
      </c>
      <c r="W74" s="377">
        <f t="shared" si="71"/>
        <v>2092.4689999999996</v>
      </c>
    </row>
    <row r="75" spans="1:29" x14ac:dyDescent="0.25">
      <c r="C75" s="385" t="s">
        <v>252</v>
      </c>
      <c r="D75" s="378">
        <f>+D74/D73</f>
        <v>0.50099904092071601</v>
      </c>
      <c r="E75" s="144">
        <f t="shared" ref="E75" si="72">+E74/E73</f>
        <v>0.8761256544502618</v>
      </c>
      <c r="F75" s="144">
        <f t="shared" ref="F75" si="73">+F74/F73</f>
        <v>1.0703548300053967</v>
      </c>
      <c r="G75" s="144">
        <f t="shared" ref="G75" si="74">+G74/G73</f>
        <v>1.2145535083020891</v>
      </c>
      <c r="H75" s="144">
        <f t="shared" ref="H75:U75" si="75">+H74/H73</f>
        <v>0.66476174033149171</v>
      </c>
      <c r="I75" s="144">
        <f t="shared" si="75"/>
        <v>1.0311320281124499</v>
      </c>
      <c r="J75" s="144">
        <f t="shared" si="75"/>
        <v>0.99080097087378627</v>
      </c>
      <c r="K75" s="144">
        <f t="shared" si="75"/>
        <v>0.98115308151093428</v>
      </c>
      <c r="L75" s="144">
        <f t="shared" si="75"/>
        <v>1.0341429249762581</v>
      </c>
      <c r="M75" s="144">
        <f t="shared" si="75"/>
        <v>1.0466488673139158</v>
      </c>
      <c r="N75" s="144">
        <f t="shared" si="75"/>
        <v>1.1545754716981131</v>
      </c>
      <c r="O75" s="144">
        <f t="shared" si="75"/>
        <v>0.9363161616161616</v>
      </c>
      <c r="P75" s="144">
        <f t="shared" si="75"/>
        <v>0.87885290674990246</v>
      </c>
      <c r="Q75" s="144">
        <f t="shared" si="75"/>
        <v>1.0334146341463415</v>
      </c>
      <c r="R75" s="144">
        <f t="shared" si="75"/>
        <v>1.0956719817767653</v>
      </c>
      <c r="S75" s="144">
        <f t="shared" si="75"/>
        <v>0.93876146788990822</v>
      </c>
      <c r="T75" s="144">
        <f t="shared" si="75"/>
        <v>0.96493902439024393</v>
      </c>
      <c r="U75" s="144">
        <f t="shared" si="75"/>
        <v>0.86011183597390495</v>
      </c>
      <c r="V75" s="378">
        <f t="shared" ref="V75:W75" si="76">+V74/V73</f>
        <v>0.91447163814180943</v>
      </c>
      <c r="W75" s="372">
        <f t="shared" si="76"/>
        <v>0.99184815926686665</v>
      </c>
    </row>
    <row r="76" spans="1:29" x14ac:dyDescent="0.25">
      <c r="C76" s="385"/>
      <c r="D76" s="147"/>
      <c r="E76" s="142"/>
      <c r="F76" s="142"/>
      <c r="G76" s="142"/>
      <c r="H76" s="142"/>
      <c r="I76" s="142"/>
      <c r="J76" s="142"/>
      <c r="K76" s="142"/>
      <c r="L76" s="142"/>
      <c r="M76" s="142"/>
      <c r="U76" s="143"/>
      <c r="V76" s="147"/>
      <c r="W76" s="143"/>
    </row>
    <row r="77" spans="1:29" x14ac:dyDescent="0.25">
      <c r="B77" s="158" t="s">
        <v>249</v>
      </c>
      <c r="C77" s="385" t="s">
        <v>247</v>
      </c>
      <c r="D77" s="383">
        <f>+'Detailed Capacity Utilisation'!D56</f>
        <v>23.5</v>
      </c>
      <c r="E77" s="145">
        <f>+'Detailed Capacity Utilisation'!D136</f>
        <v>25</v>
      </c>
      <c r="F77" s="145">
        <f>+'Detailed Capacity Utilisation'!D221</f>
        <v>23</v>
      </c>
      <c r="G77" s="145">
        <f>+'Detailed Capacity Utilisation'!D307</f>
        <v>22.5</v>
      </c>
      <c r="H77" s="145">
        <f>+'Detailed Capacity Utilisation'!D394</f>
        <v>20</v>
      </c>
      <c r="I77" s="145">
        <f>'Detailed Capacity Utilisation'!D483</f>
        <v>23.5</v>
      </c>
      <c r="J77" s="145">
        <f>'Detailed Capacity Utilisation'!D572</f>
        <v>26</v>
      </c>
      <c r="K77" s="145">
        <f>'Detailed Capacity Utilisation'!D661</f>
        <v>25.8</v>
      </c>
      <c r="L77" s="145">
        <f>'Detailed Capacity Utilisation'!D750</f>
        <v>25</v>
      </c>
      <c r="M77" s="145">
        <f>'Detailed Capacity Utilisation'!D839</f>
        <v>25</v>
      </c>
      <c r="N77" s="145">
        <f>'Detailed Capacity Utilisation'!D932</f>
        <v>24</v>
      </c>
      <c r="O77" s="145">
        <f>'Detailed Capacity Utilisation'!D1026</f>
        <v>22.7</v>
      </c>
      <c r="P77" s="145">
        <f>'Detailed Capacity Utilisation'!D1120</f>
        <v>26</v>
      </c>
      <c r="Q77" s="145">
        <f>'Detailed Capacity Utilisation'!D1214</f>
        <v>26</v>
      </c>
      <c r="R77" s="145">
        <f>'Detailed Capacity Utilisation'!D1309</f>
        <v>27.5</v>
      </c>
      <c r="S77" s="145">
        <f>'Detailed Capacity Utilisation'!D1409</f>
        <v>26</v>
      </c>
      <c r="T77" s="145">
        <f>'Detailed Capacity Utilisation'!D1510</f>
        <v>20</v>
      </c>
      <c r="U77" s="303">
        <f>'Detailed Capacity Utilisation'!D1612</f>
        <v>25</v>
      </c>
      <c r="V77" s="380">
        <f>SUM(D77:I77)/6</f>
        <v>22.916666666666668</v>
      </c>
      <c r="W77" s="377">
        <f t="shared" ref="W77:W78" si="77">SUM(J77:U77)/12</f>
        <v>24.916666666666668</v>
      </c>
      <c r="X77" s="330">
        <f>+V73/V77</f>
        <v>77.338181818181809</v>
      </c>
      <c r="AA77" s="327">
        <f>+W73/W77</f>
        <v>84.668896321070221</v>
      </c>
    </row>
    <row r="78" spans="1:29" x14ac:dyDescent="0.25">
      <c r="C78" s="385" t="s">
        <v>14</v>
      </c>
      <c r="D78" s="383">
        <f>+'Detailed Capacity Utilisation'!G56</f>
        <v>16</v>
      </c>
      <c r="E78" s="145">
        <f>+'Detailed Capacity Utilisation'!G136</f>
        <v>23.5</v>
      </c>
      <c r="F78" s="145">
        <f>+'Detailed Capacity Utilisation'!G221</f>
        <v>26</v>
      </c>
      <c r="G78" s="145">
        <f>+'Detailed Capacity Utilisation'!G307</f>
        <v>32</v>
      </c>
      <c r="H78" s="145">
        <f>+'Detailed Capacity Utilisation'!G394</f>
        <v>16</v>
      </c>
      <c r="I78" s="145">
        <f>'Detailed Capacity Utilisation'!G483</f>
        <v>28.5</v>
      </c>
      <c r="J78" s="145">
        <f>'Detailed Capacity Utilisation'!G572</f>
        <v>27.5</v>
      </c>
      <c r="K78" s="145">
        <f>'Detailed Capacity Utilisation'!G661</f>
        <v>27</v>
      </c>
      <c r="L78" s="145">
        <f>'Detailed Capacity Utilisation'!G750</f>
        <v>27.5</v>
      </c>
      <c r="M78" s="145">
        <f>'Detailed Capacity Utilisation'!G839</f>
        <v>29</v>
      </c>
      <c r="N78" s="145">
        <f>'Detailed Capacity Utilisation'!G932</f>
        <v>30</v>
      </c>
      <c r="O78" s="145">
        <f>'Detailed Capacity Utilisation'!G1026</f>
        <v>23</v>
      </c>
      <c r="P78" s="145">
        <f>'Detailed Capacity Utilisation'!G1120</f>
        <v>29</v>
      </c>
      <c r="Q78" s="145">
        <f>'Detailed Capacity Utilisation'!G1214</f>
        <v>28.1</v>
      </c>
      <c r="R78" s="145">
        <f>'Detailed Capacity Utilisation'!G1309</f>
        <v>27.5</v>
      </c>
      <c r="S78" s="145">
        <f>'Detailed Capacity Utilisation'!G1409</f>
        <v>27</v>
      </c>
      <c r="T78" s="145">
        <f>'Detailed Capacity Utilisation'!G1510</f>
        <v>17</v>
      </c>
      <c r="U78" s="303">
        <f>'Detailed Capacity Utilisation'!G1612</f>
        <v>23.5</v>
      </c>
      <c r="V78" s="380">
        <f>SUM(D78:I78)/6</f>
        <v>23.666666666666668</v>
      </c>
      <c r="W78" s="377">
        <f t="shared" si="77"/>
        <v>26.341666666666669</v>
      </c>
      <c r="X78" s="330">
        <f>+V74/V78</f>
        <v>68.48233380281691</v>
      </c>
      <c r="Y78" s="142">
        <v>80</v>
      </c>
      <c r="Z78" s="146">
        <f>+X78/Y78</f>
        <v>0.85602917253521138</v>
      </c>
      <c r="AA78" s="327">
        <f>+W74/W78</f>
        <v>79.435710218285337</v>
      </c>
      <c r="AB78" s="142">
        <v>90</v>
      </c>
      <c r="AC78" s="146">
        <f>+AA78/AB78</f>
        <v>0.8826190024253926</v>
      </c>
    </row>
    <row r="79" spans="1:29" x14ac:dyDescent="0.25">
      <c r="B79" s="158" t="s">
        <v>248</v>
      </c>
      <c r="C79" s="385" t="s">
        <v>247</v>
      </c>
      <c r="D79" s="147"/>
      <c r="E79" s="142"/>
      <c r="F79" s="142"/>
      <c r="G79" s="142"/>
      <c r="H79" s="142"/>
      <c r="I79" s="142"/>
      <c r="J79" s="142"/>
      <c r="K79" s="142"/>
      <c r="L79" s="142"/>
      <c r="M79" s="142"/>
      <c r="U79" s="143"/>
      <c r="V79" s="330"/>
      <c r="W79" s="382"/>
      <c r="X79" s="330"/>
      <c r="AA79" s="330"/>
    </row>
    <row r="80" spans="1:29" x14ac:dyDescent="0.25">
      <c r="C80" s="385" t="s">
        <v>14</v>
      </c>
      <c r="D80" s="147"/>
      <c r="E80" s="142"/>
      <c r="F80" s="142"/>
      <c r="G80" s="142"/>
      <c r="H80" s="142"/>
      <c r="I80" s="142"/>
      <c r="J80" s="142"/>
      <c r="K80" s="142"/>
      <c r="L80" s="142"/>
      <c r="M80" s="142"/>
      <c r="U80" s="143"/>
      <c r="V80" s="147"/>
      <c r="W80" s="143"/>
    </row>
    <row r="81" spans="1:29" x14ac:dyDescent="0.25">
      <c r="B81" s="158" t="s">
        <v>263</v>
      </c>
      <c r="C81" s="385" t="s">
        <v>247</v>
      </c>
      <c r="D81" s="383">
        <f>+'Detailed Capacity Utilisation'!D57</f>
        <v>7.5</v>
      </c>
      <c r="E81" s="145">
        <f>+'Detailed Capacity Utilisation'!D137</f>
        <v>5</v>
      </c>
      <c r="F81" s="145">
        <f>+'Detailed Capacity Utilisation'!D222</f>
        <v>8</v>
      </c>
      <c r="G81" s="145">
        <f>+'Detailed Capacity Utilisation'!D308</f>
        <v>8.5</v>
      </c>
      <c r="H81" s="145">
        <f>+'Detailed Capacity Utilisation'!D395</f>
        <v>9</v>
      </c>
      <c r="I81" s="145">
        <f>'Detailed Capacity Utilisation'!D484</f>
        <v>7.5</v>
      </c>
      <c r="J81" s="145">
        <f>'Detailed Capacity Utilisation'!D573</f>
        <v>4</v>
      </c>
      <c r="K81" s="145">
        <f>'Detailed Capacity Utilisation'!D662</f>
        <v>5.1999999999999993</v>
      </c>
      <c r="L81" s="145">
        <f>'Detailed Capacity Utilisation'!D751</f>
        <v>5</v>
      </c>
      <c r="M81" s="145">
        <f>'Detailed Capacity Utilisation'!D840</f>
        <v>6</v>
      </c>
      <c r="N81" s="145">
        <f>'Detailed Capacity Utilisation'!D933</f>
        <v>7</v>
      </c>
      <c r="O81" s="145">
        <f>'Detailed Capacity Utilisation'!D1027</f>
        <v>7.3000000000000007</v>
      </c>
      <c r="P81" s="145">
        <f>'Detailed Capacity Utilisation'!D1121</f>
        <v>5</v>
      </c>
      <c r="Q81" s="145">
        <f>'Detailed Capacity Utilisation'!D1215</f>
        <v>4</v>
      </c>
      <c r="R81" s="145">
        <f>'Detailed Capacity Utilisation'!D1310</f>
        <v>3.5</v>
      </c>
      <c r="S81" s="145">
        <f>'Detailed Capacity Utilisation'!D1410</f>
        <v>5</v>
      </c>
      <c r="T81" s="145">
        <f>'Detailed Capacity Utilisation'!D1511</f>
        <v>8</v>
      </c>
      <c r="U81" s="303">
        <f>'Detailed Capacity Utilisation'!D1613</f>
        <v>6</v>
      </c>
      <c r="V81" s="380">
        <f>SUM(D81:I81)/6</f>
        <v>7.583333333333333</v>
      </c>
      <c r="W81" s="377">
        <f t="shared" ref="W81:W82" si="78">SUM(J81:U81)/12</f>
        <v>5.5</v>
      </c>
    </row>
    <row r="82" spans="1:29" x14ac:dyDescent="0.25">
      <c r="B82" s="158"/>
      <c r="C82" s="385" t="s">
        <v>14</v>
      </c>
      <c r="D82" s="383">
        <f>+'Detailed Capacity Utilisation'!G57</f>
        <v>15</v>
      </c>
      <c r="E82" s="145">
        <f>+'Detailed Capacity Utilisation'!G137</f>
        <v>6.5</v>
      </c>
      <c r="F82" s="145">
        <f>+'Detailed Capacity Utilisation'!G222</f>
        <v>5</v>
      </c>
      <c r="G82" s="145">
        <f>+'Detailed Capacity Utilisation'!G308</f>
        <v>-1</v>
      </c>
      <c r="H82" s="145">
        <f>+'Detailed Capacity Utilisation'!G395</f>
        <v>13</v>
      </c>
      <c r="I82" s="145">
        <f>'Detailed Capacity Utilisation'!G484</f>
        <v>2.5</v>
      </c>
      <c r="J82" s="145">
        <f>'Detailed Capacity Utilisation'!G573</f>
        <v>2.5</v>
      </c>
      <c r="K82" s="145">
        <f>'Detailed Capacity Utilisation'!G662</f>
        <v>4</v>
      </c>
      <c r="L82" s="145">
        <f>'Detailed Capacity Utilisation'!G751</f>
        <v>2.5</v>
      </c>
      <c r="M82" s="145">
        <f>'Detailed Capacity Utilisation'!G840</f>
        <v>2</v>
      </c>
      <c r="N82" s="145">
        <f>'Detailed Capacity Utilisation'!G933</f>
        <v>1</v>
      </c>
      <c r="O82" s="145">
        <f>'Detailed Capacity Utilisation'!G1027</f>
        <v>7</v>
      </c>
      <c r="P82" s="145">
        <f>'Detailed Capacity Utilisation'!G1121</f>
        <v>2</v>
      </c>
      <c r="Q82" s="145">
        <f>'Detailed Capacity Utilisation'!G1215</f>
        <v>1.8999999999999986</v>
      </c>
      <c r="R82" s="145">
        <f>'Detailed Capacity Utilisation'!G1310</f>
        <v>3.5</v>
      </c>
      <c r="S82" s="145">
        <f>'Detailed Capacity Utilisation'!G1410</f>
        <v>4</v>
      </c>
      <c r="T82" s="145">
        <f>'Detailed Capacity Utilisation'!G1511</f>
        <v>11</v>
      </c>
      <c r="U82" s="303">
        <f>'Detailed Capacity Utilisation'!G1613</f>
        <v>7.5</v>
      </c>
      <c r="V82" s="380">
        <f>SUM(D82:I82)/6</f>
        <v>6.833333333333333</v>
      </c>
      <c r="W82" s="377">
        <f t="shared" si="78"/>
        <v>4.0750000000000002</v>
      </c>
    </row>
    <row r="83" spans="1:29" x14ac:dyDescent="0.25">
      <c r="B83" s="158" t="s">
        <v>265</v>
      </c>
      <c r="C83" s="385" t="s">
        <v>247</v>
      </c>
      <c r="D83" s="387">
        <f>+D81+D79+D77</f>
        <v>31</v>
      </c>
      <c r="E83" s="145">
        <f t="shared" ref="E83:H83" si="79">+E81+E79+E77</f>
        <v>30</v>
      </c>
      <c r="F83" s="145">
        <f t="shared" si="79"/>
        <v>31</v>
      </c>
      <c r="G83" s="145">
        <f t="shared" si="79"/>
        <v>31</v>
      </c>
      <c r="H83" s="145">
        <f t="shared" si="79"/>
        <v>29</v>
      </c>
      <c r="I83" s="145">
        <f t="shared" ref="I83:J83" si="80">+I81+I79+I77</f>
        <v>31</v>
      </c>
      <c r="J83" s="145">
        <f t="shared" si="80"/>
        <v>30</v>
      </c>
      <c r="K83" s="145">
        <f t="shared" ref="K83:L83" si="81">+K81+K79+K77</f>
        <v>31</v>
      </c>
      <c r="L83" s="145">
        <f t="shared" si="81"/>
        <v>30</v>
      </c>
      <c r="M83" s="145">
        <f t="shared" ref="M83:N83" si="82">+M81+M79+M77</f>
        <v>31</v>
      </c>
      <c r="N83" s="145">
        <f t="shared" si="82"/>
        <v>31</v>
      </c>
      <c r="O83" s="145">
        <f t="shared" ref="O83:P83" si="83">+O81+O79+O77</f>
        <v>30</v>
      </c>
      <c r="P83" s="145">
        <f t="shared" si="83"/>
        <v>31</v>
      </c>
      <c r="Q83" s="145">
        <f t="shared" ref="Q83:R83" si="84">+Q81+Q79+Q77</f>
        <v>30</v>
      </c>
      <c r="R83" s="145">
        <f t="shared" si="84"/>
        <v>31</v>
      </c>
      <c r="S83" s="145">
        <f t="shared" ref="S83:T83" si="85">+S81+S79+S77</f>
        <v>31</v>
      </c>
      <c r="T83" s="145">
        <f t="shared" si="85"/>
        <v>28</v>
      </c>
      <c r="U83" s="145">
        <f t="shared" ref="U83" si="86">+U81+U79+U77</f>
        <v>31</v>
      </c>
      <c r="V83" s="147"/>
      <c r="W83" s="143"/>
    </row>
    <row r="84" spans="1:29" x14ac:dyDescent="0.25">
      <c r="C84" s="385" t="s">
        <v>14</v>
      </c>
      <c r="D84" s="387">
        <f>+D82+D80+D78</f>
        <v>31</v>
      </c>
      <c r="E84" s="336">
        <f t="shared" ref="E84:H84" si="87">+E82+E80+E78</f>
        <v>30</v>
      </c>
      <c r="F84" s="336">
        <f t="shared" si="87"/>
        <v>31</v>
      </c>
      <c r="G84" s="336">
        <f t="shared" si="87"/>
        <v>31</v>
      </c>
      <c r="H84" s="336">
        <f t="shared" si="87"/>
        <v>29</v>
      </c>
      <c r="I84" s="336">
        <f t="shared" ref="I84:J84" si="88">+I82+I80+I78</f>
        <v>31</v>
      </c>
      <c r="J84" s="336">
        <f t="shared" si="88"/>
        <v>30</v>
      </c>
      <c r="K84" s="336">
        <f t="shared" ref="K84:L84" si="89">+K82+K80+K78</f>
        <v>31</v>
      </c>
      <c r="L84" s="336">
        <f t="shared" si="89"/>
        <v>30</v>
      </c>
      <c r="M84" s="336">
        <f t="shared" ref="M84:N84" si="90">+M82+M80+M78</f>
        <v>31</v>
      </c>
      <c r="N84" s="336">
        <f t="shared" si="90"/>
        <v>31</v>
      </c>
      <c r="O84" s="336">
        <f t="shared" ref="O84:P84" si="91">+O82+O80+O78</f>
        <v>30</v>
      </c>
      <c r="P84" s="336">
        <f t="shared" si="91"/>
        <v>31</v>
      </c>
      <c r="Q84" s="336">
        <f t="shared" ref="Q84:R84" si="92">+Q82+Q80+Q78</f>
        <v>30</v>
      </c>
      <c r="R84" s="336">
        <f t="shared" si="92"/>
        <v>31</v>
      </c>
      <c r="S84" s="336">
        <f t="shared" ref="S84:T84" si="93">+S82+S80+S78</f>
        <v>31</v>
      </c>
      <c r="T84" s="336">
        <f t="shared" si="93"/>
        <v>28</v>
      </c>
      <c r="U84" s="336">
        <f t="shared" ref="U84" si="94">+U82+U80+U78</f>
        <v>31</v>
      </c>
      <c r="V84" s="147"/>
      <c r="W84" s="143"/>
    </row>
    <row r="85" spans="1:29" x14ac:dyDescent="0.25">
      <c r="C85" s="318"/>
      <c r="D85" s="147"/>
      <c r="E85" s="142"/>
      <c r="F85" s="142"/>
      <c r="G85" s="142"/>
      <c r="H85" s="142"/>
      <c r="I85" s="142"/>
      <c r="J85" s="142"/>
      <c r="K85" s="142"/>
      <c r="L85" s="142"/>
      <c r="M85" s="142"/>
      <c r="U85" s="143"/>
      <c r="V85" s="147"/>
      <c r="W85" s="143"/>
    </row>
    <row r="86" spans="1:29" x14ac:dyDescent="0.25">
      <c r="A86" s="158" t="s">
        <v>268</v>
      </c>
      <c r="B86" s="158" t="s">
        <v>250</v>
      </c>
      <c r="C86" s="385" t="s">
        <v>247</v>
      </c>
      <c r="D86" s="383">
        <f>+'Detailed Capacity Utilisation'!C67</f>
        <v>3280</v>
      </c>
      <c r="E86" s="145">
        <f>+'Detailed Capacity Utilisation'!C146</f>
        <v>3250</v>
      </c>
      <c r="F86" s="145">
        <f>+'Detailed Capacity Utilisation'!C231</f>
        <v>3170</v>
      </c>
      <c r="G86" s="145">
        <f>+'Detailed Capacity Utilisation'!C318</f>
        <v>2540</v>
      </c>
      <c r="H86" s="145">
        <f>+'Detailed Capacity Utilisation'!C406</f>
        <v>2060</v>
      </c>
      <c r="I86" s="145">
        <f>'Detailed Capacity Utilisation'!C495</f>
        <v>3235</v>
      </c>
      <c r="J86" s="145">
        <f>'Detailed Capacity Utilisation'!C584</f>
        <v>4700</v>
      </c>
      <c r="K86" s="145">
        <f>'Detailed Capacity Utilisation'!C673</f>
        <v>2630</v>
      </c>
      <c r="L86" s="145">
        <f>'Detailed Capacity Utilisation'!C762</f>
        <v>2430</v>
      </c>
      <c r="M86" s="145">
        <f>'Detailed Capacity Utilisation'!C851</f>
        <v>4670</v>
      </c>
      <c r="N86" s="145">
        <f>'Detailed Capacity Utilisation'!C944</f>
        <v>2840</v>
      </c>
      <c r="O86" s="145">
        <f>'Detailed Capacity Utilisation'!C1038</f>
        <v>2780</v>
      </c>
      <c r="P86" s="145">
        <f>'Detailed Capacity Utilisation'!C1132</f>
        <v>1530</v>
      </c>
      <c r="Q86" s="145">
        <f>'Detailed Capacity Utilisation'!C1227</f>
        <v>2675</v>
      </c>
      <c r="R86" s="145">
        <f>'Detailed Capacity Utilisation'!C1324</f>
        <v>3870</v>
      </c>
      <c r="S86" s="145">
        <f>'Detailed Capacity Utilisation'!C1424</f>
        <v>3695</v>
      </c>
      <c r="T86" s="145">
        <f>'Detailed Capacity Utilisation'!C1525</f>
        <v>1670</v>
      </c>
      <c r="U86" s="303">
        <f>'Detailed Capacity Utilisation'!C1627</f>
        <v>3280</v>
      </c>
      <c r="V86" s="380">
        <f>SUM(D86:I86)/6</f>
        <v>2922.5</v>
      </c>
      <c r="W86" s="377">
        <f t="shared" ref="W86:W87" si="95">SUM(J86:U86)/12</f>
        <v>3064.1666666666665</v>
      </c>
    </row>
    <row r="87" spans="1:29" x14ac:dyDescent="0.25">
      <c r="B87" s="158"/>
      <c r="C87" s="385" t="s">
        <v>14</v>
      </c>
      <c r="D87" s="383">
        <f>+'Detailed Capacity Utilisation'!F67</f>
        <v>3397.6843000000003</v>
      </c>
      <c r="E87" s="145">
        <f>+'Detailed Capacity Utilisation'!F146</f>
        <v>3932.297</v>
      </c>
      <c r="F87" s="145">
        <f>+'Detailed Capacity Utilisation'!F231</f>
        <v>4074.8809999999994</v>
      </c>
      <c r="G87" s="145">
        <f>+'Detailed Capacity Utilisation'!F318</f>
        <v>2870.221</v>
      </c>
      <c r="H87" s="145">
        <f>+'Detailed Capacity Utilisation'!F406</f>
        <v>2745.5389999999998</v>
      </c>
      <c r="I87" s="145">
        <f>'Detailed Capacity Utilisation'!F495</f>
        <v>3733.1780000000003</v>
      </c>
      <c r="J87" s="145">
        <f>'Detailed Capacity Utilisation'!F584</f>
        <v>4145.7030000000004</v>
      </c>
      <c r="K87" s="145">
        <f>'Detailed Capacity Utilisation'!F673</f>
        <v>2997.2869999999998</v>
      </c>
      <c r="L87" s="145">
        <f>'Detailed Capacity Utilisation'!F762</f>
        <v>1987.5609999999999</v>
      </c>
      <c r="M87" s="145">
        <f>'Detailed Capacity Utilisation'!F851</f>
        <v>3101.4279999999999</v>
      </c>
      <c r="N87" s="145">
        <f>'Detailed Capacity Utilisation'!F944</f>
        <v>2971.259</v>
      </c>
      <c r="O87" s="145">
        <f>'Detailed Capacity Utilisation'!F1038</f>
        <v>3725.9022999999997</v>
      </c>
      <c r="P87" s="145">
        <f>'Detailed Capacity Utilisation'!F1132</f>
        <v>2512.0420999999997</v>
      </c>
      <c r="Q87" s="145">
        <f>'Detailed Capacity Utilisation'!F1227</f>
        <v>3797.8570000000004</v>
      </c>
      <c r="R87" s="145">
        <f>'Detailed Capacity Utilisation'!F1324</f>
        <v>4170.5868999999993</v>
      </c>
      <c r="S87" s="145">
        <f>'Detailed Capacity Utilisation'!F1424</f>
        <v>4637.97</v>
      </c>
      <c r="T87" s="145">
        <f>'Detailed Capacity Utilisation'!F1525</f>
        <v>3088.7265999999995</v>
      </c>
      <c r="U87" s="303">
        <f>'Detailed Capacity Utilisation'!F1627</f>
        <v>3077.886</v>
      </c>
      <c r="V87" s="380">
        <f>SUM(D87:I87)/6</f>
        <v>3458.9667166666663</v>
      </c>
      <c r="W87" s="377">
        <f t="shared" si="95"/>
        <v>3351.1840749999997</v>
      </c>
    </row>
    <row r="88" spans="1:29" x14ac:dyDescent="0.25">
      <c r="C88" s="385" t="s">
        <v>252</v>
      </c>
      <c r="D88" s="378">
        <f>+D87/D86</f>
        <v>1.0358793597560976</v>
      </c>
      <c r="E88" s="144">
        <f t="shared" ref="E88" si="96">+E87/E86</f>
        <v>1.2099375384615385</v>
      </c>
      <c r="F88" s="144">
        <f t="shared" ref="F88" si="97">+F87/F86</f>
        <v>1.2854514195583595</v>
      </c>
      <c r="G88" s="144">
        <f t="shared" ref="G88" si="98">+G87/G86</f>
        <v>1.1300082677165355</v>
      </c>
      <c r="H88" s="144">
        <f t="shared" ref="H88:U88" si="99">+H87/H86</f>
        <v>1.3327859223300971</v>
      </c>
      <c r="I88" s="144">
        <f t="shared" si="99"/>
        <v>1.1539962905718704</v>
      </c>
      <c r="J88" s="144">
        <f t="shared" si="99"/>
        <v>0.88206446808510652</v>
      </c>
      <c r="K88" s="144">
        <f t="shared" si="99"/>
        <v>1.1396528517110265</v>
      </c>
      <c r="L88" s="144">
        <f t="shared" si="99"/>
        <v>0.81792633744855969</v>
      </c>
      <c r="M88" s="144">
        <f t="shared" si="99"/>
        <v>0.66411734475374729</v>
      </c>
      <c r="N88" s="144">
        <f t="shared" si="99"/>
        <v>1.046217957746479</v>
      </c>
      <c r="O88" s="144">
        <f t="shared" si="99"/>
        <v>1.3402526258992804</v>
      </c>
      <c r="P88" s="144">
        <f t="shared" si="99"/>
        <v>1.6418575816993461</v>
      </c>
      <c r="Q88" s="144">
        <f t="shared" si="99"/>
        <v>1.4197596261682244</v>
      </c>
      <c r="R88" s="144">
        <f t="shared" si="99"/>
        <v>1.077671033591731</v>
      </c>
      <c r="S88" s="144">
        <f t="shared" si="99"/>
        <v>1.2552016238159676</v>
      </c>
      <c r="T88" s="144">
        <f t="shared" si="99"/>
        <v>1.8495368862275445</v>
      </c>
      <c r="U88" s="144">
        <f t="shared" si="99"/>
        <v>0.93837987804878042</v>
      </c>
      <c r="V88" s="378">
        <f t="shared" ref="V88:W88" si="100">+V87/V86</f>
        <v>1.1835643170801253</v>
      </c>
      <c r="W88" s="372">
        <f t="shared" si="100"/>
        <v>1.0936689937449007</v>
      </c>
    </row>
    <row r="89" spans="1:29" x14ac:dyDescent="0.25">
      <c r="C89" s="385"/>
      <c r="D89" s="147"/>
      <c r="E89" s="142"/>
      <c r="F89" s="142"/>
      <c r="G89" s="142"/>
      <c r="H89" s="142"/>
      <c r="I89" s="142"/>
      <c r="J89" s="142"/>
      <c r="K89" s="142"/>
      <c r="L89" s="142"/>
      <c r="M89" s="142"/>
      <c r="U89" s="143"/>
      <c r="V89" s="147"/>
      <c r="W89" s="143"/>
    </row>
    <row r="90" spans="1:29" x14ac:dyDescent="0.25">
      <c r="B90" s="158" t="s">
        <v>249</v>
      </c>
      <c r="C90" s="385" t="s">
        <v>247</v>
      </c>
      <c r="D90" s="383">
        <f>+'Detailed Capacity Utilisation'!D65</f>
        <v>25</v>
      </c>
      <c r="E90" s="145">
        <f>+'Detailed Capacity Utilisation'!D144</f>
        <v>24</v>
      </c>
      <c r="F90" s="145">
        <f>+'Detailed Capacity Utilisation'!D229</f>
        <v>22</v>
      </c>
      <c r="G90" s="145">
        <f>+'Detailed Capacity Utilisation'!D316</f>
        <v>19.5</v>
      </c>
      <c r="H90" s="145">
        <f>+'Detailed Capacity Utilisation'!D403</f>
        <v>16</v>
      </c>
      <c r="I90" s="145">
        <f>'Detailed Capacity Utilisation'!D492</f>
        <v>21</v>
      </c>
      <c r="J90" s="145">
        <f>'Detailed Capacity Utilisation'!D581</f>
        <v>27</v>
      </c>
      <c r="K90" s="145">
        <f>'Detailed Capacity Utilisation'!D670</f>
        <v>17</v>
      </c>
      <c r="L90" s="145">
        <f>'Detailed Capacity Utilisation'!D759</f>
        <v>15</v>
      </c>
      <c r="M90" s="145">
        <f>'Detailed Capacity Utilisation'!D848</f>
        <v>28</v>
      </c>
      <c r="N90" s="145">
        <f>'Detailed Capacity Utilisation'!D941</f>
        <v>19</v>
      </c>
      <c r="O90" s="145">
        <f>'Detailed Capacity Utilisation'!D1035</f>
        <v>18</v>
      </c>
      <c r="P90" s="145">
        <f>'Detailed Capacity Utilisation'!D1129</f>
        <v>11</v>
      </c>
      <c r="Q90" s="145">
        <f>'Detailed Capacity Utilisation'!D1224</f>
        <v>18.5</v>
      </c>
      <c r="R90" s="145">
        <f>'Detailed Capacity Utilisation'!D1321</f>
        <v>25</v>
      </c>
      <c r="S90" s="145">
        <f>'Detailed Capacity Utilisation'!D1421</f>
        <v>23</v>
      </c>
      <c r="T90" s="145">
        <f>'Detailed Capacity Utilisation'!D1522</f>
        <v>12.5</v>
      </c>
      <c r="U90" s="303">
        <f>'Detailed Capacity Utilisation'!D1624</f>
        <v>23</v>
      </c>
      <c r="V90" s="380">
        <f>SUM(D90:I90)/6</f>
        <v>21.25</v>
      </c>
      <c r="W90" s="377">
        <f t="shared" ref="W90:W91" si="101">SUM(J90:U90)/12</f>
        <v>19.75</v>
      </c>
      <c r="X90" s="330">
        <f>+V86/V90</f>
        <v>137.52941176470588</v>
      </c>
      <c r="AA90" s="327">
        <f>+W86/W90</f>
        <v>155.14767932489451</v>
      </c>
    </row>
    <row r="91" spans="1:29" x14ac:dyDescent="0.25">
      <c r="C91" s="385" t="s">
        <v>14</v>
      </c>
      <c r="D91" s="383">
        <f>+'Detailed Capacity Utilisation'!G65</f>
        <v>24.5</v>
      </c>
      <c r="E91" s="145">
        <f>+'Detailed Capacity Utilisation'!G144</f>
        <v>28.490909090909092</v>
      </c>
      <c r="F91" s="145">
        <f>+'Detailed Capacity Utilisation'!G229</f>
        <v>27.5</v>
      </c>
      <c r="G91" s="145">
        <f>+'Detailed Capacity Utilisation'!G316</f>
        <v>22.5</v>
      </c>
      <c r="H91" s="145">
        <f>+'Detailed Capacity Utilisation'!G403</f>
        <v>21</v>
      </c>
      <c r="I91" s="145">
        <f>'Detailed Capacity Utilisation'!G492</f>
        <v>23</v>
      </c>
      <c r="J91" s="145">
        <f>'Detailed Capacity Utilisation'!G581</f>
        <v>25</v>
      </c>
      <c r="K91" s="145">
        <f>'Detailed Capacity Utilisation'!G670</f>
        <v>19.5</v>
      </c>
      <c r="L91" s="145">
        <f>'Detailed Capacity Utilisation'!G759</f>
        <v>13</v>
      </c>
      <c r="M91" s="145">
        <f>'Detailed Capacity Utilisation'!G848</f>
        <v>17</v>
      </c>
      <c r="N91" s="347">
        <f>'Detailed Capacity Utilisation'!G941</f>
        <v>21.5</v>
      </c>
      <c r="O91" s="145">
        <f>'Detailed Capacity Utilisation'!G1035</f>
        <v>22.25</v>
      </c>
      <c r="P91" s="145">
        <f>'Detailed Capacity Utilisation'!G1129</f>
        <v>16.5</v>
      </c>
      <c r="Q91" s="145">
        <f>'Detailed Capacity Utilisation'!G1224</f>
        <v>23.5</v>
      </c>
      <c r="R91" s="145">
        <f>'Detailed Capacity Utilisation'!G1321</f>
        <v>30</v>
      </c>
      <c r="S91" s="145">
        <f>'Detailed Capacity Utilisation'!G1421</f>
        <v>29.1</v>
      </c>
      <c r="T91" s="145">
        <f>'Detailed Capacity Utilisation'!G1522</f>
        <v>23.5</v>
      </c>
      <c r="U91" s="303">
        <f>'Detailed Capacity Utilisation'!G1624</f>
        <v>22.653928571428573</v>
      </c>
      <c r="V91" s="380">
        <f>SUM(D91:I91)/6</f>
        <v>24.49848484848485</v>
      </c>
      <c r="W91" s="377">
        <f t="shared" si="101"/>
        <v>21.958660714285713</v>
      </c>
      <c r="X91" s="330">
        <f>+V87/V91</f>
        <v>141.19104663244477</v>
      </c>
      <c r="Y91" s="142">
        <v>160</v>
      </c>
      <c r="Z91" s="146">
        <f>+X91/Y91</f>
        <v>0.88244404145277977</v>
      </c>
      <c r="AA91" s="327">
        <f>+W87/W91</f>
        <v>152.61331820750843</v>
      </c>
      <c r="AB91" s="142">
        <v>160</v>
      </c>
      <c r="AC91" s="146">
        <f>+AA91/AB91</f>
        <v>0.95383323879692772</v>
      </c>
    </row>
    <row r="92" spans="1:29" x14ac:dyDescent="0.25">
      <c r="B92" s="158" t="s">
        <v>248</v>
      </c>
      <c r="C92" s="385" t="s">
        <v>247</v>
      </c>
      <c r="D92" s="147"/>
      <c r="E92" s="142"/>
      <c r="F92" s="142"/>
      <c r="G92" s="142"/>
      <c r="H92" s="145">
        <f>+'Detailed Capacity Utilisation'!D404</f>
        <v>9</v>
      </c>
      <c r="I92" s="145">
        <v>5</v>
      </c>
      <c r="J92" s="145"/>
      <c r="K92" s="145"/>
      <c r="L92" s="142"/>
      <c r="M92" s="142"/>
      <c r="U92" s="143"/>
      <c r="V92" s="330"/>
      <c r="W92" s="382"/>
      <c r="X92" s="330"/>
      <c r="AA92" s="330"/>
    </row>
    <row r="93" spans="1:29" x14ac:dyDescent="0.25">
      <c r="C93" s="385" t="s">
        <v>14</v>
      </c>
      <c r="D93" s="147"/>
      <c r="E93" s="142"/>
      <c r="F93" s="142"/>
      <c r="G93" s="142"/>
      <c r="H93" s="145">
        <f>+'Detailed Capacity Utilisation'!G404</f>
        <v>5</v>
      </c>
      <c r="I93" s="142">
        <v>5</v>
      </c>
      <c r="J93" s="142"/>
      <c r="K93" s="142"/>
      <c r="L93" s="142"/>
      <c r="M93" s="142"/>
      <c r="U93" s="143"/>
      <c r="V93" s="147"/>
      <c r="W93" s="143"/>
    </row>
    <row r="94" spans="1:29" x14ac:dyDescent="0.25">
      <c r="B94" s="158" t="s">
        <v>263</v>
      </c>
      <c r="C94" s="385" t="s">
        <v>247</v>
      </c>
      <c r="D94" s="383">
        <f>+'Detailed Capacity Utilisation'!D66</f>
        <v>6</v>
      </c>
      <c r="E94" s="145">
        <f>+'Detailed Capacity Utilisation'!D145</f>
        <v>6</v>
      </c>
      <c r="F94" s="145">
        <f>+'Detailed Capacity Utilisation'!D230</f>
        <v>9</v>
      </c>
      <c r="G94" s="145">
        <f>+'Detailed Capacity Utilisation'!D317</f>
        <v>11.5</v>
      </c>
      <c r="H94" s="145">
        <f>29-H92-H90</f>
        <v>4</v>
      </c>
      <c r="I94" s="145">
        <f>'Detailed Capacity Utilisation'!D495-I92</f>
        <v>5</v>
      </c>
      <c r="J94" s="145">
        <f>'Detailed Capacity Utilisation'!D583</f>
        <v>3</v>
      </c>
      <c r="K94" s="145">
        <f>'Detailed Capacity Utilisation'!D672</f>
        <v>14</v>
      </c>
      <c r="L94" s="145">
        <f>'Detailed Capacity Utilisation'!D761</f>
        <v>15</v>
      </c>
      <c r="M94" s="145">
        <f>'Detailed Capacity Utilisation'!D850</f>
        <v>3</v>
      </c>
      <c r="N94" s="145">
        <f>'Detailed Capacity Utilisation'!D943</f>
        <v>12</v>
      </c>
      <c r="O94" s="145">
        <f>'Detailed Capacity Utilisation'!D1037</f>
        <v>12</v>
      </c>
      <c r="P94" s="145">
        <f>'Detailed Capacity Utilisation'!D1131</f>
        <v>20</v>
      </c>
      <c r="Q94" s="145">
        <f>'Detailed Capacity Utilisation'!D1226</f>
        <v>11.5</v>
      </c>
      <c r="R94" s="145">
        <f>'Detailed Capacity Utilisation'!D1323</f>
        <v>6</v>
      </c>
      <c r="S94" s="145">
        <f>'Detailed Capacity Utilisation'!D1423</f>
        <v>8</v>
      </c>
      <c r="T94" s="145">
        <f>'Detailed Capacity Utilisation'!D1524</f>
        <v>15.5</v>
      </c>
      <c r="U94" s="303">
        <f>'Detailed Capacity Utilisation'!D1626</f>
        <v>8</v>
      </c>
      <c r="V94" s="380">
        <f>SUM(D94:I94)/6</f>
        <v>6.916666666666667</v>
      </c>
      <c r="W94" s="377">
        <f t="shared" ref="W94:W95" si="102">SUM(J94:U94)/12</f>
        <v>10.666666666666666</v>
      </c>
    </row>
    <row r="95" spans="1:29" x14ac:dyDescent="0.25">
      <c r="B95" s="158"/>
      <c r="C95" s="385" t="s">
        <v>14</v>
      </c>
      <c r="D95" s="383">
        <f>+'Detailed Capacity Utilisation'!G66</f>
        <v>6.5</v>
      </c>
      <c r="E95" s="145">
        <f>+'Detailed Capacity Utilisation'!G145</f>
        <v>1.5090909090909079</v>
      </c>
      <c r="F95" s="145">
        <f>+'Detailed Capacity Utilisation'!G230</f>
        <v>3.5</v>
      </c>
      <c r="G95" s="145">
        <f>+'Detailed Capacity Utilisation'!G317</f>
        <v>8.5</v>
      </c>
      <c r="H95" s="145">
        <f>29-H93-H91</f>
        <v>3</v>
      </c>
      <c r="I95" s="145">
        <f>'Detailed Capacity Utilisation'!G494-I94</f>
        <v>3</v>
      </c>
      <c r="J95" s="145">
        <f>'Detailed Capacity Utilisation'!G583</f>
        <v>5</v>
      </c>
      <c r="K95" s="145">
        <f>'Detailed Capacity Utilisation'!G672</f>
        <v>11.5</v>
      </c>
      <c r="L95" s="145">
        <f>'Detailed Capacity Utilisation'!G761</f>
        <v>17</v>
      </c>
      <c r="M95" s="145">
        <f>'Detailed Capacity Utilisation'!G850</f>
        <v>14</v>
      </c>
      <c r="N95" s="145">
        <f>'Detailed Capacity Utilisation'!G943</f>
        <v>9.5</v>
      </c>
      <c r="O95" s="145">
        <f>'Detailed Capacity Utilisation'!G1037</f>
        <v>7.75</v>
      </c>
      <c r="P95" s="145">
        <f>'Detailed Capacity Utilisation'!G1131</f>
        <v>14.5</v>
      </c>
      <c r="Q95" s="145">
        <f>'Detailed Capacity Utilisation'!G1226</f>
        <v>6.5</v>
      </c>
      <c r="R95" s="145">
        <f>'Detailed Capacity Utilisation'!G1323</f>
        <v>1</v>
      </c>
      <c r="S95" s="145">
        <f>'Detailed Capacity Utilisation'!G1423</f>
        <v>1.8999999999999986</v>
      </c>
      <c r="T95" s="145">
        <f>'Detailed Capacity Utilisation'!G1524</f>
        <v>4.5</v>
      </c>
      <c r="U95" s="303">
        <f>'Detailed Capacity Utilisation'!G1626</f>
        <v>8.3460714285714275</v>
      </c>
      <c r="V95" s="380">
        <f>SUM(D95:I95)/6</f>
        <v>4.334848484848485</v>
      </c>
      <c r="W95" s="377">
        <f t="shared" si="102"/>
        <v>8.4580059523809528</v>
      </c>
    </row>
    <row r="96" spans="1:29" x14ac:dyDescent="0.25">
      <c r="B96" s="158" t="s">
        <v>265</v>
      </c>
      <c r="C96" s="385" t="s">
        <v>247</v>
      </c>
      <c r="D96" s="387">
        <f>+D94+D92+D90</f>
        <v>31</v>
      </c>
      <c r="E96" s="145">
        <f t="shared" ref="E96:H96" si="103">+E94+E92+E90</f>
        <v>30</v>
      </c>
      <c r="F96" s="145">
        <f t="shared" si="103"/>
        <v>31</v>
      </c>
      <c r="G96" s="145">
        <f t="shared" si="103"/>
        <v>31</v>
      </c>
      <c r="H96" s="145">
        <f t="shared" si="103"/>
        <v>29</v>
      </c>
      <c r="I96" s="145">
        <f t="shared" ref="I96:J96" si="104">+I94+I92+I90</f>
        <v>31</v>
      </c>
      <c r="J96" s="145">
        <f t="shared" si="104"/>
        <v>30</v>
      </c>
      <c r="K96" s="145">
        <f t="shared" ref="K96:L96" si="105">+K94+K92+K90</f>
        <v>31</v>
      </c>
      <c r="L96" s="145">
        <f t="shared" si="105"/>
        <v>30</v>
      </c>
      <c r="M96" s="145">
        <f t="shared" ref="M96:N96" si="106">+M94+M92+M90</f>
        <v>31</v>
      </c>
      <c r="N96" s="145">
        <f t="shared" si="106"/>
        <v>31</v>
      </c>
      <c r="O96" s="145">
        <f t="shared" ref="O96:P96" si="107">+O94+O92+O90</f>
        <v>30</v>
      </c>
      <c r="P96" s="145">
        <f t="shared" si="107"/>
        <v>31</v>
      </c>
      <c r="Q96" s="145">
        <f t="shared" ref="Q96:R96" si="108">+Q94+Q92+Q90</f>
        <v>30</v>
      </c>
      <c r="R96" s="145">
        <f t="shared" si="108"/>
        <v>31</v>
      </c>
      <c r="S96" s="145">
        <f t="shared" ref="S96:T96" si="109">+S94+S92+S90</f>
        <v>31</v>
      </c>
      <c r="T96" s="145">
        <f t="shared" si="109"/>
        <v>28</v>
      </c>
      <c r="U96" s="145">
        <f t="shared" ref="U96" si="110">+U94+U92+U90</f>
        <v>31</v>
      </c>
      <c r="V96" s="147"/>
      <c r="W96" s="143"/>
    </row>
    <row r="97" spans="1:29" x14ac:dyDescent="0.25">
      <c r="C97" s="385" t="s">
        <v>14</v>
      </c>
      <c r="D97" s="387">
        <f>+D95+D93+D91</f>
        <v>31</v>
      </c>
      <c r="E97" s="336">
        <f t="shared" ref="E97:H97" si="111">+E95+E93+E91</f>
        <v>30</v>
      </c>
      <c r="F97" s="336">
        <f t="shared" si="111"/>
        <v>31</v>
      </c>
      <c r="G97" s="336">
        <f t="shared" si="111"/>
        <v>31</v>
      </c>
      <c r="H97" s="336">
        <f t="shared" si="111"/>
        <v>29</v>
      </c>
      <c r="I97" s="336">
        <f t="shared" ref="I97:J97" si="112">+I95+I93+I91</f>
        <v>31</v>
      </c>
      <c r="J97" s="336">
        <f t="shared" si="112"/>
        <v>30</v>
      </c>
      <c r="K97" s="336">
        <f t="shared" ref="K97:L97" si="113">+K95+K93+K91</f>
        <v>31</v>
      </c>
      <c r="L97" s="336">
        <f t="shared" si="113"/>
        <v>30</v>
      </c>
      <c r="M97" s="336">
        <f t="shared" ref="M97:N97" si="114">+M95+M93+M91</f>
        <v>31</v>
      </c>
      <c r="N97" s="336">
        <f t="shared" si="114"/>
        <v>31</v>
      </c>
      <c r="O97" s="336">
        <f t="shared" ref="O97:P97" si="115">+O95+O93+O91</f>
        <v>30</v>
      </c>
      <c r="P97" s="336">
        <f t="shared" si="115"/>
        <v>31</v>
      </c>
      <c r="Q97" s="336">
        <f t="shared" ref="Q97:R97" si="116">+Q95+Q93+Q91</f>
        <v>30</v>
      </c>
      <c r="R97" s="336">
        <f t="shared" si="116"/>
        <v>31</v>
      </c>
      <c r="S97" s="336">
        <f t="shared" ref="S97:T97" si="117">+S95+S93+S91</f>
        <v>31</v>
      </c>
      <c r="T97" s="336">
        <f t="shared" si="117"/>
        <v>28</v>
      </c>
      <c r="U97" s="336">
        <f t="shared" ref="U97" si="118">+U95+U93+U91</f>
        <v>31</v>
      </c>
      <c r="V97" s="147"/>
      <c r="W97" s="143"/>
    </row>
    <row r="98" spans="1:29" x14ac:dyDescent="0.25">
      <c r="C98" s="318"/>
      <c r="D98" s="147"/>
      <c r="E98" s="142"/>
      <c r="F98" s="142"/>
      <c r="G98" s="142"/>
      <c r="H98" s="142"/>
      <c r="I98" s="142"/>
      <c r="J98" s="142"/>
      <c r="K98" s="142"/>
      <c r="L98" s="142"/>
      <c r="M98" s="142"/>
      <c r="U98" s="143"/>
      <c r="V98" s="147"/>
      <c r="W98" s="143"/>
    </row>
    <row r="99" spans="1:29" ht="15" customHeight="1" x14ac:dyDescent="0.25">
      <c r="A99" s="158" t="s">
        <v>270</v>
      </c>
      <c r="B99" s="158" t="s">
        <v>250</v>
      </c>
      <c r="C99" s="385" t="s">
        <v>247</v>
      </c>
      <c r="D99" s="383">
        <f>+'Detailed Capacity Utilisation'!C70</f>
        <v>0</v>
      </c>
      <c r="E99" s="145">
        <f>+'Detailed Capacity Utilisation'!C149</f>
        <v>0</v>
      </c>
      <c r="F99" s="145">
        <f>+'Detailed Capacity Utilisation'!C234</f>
        <v>1100</v>
      </c>
      <c r="G99" s="145">
        <f>+'Detailed Capacity Utilisation'!C321</f>
        <v>1000</v>
      </c>
      <c r="H99" s="145">
        <f>+'Detailed Capacity Utilisation'!C410</f>
        <v>1450</v>
      </c>
      <c r="I99" s="145">
        <f>'Detailed Capacity Utilisation'!C500</f>
        <v>2650</v>
      </c>
      <c r="J99" s="145">
        <f>'Detailed Capacity Utilisation'!C589</f>
        <v>3200</v>
      </c>
      <c r="K99" s="145">
        <f>'Detailed Capacity Utilisation'!C678</f>
        <v>3300</v>
      </c>
      <c r="L99" s="145">
        <f>'Detailed Capacity Utilisation'!C767</f>
        <v>3800</v>
      </c>
      <c r="M99" s="145">
        <f>'Detailed Capacity Utilisation'!C857</f>
        <v>6050</v>
      </c>
      <c r="N99" s="145">
        <f>'Detailed Capacity Utilisation'!C950</f>
        <v>5900</v>
      </c>
      <c r="O99" s="145">
        <f>'Detailed Capacity Utilisation'!C1044</f>
        <v>2500</v>
      </c>
      <c r="P99" s="145">
        <f>'Detailed Capacity Utilisation'!C1138</f>
        <v>2200</v>
      </c>
      <c r="Q99" s="145">
        <f>'Detailed Capacity Utilisation'!C1233</f>
        <v>4380</v>
      </c>
      <c r="R99" s="145">
        <f>'Detailed Capacity Utilisation'!C1330</f>
        <v>3640</v>
      </c>
      <c r="S99" s="145">
        <f>'Detailed Capacity Utilisation'!C1430</f>
        <v>4100</v>
      </c>
      <c r="T99" s="145">
        <f>'Detailed Capacity Utilisation'!C1531</f>
        <v>4750</v>
      </c>
      <c r="U99" s="145">
        <f>'Detailed Capacity Utilisation'!C1633</f>
        <v>4690</v>
      </c>
      <c r="V99" s="380">
        <f>SUM(D99:I99)/6</f>
        <v>1033.3333333333333</v>
      </c>
      <c r="W99" s="377">
        <f t="shared" ref="W99:W100" si="119">SUM(J99:U99)/12</f>
        <v>4042.5</v>
      </c>
    </row>
    <row r="100" spans="1:29" ht="15" customHeight="1" x14ac:dyDescent="0.25">
      <c r="A100" s="158"/>
      <c r="B100" s="158"/>
      <c r="C100" s="385" t="s">
        <v>14</v>
      </c>
      <c r="D100" s="383">
        <f>+'Detailed Capacity Utilisation'!F70</f>
        <v>0</v>
      </c>
      <c r="E100" s="145">
        <f>+'Detailed Capacity Utilisation'!F149</f>
        <v>0</v>
      </c>
      <c r="F100" s="145">
        <f>+'Detailed Capacity Utilisation'!F234</f>
        <v>0</v>
      </c>
      <c r="G100" s="145">
        <f>+'Detailed Capacity Utilisation'!F321</f>
        <v>0</v>
      </c>
      <c r="H100" s="145">
        <f>+'Detailed Capacity Utilisation'!F410</f>
        <v>1193.83</v>
      </c>
      <c r="I100" s="145">
        <f>'Detailed Capacity Utilisation'!F500</f>
        <v>1784.1260000000002</v>
      </c>
      <c r="J100" s="145">
        <f>'Detailed Capacity Utilisation'!F589</f>
        <v>1021.8910000000001</v>
      </c>
      <c r="K100" s="145">
        <f>'Detailed Capacity Utilisation'!F678</f>
        <v>2163.4720000000002</v>
      </c>
      <c r="L100" s="145">
        <f>'Detailed Capacity Utilisation'!F767</f>
        <v>3373.8519999999994</v>
      </c>
      <c r="M100" s="145">
        <f>'Detailed Capacity Utilisation'!F857</f>
        <v>7906.4248000000007</v>
      </c>
      <c r="N100" s="145">
        <f>'Detailed Capacity Utilisation'!F950</f>
        <v>1644.904</v>
      </c>
      <c r="O100" s="145">
        <f>'Detailed Capacity Utilisation'!F1044</f>
        <v>752.65279999999996</v>
      </c>
      <c r="P100" s="145">
        <f>'Detailed Capacity Utilisation'!F1138</f>
        <v>1799.7650999999998</v>
      </c>
      <c r="Q100" s="145">
        <f>'Detailed Capacity Utilisation'!F1233</f>
        <v>1330.3209999999999</v>
      </c>
      <c r="R100" s="145">
        <f>'Detailed Capacity Utilisation'!F1330</f>
        <v>4061.3560000000002</v>
      </c>
      <c r="S100" s="145">
        <f>'Detailed Capacity Utilisation'!F1430</f>
        <v>4378.1530000000002</v>
      </c>
      <c r="T100" s="145">
        <f>'Detailed Capacity Utilisation'!F1531</f>
        <v>3492.5570000000002</v>
      </c>
      <c r="U100" s="145">
        <f>'Detailed Capacity Utilisation'!F1633</f>
        <v>4368.1696000000002</v>
      </c>
      <c r="V100" s="380">
        <f>SUM(D100:I100)/6</f>
        <v>496.32600000000002</v>
      </c>
      <c r="W100" s="377">
        <f t="shared" si="119"/>
        <v>3024.4598583333336</v>
      </c>
    </row>
    <row r="101" spans="1:29" ht="15.75" customHeight="1" x14ac:dyDescent="0.25">
      <c r="A101" s="158"/>
      <c r="C101" s="385" t="s">
        <v>252</v>
      </c>
      <c r="D101" s="378" t="e">
        <f>+D100/D99</f>
        <v>#DIV/0!</v>
      </c>
      <c r="E101" s="144" t="e">
        <f t="shared" ref="E101" si="120">+E100/E99</f>
        <v>#DIV/0!</v>
      </c>
      <c r="F101" s="144">
        <f t="shared" ref="F101" si="121">+F100/F99</f>
        <v>0</v>
      </c>
      <c r="G101" s="144">
        <f t="shared" ref="G101" si="122">+G100/G99</f>
        <v>0</v>
      </c>
      <c r="H101" s="144">
        <f t="shared" ref="H101:T101" si="123">+H100/H99</f>
        <v>0.82333103448275857</v>
      </c>
      <c r="I101" s="144">
        <f t="shared" si="123"/>
        <v>0.67325509433962272</v>
      </c>
      <c r="J101" s="144">
        <f t="shared" si="123"/>
        <v>0.31934093750000003</v>
      </c>
      <c r="K101" s="144">
        <f t="shared" si="123"/>
        <v>0.65559757575757582</v>
      </c>
      <c r="L101" s="144">
        <f t="shared" si="123"/>
        <v>0.88785578947368404</v>
      </c>
      <c r="M101" s="144">
        <f t="shared" si="123"/>
        <v>1.3068470743801655</v>
      </c>
      <c r="N101" s="144">
        <f t="shared" si="123"/>
        <v>0.27879728813559324</v>
      </c>
      <c r="O101" s="144">
        <f t="shared" si="123"/>
        <v>0.30106111999999996</v>
      </c>
      <c r="P101" s="144">
        <f t="shared" si="123"/>
        <v>0.81807504545454535</v>
      </c>
      <c r="Q101" s="144">
        <f t="shared" si="123"/>
        <v>0.30372625570776252</v>
      </c>
      <c r="R101" s="144">
        <f t="shared" si="123"/>
        <v>1.1157571428571429</v>
      </c>
      <c r="S101" s="144">
        <f t="shared" si="123"/>
        <v>1.0678421951219512</v>
      </c>
      <c r="T101" s="144">
        <f t="shared" si="123"/>
        <v>0.73527515789473685</v>
      </c>
      <c r="U101" s="144">
        <f t="shared" ref="U101" si="124">+U100/U99</f>
        <v>0.93137944562899788</v>
      </c>
      <c r="V101" s="378">
        <f t="shared" ref="V101:W101" si="125">+V100/V99</f>
        <v>0.48031548387096779</v>
      </c>
      <c r="W101" s="372">
        <f t="shared" si="125"/>
        <v>0.74816570397856119</v>
      </c>
    </row>
    <row r="102" spans="1:29" x14ac:dyDescent="0.25">
      <c r="C102" s="385"/>
      <c r="D102" s="147"/>
      <c r="E102" s="142"/>
      <c r="F102" s="142"/>
      <c r="G102" s="142"/>
      <c r="H102" s="142"/>
      <c r="I102" s="142"/>
      <c r="J102" s="142"/>
      <c r="K102" s="142"/>
      <c r="L102" s="142"/>
      <c r="M102" s="142"/>
      <c r="U102" s="143"/>
      <c r="V102" s="147"/>
      <c r="W102" s="143"/>
    </row>
    <row r="103" spans="1:29" x14ac:dyDescent="0.25">
      <c r="B103" s="158" t="s">
        <v>249</v>
      </c>
      <c r="C103" s="385" t="s">
        <v>247</v>
      </c>
      <c r="D103" s="383"/>
      <c r="E103" s="145"/>
      <c r="F103" s="145">
        <f>+'Detailed Capacity Utilisation'!D232</f>
        <v>4.5</v>
      </c>
      <c r="G103" s="145">
        <f>+'Detailed Capacity Utilisation'!D319</f>
        <v>4</v>
      </c>
      <c r="H103" s="145">
        <f>+'Detailed Capacity Utilisation'!D407+'Detailed Capacity Utilisation'!D408</f>
        <v>6</v>
      </c>
      <c r="I103" s="142">
        <f>'Detailed Capacity Utilisation'!D496+'Detailed Capacity Utilisation'!D497</f>
        <v>8</v>
      </c>
      <c r="J103" s="145">
        <f>'Detailed Capacity Utilisation'!D586</f>
        <v>10</v>
      </c>
      <c r="K103" s="145">
        <f>31-'Detailed Capacity Utilisation'!D677</f>
        <v>6</v>
      </c>
      <c r="L103" s="145">
        <f>SUM('Detailed Capacity Utilisation'!D763:D765)</f>
        <v>10.5</v>
      </c>
      <c r="M103" s="145">
        <f>'Detailed Capacity Utilisation'!D857-'Detailed Capacity Utilisation'!D856</f>
        <v>20</v>
      </c>
      <c r="N103" s="145">
        <f>'Detailed Capacity Utilisation'!D947+'Detailed Capacity Utilisation'!D948</f>
        <v>16</v>
      </c>
      <c r="O103" s="145">
        <f>'Detailed Capacity Utilisation'!D1035</f>
        <v>18</v>
      </c>
      <c r="P103" s="145">
        <f>'Detailed Capacity Utilisation'!D1137</f>
        <v>24.5</v>
      </c>
      <c r="Q103" s="145">
        <f>'Detailed Capacity Utilisation'!D1233-'Detailed Capacity Utilisation'!D1232</f>
        <v>13.5</v>
      </c>
      <c r="R103" s="145">
        <f>'Detailed Capacity Utilisation'!D1330-'Detailed Capacity Utilisation'!D1329</f>
        <v>14</v>
      </c>
      <c r="S103" s="145">
        <v>13</v>
      </c>
      <c r="T103" s="145">
        <f>'Detailed Capacity Utilisation'!D1530</f>
        <v>14.5</v>
      </c>
      <c r="U103" s="303">
        <f>31-'Detailed Capacity Utilisation'!D1632</f>
        <v>14.5</v>
      </c>
      <c r="V103" s="380">
        <f>SUM(D103:I103)/6</f>
        <v>3.75</v>
      </c>
      <c r="W103" s="377">
        <f t="shared" ref="W103:W104" si="126">SUM(J103:U103)/12</f>
        <v>14.541666666666666</v>
      </c>
      <c r="X103" s="330">
        <f>+V99/V103</f>
        <v>275.55555555555554</v>
      </c>
      <c r="AA103" s="327">
        <f>+W99/W103</f>
        <v>277.9942693409742</v>
      </c>
    </row>
    <row r="104" spans="1:29" x14ac:dyDescent="0.25">
      <c r="C104" s="385" t="s">
        <v>14</v>
      </c>
      <c r="D104" s="383"/>
      <c r="E104" s="145"/>
      <c r="F104" s="145">
        <f>+'Detailed Capacity Utilisation'!G232</f>
        <v>0</v>
      </c>
      <c r="G104" s="145">
        <f>+'Detailed Capacity Utilisation'!F321</f>
        <v>0</v>
      </c>
      <c r="H104" s="145">
        <f>+'Detailed Capacity Utilisation'!G407+'Detailed Capacity Utilisation'!G408</f>
        <v>5</v>
      </c>
      <c r="I104" s="145">
        <f>'Detailed Capacity Utilisation'!G497+'Detailed Capacity Utilisation'!G498</f>
        <v>7.5</v>
      </c>
      <c r="J104" s="145">
        <f>'Detailed Capacity Utilisation'!G586</f>
        <v>3.5</v>
      </c>
      <c r="K104" s="145">
        <f>31-'Detailed Capacity Utilisation'!G677</f>
        <v>7</v>
      </c>
      <c r="L104" s="145">
        <f>SUM('Detailed Capacity Utilisation'!G763:G765)</f>
        <v>10.5</v>
      </c>
      <c r="M104" s="145">
        <f>'Detailed Capacity Utilisation'!G857-'Detailed Capacity Utilisation'!G856</f>
        <v>25</v>
      </c>
      <c r="N104" s="145">
        <f>'Detailed Capacity Utilisation'!G948+'Detailed Capacity Utilisation'!G945</f>
        <v>6.5</v>
      </c>
      <c r="O104" s="145">
        <f>'Detailed Capacity Utilisation'!G1035</f>
        <v>22.25</v>
      </c>
      <c r="P104" s="145">
        <f>'Detailed Capacity Utilisation'!G1137</f>
        <v>27</v>
      </c>
      <c r="Q104" s="145">
        <f>'Detailed Capacity Utilisation'!G1233-'Detailed Capacity Utilisation'!G1232</f>
        <v>5.5</v>
      </c>
      <c r="R104" s="145">
        <f>'Detailed Capacity Utilisation'!G1330-'Detailed Capacity Utilisation'!G1329</f>
        <v>15</v>
      </c>
      <c r="S104" s="145">
        <v>15</v>
      </c>
      <c r="T104" s="145">
        <f>'Detailed Capacity Utilisation'!G1530</f>
        <v>15</v>
      </c>
      <c r="U104" s="303">
        <f>31-'Detailed Capacity Utilisation'!G1632</f>
        <v>14</v>
      </c>
      <c r="V104" s="380">
        <f>SUM(D104:I104)/6</f>
        <v>2.0833333333333335</v>
      </c>
      <c r="W104" s="377">
        <f t="shared" si="126"/>
        <v>13.854166666666666</v>
      </c>
      <c r="X104" s="330">
        <f>+V100/V104</f>
        <v>238.23648</v>
      </c>
      <c r="Y104" s="142">
        <v>500</v>
      </c>
      <c r="Z104" s="146">
        <f>+X104/Y104</f>
        <v>0.47647296</v>
      </c>
      <c r="AA104" s="327">
        <f>+W100/W104</f>
        <v>218.30687699248122</v>
      </c>
      <c r="AB104" s="142">
        <v>500</v>
      </c>
      <c r="AC104" s="146">
        <f>+AA104/AB104</f>
        <v>0.43661375398496244</v>
      </c>
    </row>
    <row r="105" spans="1:29" x14ac:dyDescent="0.25">
      <c r="B105" s="158" t="s">
        <v>248</v>
      </c>
      <c r="C105" s="385" t="s">
        <v>247</v>
      </c>
      <c r="D105" s="147"/>
      <c r="E105" s="142"/>
      <c r="F105" s="142"/>
      <c r="G105" s="142"/>
      <c r="H105" s="145"/>
      <c r="I105" s="142"/>
      <c r="J105" s="142"/>
      <c r="K105" s="142"/>
      <c r="L105" s="142"/>
      <c r="M105" s="142"/>
      <c r="U105" s="143"/>
      <c r="V105" s="330"/>
      <c r="W105" s="382"/>
      <c r="X105" s="330"/>
      <c r="AA105" s="330"/>
    </row>
    <row r="106" spans="1:29" x14ac:dyDescent="0.25">
      <c r="C106" s="385" t="s">
        <v>14</v>
      </c>
      <c r="D106" s="147"/>
      <c r="E106" s="142"/>
      <c r="F106" s="142"/>
      <c r="G106" s="142"/>
      <c r="H106" s="145"/>
      <c r="I106" s="142"/>
      <c r="J106" s="142"/>
      <c r="K106" s="142"/>
      <c r="L106" s="142"/>
      <c r="M106" s="142"/>
      <c r="U106" s="143"/>
      <c r="V106" s="147"/>
      <c r="W106" s="143"/>
    </row>
    <row r="107" spans="1:29" x14ac:dyDescent="0.25">
      <c r="B107" s="158" t="s">
        <v>263</v>
      </c>
      <c r="C107" s="385" t="s">
        <v>247</v>
      </c>
      <c r="D107" s="383"/>
      <c r="E107" s="145"/>
      <c r="F107" s="145">
        <f>+'Detailed Capacity Utilisation'!D233</f>
        <v>26.5</v>
      </c>
      <c r="G107" s="145">
        <f>+'Detailed Capacity Utilisation'!D320</f>
        <v>27</v>
      </c>
      <c r="H107" s="145">
        <f>29-H103</f>
        <v>23</v>
      </c>
      <c r="I107" s="145">
        <f>'Detailed Capacity Utilisation'!D499</f>
        <v>23</v>
      </c>
      <c r="J107" s="145">
        <f>'Detailed Capacity Utilisation'!D588</f>
        <v>20</v>
      </c>
      <c r="K107" s="145">
        <f>'Detailed Capacity Utilisation'!D677</f>
        <v>25</v>
      </c>
      <c r="L107" s="145">
        <f>'Detailed Capacity Utilisation'!D766</f>
        <v>19.5</v>
      </c>
      <c r="M107" s="145">
        <f>'Detailed Capacity Utilisation'!D856</f>
        <v>11</v>
      </c>
      <c r="N107" s="145">
        <f>'Detailed Capacity Utilisation'!D949</f>
        <v>15</v>
      </c>
      <c r="O107" s="145">
        <f>'Detailed Capacity Utilisation'!D1037</f>
        <v>12</v>
      </c>
      <c r="P107" s="145">
        <v>6</v>
      </c>
      <c r="Q107" s="145">
        <f>'Detailed Capacity Utilisation'!D1232</f>
        <v>16.5</v>
      </c>
      <c r="R107" s="145">
        <f>'Detailed Capacity Utilisation'!D1329</f>
        <v>17</v>
      </c>
      <c r="S107" s="145">
        <f>31-S103</f>
        <v>18</v>
      </c>
      <c r="T107" s="145">
        <f>'Detailed Capacity Utilisation'!D1531-'Detailed Capacity Utilisation'!D1530</f>
        <v>13.5</v>
      </c>
      <c r="U107" s="145">
        <f>31-U103</f>
        <v>16.5</v>
      </c>
      <c r="V107" s="380">
        <f>SUM(D107:I107)/6</f>
        <v>16.583333333333332</v>
      </c>
      <c r="W107" s="377">
        <f t="shared" ref="W107:W108" si="127">SUM(J107:U107)/12</f>
        <v>15.833333333333334</v>
      </c>
    </row>
    <row r="108" spans="1:29" x14ac:dyDescent="0.25">
      <c r="B108" s="158"/>
      <c r="C108" s="385" t="s">
        <v>14</v>
      </c>
      <c r="D108" s="383"/>
      <c r="E108" s="145"/>
      <c r="F108" s="145">
        <f>+'Detailed Capacity Utilisation'!G233</f>
        <v>31</v>
      </c>
      <c r="G108" s="145">
        <f>+'Detailed Capacity Utilisation'!G320</f>
        <v>31</v>
      </c>
      <c r="H108" s="145">
        <f>29-H104</f>
        <v>24</v>
      </c>
      <c r="I108" s="145">
        <f>'Detailed Capacity Utilisation'!G499</f>
        <v>23.5</v>
      </c>
      <c r="J108" s="145">
        <f>'Detailed Capacity Utilisation'!G588</f>
        <v>26.5</v>
      </c>
      <c r="K108" s="145">
        <f>'Detailed Capacity Utilisation'!G677</f>
        <v>24</v>
      </c>
      <c r="L108" s="145">
        <f>'Detailed Capacity Utilisation'!G766</f>
        <v>19.5</v>
      </c>
      <c r="M108" s="145">
        <f>'Detailed Capacity Utilisation'!G856</f>
        <v>6</v>
      </c>
      <c r="N108" s="145">
        <f>'Detailed Capacity Utilisation'!G949</f>
        <v>24.5</v>
      </c>
      <c r="O108" s="145">
        <f>'Detailed Capacity Utilisation'!G1037</f>
        <v>7.75</v>
      </c>
      <c r="P108" s="145">
        <v>4</v>
      </c>
      <c r="Q108" s="145">
        <f>'Detailed Capacity Utilisation'!G1232</f>
        <v>24.5</v>
      </c>
      <c r="R108" s="145">
        <f>'Detailed Capacity Utilisation'!G1329</f>
        <v>16</v>
      </c>
      <c r="S108" s="145">
        <f>31-S104</f>
        <v>16</v>
      </c>
      <c r="T108" s="145">
        <f>'Detailed Capacity Utilisation'!G1531-'Detailed Capacity Utilisation'!G1530</f>
        <v>13</v>
      </c>
      <c r="U108" s="303">
        <f>'Detailed Capacity Utilisation'!G1632</f>
        <v>17</v>
      </c>
      <c r="V108" s="380">
        <f>SUM(D108:H108)/5</f>
        <v>17.2</v>
      </c>
      <c r="W108" s="377">
        <f t="shared" si="127"/>
        <v>16.5625</v>
      </c>
    </row>
    <row r="109" spans="1:29" x14ac:dyDescent="0.25">
      <c r="B109" s="158" t="s">
        <v>265</v>
      </c>
      <c r="C109" s="385" t="s">
        <v>247</v>
      </c>
      <c r="D109" s="387">
        <f>+D107+D105+D103</f>
        <v>0</v>
      </c>
      <c r="E109" s="145">
        <f t="shared" ref="E109:H109" si="128">+E107+E105+E103</f>
        <v>0</v>
      </c>
      <c r="F109" s="145">
        <f t="shared" si="128"/>
        <v>31</v>
      </c>
      <c r="G109" s="145">
        <f t="shared" si="128"/>
        <v>31</v>
      </c>
      <c r="H109" s="145">
        <f t="shared" si="128"/>
        <v>29</v>
      </c>
      <c r="I109" s="145">
        <f t="shared" ref="I109:J109" si="129">+I107+I105+I103</f>
        <v>31</v>
      </c>
      <c r="J109" s="145">
        <f t="shared" si="129"/>
        <v>30</v>
      </c>
      <c r="K109" s="145">
        <f t="shared" ref="K109:L109" si="130">+K107+K105+K103</f>
        <v>31</v>
      </c>
      <c r="L109" s="145">
        <f t="shared" si="130"/>
        <v>30</v>
      </c>
      <c r="M109" s="145">
        <f t="shared" ref="M109:N109" si="131">+M107+M105+M103</f>
        <v>31</v>
      </c>
      <c r="N109" s="145">
        <f t="shared" si="131"/>
        <v>31</v>
      </c>
      <c r="O109" s="145">
        <f t="shared" ref="O109:P109" si="132">+O107+O105+O103</f>
        <v>30</v>
      </c>
      <c r="P109" s="145">
        <f t="shared" si="132"/>
        <v>30.5</v>
      </c>
      <c r="Q109" s="145">
        <f t="shared" ref="Q109:R109" si="133">+Q107+Q105+Q103</f>
        <v>30</v>
      </c>
      <c r="R109" s="145">
        <f t="shared" si="133"/>
        <v>31</v>
      </c>
      <c r="S109" s="145">
        <f t="shared" ref="S109:T109" si="134">+S107+S105+S103</f>
        <v>31</v>
      </c>
      <c r="T109" s="145">
        <f t="shared" si="134"/>
        <v>28</v>
      </c>
      <c r="U109" s="145">
        <f t="shared" ref="U109" si="135">+U107+U105+U103</f>
        <v>31</v>
      </c>
      <c r="V109" s="147"/>
      <c r="W109" s="143"/>
    </row>
    <row r="110" spans="1:29" x14ac:dyDescent="0.25">
      <c r="C110" s="385" t="s">
        <v>14</v>
      </c>
      <c r="D110" s="387">
        <f>+D108+D106+D104</f>
        <v>0</v>
      </c>
      <c r="E110" s="336">
        <f t="shared" ref="E110:H110" si="136">+E108+E106+E104</f>
        <v>0</v>
      </c>
      <c r="F110" s="336">
        <f t="shared" si="136"/>
        <v>31</v>
      </c>
      <c r="G110" s="336">
        <f t="shared" si="136"/>
        <v>31</v>
      </c>
      <c r="H110" s="336">
        <f t="shared" si="136"/>
        <v>29</v>
      </c>
      <c r="I110" s="336">
        <f t="shared" ref="I110:J110" si="137">+I108+I106+I104</f>
        <v>31</v>
      </c>
      <c r="J110" s="336">
        <f t="shared" si="137"/>
        <v>30</v>
      </c>
      <c r="K110" s="336">
        <f t="shared" ref="K110:L110" si="138">+K108+K106+K104</f>
        <v>31</v>
      </c>
      <c r="L110" s="336">
        <f t="shared" si="138"/>
        <v>30</v>
      </c>
      <c r="M110" s="336">
        <f t="shared" ref="M110:N110" si="139">+M108+M106+M104</f>
        <v>31</v>
      </c>
      <c r="N110" s="336">
        <f t="shared" si="139"/>
        <v>31</v>
      </c>
      <c r="O110" s="336">
        <f t="shared" ref="O110:P110" si="140">+O108+O106+O104</f>
        <v>30</v>
      </c>
      <c r="P110" s="336">
        <f t="shared" si="140"/>
        <v>31</v>
      </c>
      <c r="Q110" s="336">
        <f t="shared" ref="Q110:R110" si="141">+Q108+Q106+Q104</f>
        <v>30</v>
      </c>
      <c r="R110" s="336">
        <f t="shared" si="141"/>
        <v>31</v>
      </c>
      <c r="S110" s="336">
        <f t="shared" ref="S110:T110" si="142">+S108+S106+S104</f>
        <v>31</v>
      </c>
      <c r="T110" s="336">
        <f t="shared" si="142"/>
        <v>28</v>
      </c>
      <c r="U110" s="336">
        <f t="shared" ref="U110" si="143">+U108+U106+U104</f>
        <v>31</v>
      </c>
      <c r="V110" s="147"/>
      <c r="W110" s="143"/>
    </row>
    <row r="111" spans="1:29" x14ac:dyDescent="0.25">
      <c r="C111" s="318"/>
      <c r="D111" s="147"/>
      <c r="E111" s="142"/>
      <c r="F111" s="142"/>
      <c r="G111" s="142"/>
      <c r="H111" s="142"/>
      <c r="I111" s="142"/>
      <c r="J111" s="142"/>
      <c r="K111" s="142"/>
      <c r="L111" s="142"/>
      <c r="M111" s="142"/>
      <c r="U111" s="143"/>
      <c r="V111" s="147"/>
      <c r="W111" s="143"/>
    </row>
    <row r="112" spans="1:29" ht="15" customHeight="1" x14ac:dyDescent="0.25">
      <c r="A112" s="158" t="s">
        <v>190</v>
      </c>
      <c r="B112" s="158" t="s">
        <v>250</v>
      </c>
      <c r="C112" s="385" t="s">
        <v>247</v>
      </c>
      <c r="D112" s="383">
        <f>+'Detailed Capacity Utilisation'!C76</f>
        <v>459</v>
      </c>
      <c r="E112" s="145">
        <f>+'Detailed Capacity Utilisation'!C155</f>
        <v>255</v>
      </c>
      <c r="F112" s="145">
        <f>+'Detailed Capacity Utilisation'!C240</f>
        <v>102</v>
      </c>
      <c r="G112" s="145">
        <f>+'Detailed Capacity Utilisation'!C327</f>
        <v>389</v>
      </c>
      <c r="H112" s="145">
        <f>+'Detailed Capacity Utilisation'!C416</f>
        <v>391</v>
      </c>
      <c r="I112" s="145">
        <f>'Detailed Capacity Utilisation'!C506</f>
        <v>153</v>
      </c>
      <c r="J112" s="145">
        <f>'Detailed Capacity Utilisation'!C595</f>
        <v>170</v>
      </c>
      <c r="K112" s="145">
        <f>'Detailed Capacity Utilisation'!C684</f>
        <v>187</v>
      </c>
      <c r="L112" s="145">
        <f>'Detailed Capacity Utilisation'!C773</f>
        <v>493</v>
      </c>
      <c r="M112" s="145">
        <f>'Detailed Capacity Utilisation'!C863</f>
        <v>238</v>
      </c>
      <c r="N112" s="145">
        <f>'Detailed Capacity Utilisation'!C956</f>
        <v>170</v>
      </c>
      <c r="O112" s="145">
        <f>'Detailed Capacity Utilisation'!C1050</f>
        <v>119</v>
      </c>
      <c r="P112" s="145">
        <f>'Detailed Capacity Utilisation'!C1144</f>
        <v>340</v>
      </c>
      <c r="Q112" s="145">
        <f>'Detailed Capacity Utilisation'!C1239</f>
        <v>323</v>
      </c>
      <c r="R112" s="145">
        <f>'Detailed Capacity Utilisation'!C1336</f>
        <v>102</v>
      </c>
      <c r="S112" s="145">
        <f>'Detailed Capacity Utilisation'!C1436</f>
        <v>255</v>
      </c>
      <c r="T112" s="145">
        <f>'Detailed Capacity Utilisation'!C1538</f>
        <v>476</v>
      </c>
      <c r="U112" s="303">
        <f>'Detailed Capacity Utilisation'!C1640</f>
        <v>522</v>
      </c>
      <c r="V112" s="380">
        <f>SUM(D112:I112)/6</f>
        <v>291.5</v>
      </c>
      <c r="W112" s="377">
        <f t="shared" ref="W112:W113" si="144">SUM(J112:U112)/12</f>
        <v>282.91666666666669</v>
      </c>
    </row>
    <row r="113" spans="1:29" ht="15" customHeight="1" x14ac:dyDescent="0.25">
      <c r="A113" s="158"/>
      <c r="B113" s="158"/>
      <c r="C113" s="385" t="s">
        <v>14</v>
      </c>
      <c r="D113" s="383">
        <f>+'Detailed Capacity Utilisation'!F76</f>
        <v>506.19999999999993</v>
      </c>
      <c r="E113" s="145">
        <f>+'Detailed Capacity Utilisation'!F155</f>
        <v>340</v>
      </c>
      <c r="F113" s="145">
        <f>+'Detailed Capacity Utilisation'!F240</f>
        <v>0</v>
      </c>
      <c r="G113" s="145">
        <f>+'Detailed Capacity Utilisation'!F327</f>
        <v>494</v>
      </c>
      <c r="H113" s="145">
        <f>+'Detailed Capacity Utilisation'!F416</f>
        <v>408</v>
      </c>
      <c r="I113" s="145">
        <f>'Detailed Capacity Utilisation'!F506</f>
        <v>0</v>
      </c>
      <c r="J113" s="145">
        <v>0</v>
      </c>
      <c r="K113" s="145">
        <f>'Detailed Capacity Utilisation'!F684</f>
        <v>238</v>
      </c>
      <c r="L113" s="145">
        <f>'Detailed Capacity Utilisation'!F773</f>
        <v>476</v>
      </c>
      <c r="M113" s="145">
        <f>'Detailed Capacity Utilisation'!F863</f>
        <v>17</v>
      </c>
      <c r="N113" s="145">
        <f>'Detailed Capacity Utilisation'!F956</f>
        <v>210</v>
      </c>
      <c r="O113" s="145">
        <f>'Detailed Capacity Utilisation'!F1050</f>
        <v>0</v>
      </c>
      <c r="P113" s="145">
        <f>'Detailed Capacity Utilisation'!F1144</f>
        <v>369.81999999999988</v>
      </c>
      <c r="Q113" s="145">
        <f>'Detailed Capacity Utilisation'!F1239</f>
        <v>442.79999999999984</v>
      </c>
      <c r="R113" s="145">
        <f>'Detailed Capacity Utilisation'!F1336</f>
        <v>139.95000000000002</v>
      </c>
      <c r="S113" s="145">
        <f>'Detailed Capacity Utilisation'!F1436</f>
        <v>147.6</v>
      </c>
      <c r="T113" s="145">
        <f>'Detailed Capacity Utilisation'!F1538</f>
        <v>280</v>
      </c>
      <c r="U113" s="303">
        <f>'Detailed Capacity Utilisation'!F1640</f>
        <v>244.81999999999996</v>
      </c>
      <c r="V113" s="380">
        <f>SUM(D113:I113)/6</f>
        <v>291.36666666666662</v>
      </c>
      <c r="W113" s="377">
        <f t="shared" si="144"/>
        <v>213.83250000000001</v>
      </c>
    </row>
    <row r="114" spans="1:29" ht="15" customHeight="1" x14ac:dyDescent="0.25">
      <c r="A114" s="158"/>
      <c r="C114" s="385" t="s">
        <v>252</v>
      </c>
      <c r="D114" s="378">
        <f>+D113/D112</f>
        <v>1.1028322440087144</v>
      </c>
      <c r="E114" s="144">
        <f t="shared" ref="E114" si="145">+E113/E112</f>
        <v>1.3333333333333333</v>
      </c>
      <c r="F114" s="144">
        <f t="shared" ref="F114" si="146">+F113/F112</f>
        <v>0</v>
      </c>
      <c r="G114" s="144">
        <f t="shared" ref="G114" si="147">+G113/G112</f>
        <v>1.2699228791773778</v>
      </c>
      <c r="H114" s="144">
        <f t="shared" ref="H114:U114" si="148">+H113/H112</f>
        <v>1.0434782608695652</v>
      </c>
      <c r="I114" s="144">
        <f t="shared" si="148"/>
        <v>0</v>
      </c>
      <c r="J114" s="144">
        <f t="shared" si="148"/>
        <v>0</v>
      </c>
      <c r="K114" s="144">
        <f t="shared" si="148"/>
        <v>1.2727272727272727</v>
      </c>
      <c r="L114" s="144">
        <f t="shared" si="148"/>
        <v>0.96551724137931039</v>
      </c>
      <c r="M114" s="144">
        <f t="shared" si="148"/>
        <v>7.1428571428571425E-2</v>
      </c>
      <c r="N114" s="144">
        <f t="shared" si="148"/>
        <v>1.2352941176470589</v>
      </c>
      <c r="O114" s="144">
        <f t="shared" si="148"/>
        <v>0</v>
      </c>
      <c r="P114" s="144">
        <f t="shared" si="148"/>
        <v>1.0877058823529409</v>
      </c>
      <c r="Q114" s="144">
        <f t="shared" si="148"/>
        <v>1.3708978328173369</v>
      </c>
      <c r="R114" s="144">
        <f t="shared" si="148"/>
        <v>1.372058823529412</v>
      </c>
      <c r="S114" s="144">
        <f t="shared" si="148"/>
        <v>0.57882352941176474</v>
      </c>
      <c r="T114" s="144">
        <f t="shared" si="148"/>
        <v>0.58823529411764708</v>
      </c>
      <c r="U114" s="144">
        <f t="shared" si="148"/>
        <v>0.46900383141762447</v>
      </c>
      <c r="V114" s="378">
        <f t="shared" ref="V114:W114" si="149">+V113/V112</f>
        <v>0.99954259576901072</v>
      </c>
      <c r="W114" s="372">
        <f t="shared" si="149"/>
        <v>0.75581443298969075</v>
      </c>
    </row>
    <row r="115" spans="1:29" ht="15" customHeight="1" x14ac:dyDescent="0.25">
      <c r="A115" s="158"/>
      <c r="C115" s="385"/>
      <c r="D115" s="147"/>
      <c r="E115" s="142"/>
      <c r="F115" s="142"/>
      <c r="G115" s="142"/>
      <c r="H115" s="142"/>
      <c r="I115" s="142"/>
      <c r="J115" s="142"/>
      <c r="K115" s="142"/>
      <c r="L115" s="142"/>
      <c r="M115" s="142"/>
      <c r="U115" s="143"/>
      <c r="V115" s="147"/>
      <c r="W115" s="143"/>
    </row>
    <row r="116" spans="1:29" ht="15" customHeight="1" x14ac:dyDescent="0.25">
      <c r="A116" s="158"/>
      <c r="B116" s="158" t="s">
        <v>249</v>
      </c>
      <c r="C116" s="385" t="s">
        <v>247</v>
      </c>
      <c r="D116" s="383">
        <f>+'Detailed Capacity Utilisation'!D74</f>
        <v>27</v>
      </c>
      <c r="E116" s="145">
        <f>+'Detailed Capacity Utilisation'!D153</f>
        <v>15</v>
      </c>
      <c r="F116" s="145">
        <f>+'Detailed Capacity Utilisation'!D238</f>
        <v>6</v>
      </c>
      <c r="G116" s="145">
        <f>+'Detailed Capacity Utilisation'!D325</f>
        <v>21</v>
      </c>
      <c r="H116" s="145">
        <f>+'Detailed Capacity Utilisation'!D414</f>
        <v>23</v>
      </c>
      <c r="I116" s="142">
        <f>'Detailed Capacity Utilisation'!D502</f>
        <v>9</v>
      </c>
      <c r="J116" s="145">
        <f>'Detailed Capacity Utilisation'!D593</f>
        <v>10</v>
      </c>
      <c r="K116" s="145">
        <f>'Detailed Capacity Utilisation'!D682</f>
        <v>11</v>
      </c>
      <c r="L116" s="145">
        <f>'Detailed Capacity Utilisation'!D771</f>
        <v>29</v>
      </c>
      <c r="M116" s="145">
        <f>'Detailed Capacity Utilisation'!D861</f>
        <v>14</v>
      </c>
      <c r="N116" s="145">
        <f>'Detailed Capacity Utilisation'!D954</f>
        <v>10</v>
      </c>
      <c r="O116" s="145">
        <f>'Detailed Capacity Utilisation'!D1048</f>
        <v>7</v>
      </c>
      <c r="P116" s="145">
        <f>'Detailed Capacity Utilisation'!D1142</f>
        <v>20</v>
      </c>
      <c r="Q116" s="145">
        <f>'Detailed Capacity Utilisation'!D1237</f>
        <v>19</v>
      </c>
      <c r="R116" s="145">
        <f>'Detailed Capacity Utilisation'!D1334</f>
        <v>6</v>
      </c>
      <c r="S116" s="145">
        <f>'Detailed Capacity Utilisation'!D1434</f>
        <v>15</v>
      </c>
      <c r="T116" s="145">
        <f>'Detailed Capacity Utilisation'!D1536</f>
        <v>17</v>
      </c>
      <c r="U116" s="303">
        <f>'Detailed Capacity Utilisation'!D1638</f>
        <v>29</v>
      </c>
      <c r="V116" s="380">
        <f>SUM(D116:I116)/6</f>
        <v>16.833333333333332</v>
      </c>
      <c r="W116" s="377">
        <f t="shared" ref="W116:W117" si="150">SUM(J116:U116)/12</f>
        <v>15.583333333333334</v>
      </c>
      <c r="X116" s="330">
        <f>+V112/V116</f>
        <v>17.316831683168317</v>
      </c>
      <c r="AA116" s="327">
        <f>+W112/W116</f>
        <v>18.155080213903744</v>
      </c>
    </row>
    <row r="117" spans="1:29" ht="15.75" customHeight="1" x14ac:dyDescent="0.25">
      <c r="A117" s="158"/>
      <c r="C117" s="385" t="s">
        <v>14</v>
      </c>
      <c r="D117" s="383">
        <f>+'Detailed Capacity Utilisation'!G74</f>
        <v>29</v>
      </c>
      <c r="E117" s="145">
        <f>+'Detailed Capacity Utilisation'!G153</f>
        <v>21</v>
      </c>
      <c r="F117" s="145">
        <f>+'Detailed Capacity Utilisation'!G238</f>
        <v>0</v>
      </c>
      <c r="G117" s="145">
        <f>+'Detailed Capacity Utilisation'!G325</f>
        <v>25</v>
      </c>
      <c r="H117" s="145">
        <f>+'Detailed Capacity Utilisation'!G414</f>
        <v>24</v>
      </c>
      <c r="I117" s="145">
        <f>'Detailed Capacity Utilisation'!G504</f>
        <v>0</v>
      </c>
      <c r="J117" s="145">
        <f>'Detailed Capacity Utilisation'!G593</f>
        <v>0</v>
      </c>
      <c r="K117" s="145">
        <f>'Detailed Capacity Utilisation'!G682</f>
        <v>14</v>
      </c>
      <c r="L117" s="145">
        <f>'Detailed Capacity Utilisation'!G771</f>
        <v>28</v>
      </c>
      <c r="M117" s="145">
        <f>'Detailed Capacity Utilisation'!G861</f>
        <v>1</v>
      </c>
      <c r="N117" s="145">
        <f>'Detailed Capacity Utilisation'!G954</f>
        <v>12</v>
      </c>
      <c r="O117" s="145">
        <f>'Detailed Capacity Utilisation'!G1048</f>
        <v>0</v>
      </c>
      <c r="P117" s="145">
        <f>'Detailed Capacity Utilisation'!G1142</f>
        <v>21</v>
      </c>
      <c r="Q117" s="145">
        <f>'Detailed Capacity Utilisation'!G1237</f>
        <v>23.999999999999993</v>
      </c>
      <c r="R117" s="145">
        <f>'Detailed Capacity Utilisation'!G1334</f>
        <v>8</v>
      </c>
      <c r="S117" s="145">
        <f>'Detailed Capacity Utilisation'!G1434</f>
        <v>8</v>
      </c>
      <c r="T117" s="145">
        <f>'Detailed Capacity Utilisation'!G1536</f>
        <v>14</v>
      </c>
      <c r="U117" s="303">
        <f>'Detailed Capacity Utilisation'!G1638</f>
        <v>12.999999999999998</v>
      </c>
      <c r="V117" s="380">
        <f>SUM(D117:I117)/6</f>
        <v>16.5</v>
      </c>
      <c r="W117" s="377">
        <f t="shared" si="150"/>
        <v>11.916666666666666</v>
      </c>
      <c r="X117" s="330">
        <f>+V113/V117</f>
        <v>17.658585858585855</v>
      </c>
      <c r="Y117" s="142">
        <v>18</v>
      </c>
      <c r="Z117" s="146">
        <f>+X117/Y117</f>
        <v>0.98103254769921422</v>
      </c>
      <c r="AA117" s="327">
        <f>+W113/W117</f>
        <v>17.943986013986017</v>
      </c>
      <c r="AB117" s="142">
        <v>18</v>
      </c>
      <c r="AC117" s="146">
        <f>+AA117/AB117</f>
        <v>0.99688811188811199</v>
      </c>
    </row>
    <row r="118" spans="1:29" x14ac:dyDescent="0.25">
      <c r="B118" s="158" t="s">
        <v>248</v>
      </c>
      <c r="C118" s="385" t="s">
        <v>247</v>
      </c>
      <c r="D118" s="147"/>
      <c r="E118" s="142"/>
      <c r="F118" s="142"/>
      <c r="G118" s="142"/>
      <c r="H118" s="145"/>
      <c r="I118" s="142"/>
      <c r="J118" s="142"/>
      <c r="K118" s="142"/>
      <c r="L118" s="142"/>
      <c r="M118" s="142"/>
      <c r="U118" s="143"/>
      <c r="V118" s="330"/>
      <c r="W118" s="382"/>
      <c r="X118" s="330"/>
      <c r="AA118" s="330"/>
    </row>
    <row r="119" spans="1:29" x14ac:dyDescent="0.25">
      <c r="C119" s="385" t="s">
        <v>14</v>
      </c>
      <c r="D119" s="147"/>
      <c r="E119" s="142"/>
      <c r="F119" s="142"/>
      <c r="G119" s="142"/>
      <c r="H119" s="145"/>
      <c r="I119" s="142"/>
      <c r="J119" s="142"/>
      <c r="K119" s="142"/>
      <c r="L119" s="142"/>
      <c r="M119" s="142"/>
      <c r="U119" s="143"/>
      <c r="V119" s="147"/>
      <c r="W119" s="143"/>
    </row>
    <row r="120" spans="1:29" x14ac:dyDescent="0.25">
      <c r="B120" s="158" t="s">
        <v>263</v>
      </c>
      <c r="C120" s="385" t="s">
        <v>247</v>
      </c>
      <c r="D120" s="383">
        <f>+'Detailed Capacity Utilisation'!D75</f>
        <v>4</v>
      </c>
      <c r="E120" s="145">
        <f>+'Detailed Capacity Utilisation'!D154</f>
        <v>15</v>
      </c>
      <c r="F120" s="145">
        <f>+'Detailed Capacity Utilisation'!D239</f>
        <v>25</v>
      </c>
      <c r="G120" s="145">
        <f>+'Detailed Capacity Utilisation'!D326</f>
        <v>10</v>
      </c>
      <c r="H120" s="145">
        <f>+'Detailed Capacity Utilisation'!D415</f>
        <v>6</v>
      </c>
      <c r="I120" s="145">
        <f>'Detailed Capacity Utilisation'!D505</f>
        <v>22</v>
      </c>
      <c r="J120" s="145">
        <f>'Detailed Capacity Utilisation'!D594</f>
        <v>20</v>
      </c>
      <c r="K120" s="145">
        <f>'Detailed Capacity Utilisation'!D683</f>
        <v>20</v>
      </c>
      <c r="L120" s="145">
        <f>'Detailed Capacity Utilisation'!D772</f>
        <v>2</v>
      </c>
      <c r="M120" s="145">
        <f>'Detailed Capacity Utilisation'!D862</f>
        <v>17</v>
      </c>
      <c r="N120" s="145">
        <f>'Detailed Capacity Utilisation'!D955</f>
        <v>21</v>
      </c>
      <c r="O120" s="145">
        <f>'Detailed Capacity Utilisation'!D1049</f>
        <v>23</v>
      </c>
      <c r="P120" s="145">
        <f>'Detailed Capacity Utilisation'!D1143</f>
        <v>11</v>
      </c>
      <c r="Q120" s="145">
        <f>'Detailed Capacity Utilisation'!D1238</f>
        <v>11</v>
      </c>
      <c r="R120" s="145">
        <f>'Detailed Capacity Utilisation'!D1335</f>
        <v>25</v>
      </c>
      <c r="S120" s="145">
        <f>'Detailed Capacity Utilisation'!D1435</f>
        <v>16</v>
      </c>
      <c r="T120" s="145">
        <f>'Detailed Capacity Utilisation'!D1537</f>
        <v>11</v>
      </c>
      <c r="U120" s="303">
        <f>'Detailed Capacity Utilisation'!D1639</f>
        <v>2</v>
      </c>
      <c r="V120" s="380">
        <f>SUM(D120:I120)/6</f>
        <v>13.666666666666666</v>
      </c>
      <c r="W120" s="377">
        <f t="shared" ref="W120:W121" si="151">SUM(J120:U120)/12</f>
        <v>14.916666666666666</v>
      </c>
    </row>
    <row r="121" spans="1:29" x14ac:dyDescent="0.25">
      <c r="B121" s="158"/>
      <c r="C121" s="385" t="s">
        <v>14</v>
      </c>
      <c r="D121" s="383">
        <f>+'Detailed Capacity Utilisation'!G75</f>
        <v>2</v>
      </c>
      <c r="E121" s="145">
        <f>+'Detailed Capacity Utilisation'!G154</f>
        <v>9</v>
      </c>
      <c r="F121" s="145">
        <f>+'Detailed Capacity Utilisation'!G239</f>
        <v>31</v>
      </c>
      <c r="G121" s="145">
        <f>+'Detailed Capacity Utilisation'!G326</f>
        <v>6</v>
      </c>
      <c r="H121" s="145">
        <f>+'Detailed Capacity Utilisation'!G415</f>
        <v>5</v>
      </c>
      <c r="I121" s="145">
        <f>'Detailed Capacity Utilisation'!G505</f>
        <v>31</v>
      </c>
      <c r="J121" s="145">
        <f>'Detailed Capacity Utilisation'!G594</f>
        <v>30</v>
      </c>
      <c r="K121" s="145">
        <f>'Detailed Capacity Utilisation'!G683</f>
        <v>17</v>
      </c>
      <c r="L121" s="145">
        <f>'Detailed Capacity Utilisation'!G772</f>
        <v>3</v>
      </c>
      <c r="M121" s="145">
        <f>'Detailed Capacity Utilisation'!G862</f>
        <v>30</v>
      </c>
      <c r="N121" s="145">
        <f>'Detailed Capacity Utilisation'!G955</f>
        <v>19</v>
      </c>
      <c r="O121" s="145">
        <f>'Detailed Capacity Utilisation'!G1049</f>
        <v>30</v>
      </c>
      <c r="P121" s="145">
        <f>'Detailed Capacity Utilisation'!G1143</f>
        <v>10</v>
      </c>
      <c r="Q121" s="145">
        <f>'Detailed Capacity Utilisation'!G1238</f>
        <v>6.0000000000000071</v>
      </c>
      <c r="R121" s="145">
        <f>'Detailed Capacity Utilisation'!G1335</f>
        <v>23</v>
      </c>
      <c r="S121" s="145">
        <f>'Detailed Capacity Utilisation'!G1435</f>
        <v>23</v>
      </c>
      <c r="T121" s="145">
        <f>'Detailed Capacity Utilisation'!G1537</f>
        <v>14</v>
      </c>
      <c r="U121" s="303">
        <f>'Detailed Capacity Utilisation'!G1639</f>
        <v>18</v>
      </c>
      <c r="V121" s="380">
        <f>SUM(D121:I121)/6</f>
        <v>14</v>
      </c>
      <c r="W121" s="377">
        <f t="shared" si="151"/>
        <v>18.583333333333332</v>
      </c>
    </row>
    <row r="122" spans="1:29" x14ac:dyDescent="0.25">
      <c r="B122" s="158" t="s">
        <v>265</v>
      </c>
      <c r="C122" s="385" t="s">
        <v>247</v>
      </c>
      <c r="D122" s="387">
        <f>+D120+D118+D116</f>
        <v>31</v>
      </c>
      <c r="E122" s="145">
        <f t="shared" ref="E122:H122" si="152">+E120+E118+E116</f>
        <v>30</v>
      </c>
      <c r="F122" s="145">
        <f t="shared" si="152"/>
        <v>31</v>
      </c>
      <c r="G122" s="145">
        <f t="shared" si="152"/>
        <v>31</v>
      </c>
      <c r="H122" s="145">
        <f t="shared" si="152"/>
        <v>29</v>
      </c>
      <c r="I122" s="145">
        <f t="shared" ref="I122:L123" si="153">+I120+I118+I116</f>
        <v>31</v>
      </c>
      <c r="J122" s="145">
        <f t="shared" si="153"/>
        <v>30</v>
      </c>
      <c r="K122" s="145">
        <f t="shared" si="153"/>
        <v>31</v>
      </c>
      <c r="L122" s="145">
        <f t="shared" si="153"/>
        <v>31</v>
      </c>
      <c r="M122" s="145">
        <f t="shared" ref="M122:N122" si="154">+M120+M118+M116</f>
        <v>31</v>
      </c>
      <c r="N122" s="145">
        <f t="shared" si="154"/>
        <v>31</v>
      </c>
      <c r="O122" s="145">
        <f t="shared" ref="O122:P122" si="155">+O120+O118+O116</f>
        <v>30</v>
      </c>
      <c r="P122" s="145">
        <f t="shared" si="155"/>
        <v>31</v>
      </c>
      <c r="Q122" s="145">
        <f t="shared" ref="Q122:R122" si="156">+Q120+Q118+Q116</f>
        <v>30</v>
      </c>
      <c r="R122" s="145">
        <f t="shared" si="156"/>
        <v>31</v>
      </c>
      <c r="S122" s="145">
        <f t="shared" ref="S122:T122" si="157">+S120+S118+S116</f>
        <v>31</v>
      </c>
      <c r="T122" s="145">
        <f t="shared" si="157"/>
        <v>28</v>
      </c>
      <c r="U122" s="145">
        <f t="shared" ref="U122" si="158">+U120+U118+U116</f>
        <v>31</v>
      </c>
      <c r="V122" s="147"/>
      <c r="W122" s="143"/>
    </row>
    <row r="123" spans="1:29" x14ac:dyDescent="0.25">
      <c r="C123" s="385" t="s">
        <v>14</v>
      </c>
      <c r="D123" s="387">
        <f>+D121+D119+D117</f>
        <v>31</v>
      </c>
      <c r="E123" s="336">
        <f t="shared" ref="E123:H123" si="159">+E121+E119+E117</f>
        <v>30</v>
      </c>
      <c r="F123" s="336">
        <f t="shared" si="159"/>
        <v>31</v>
      </c>
      <c r="G123" s="336">
        <f t="shared" si="159"/>
        <v>31</v>
      </c>
      <c r="H123" s="336">
        <f t="shared" si="159"/>
        <v>29</v>
      </c>
      <c r="I123" s="336">
        <f t="shared" si="153"/>
        <v>31</v>
      </c>
      <c r="J123" s="336">
        <f t="shared" si="153"/>
        <v>30</v>
      </c>
      <c r="K123" s="336">
        <f t="shared" si="153"/>
        <v>31</v>
      </c>
      <c r="L123" s="336">
        <f t="shared" si="153"/>
        <v>31</v>
      </c>
      <c r="M123" s="336">
        <f t="shared" ref="M123:N123" si="160">+M121+M119+M117</f>
        <v>31</v>
      </c>
      <c r="N123" s="336">
        <f t="shared" si="160"/>
        <v>31</v>
      </c>
      <c r="O123" s="336">
        <f t="shared" ref="O123:P123" si="161">+O121+O119+O117</f>
        <v>30</v>
      </c>
      <c r="P123" s="336">
        <f t="shared" si="161"/>
        <v>31</v>
      </c>
      <c r="Q123" s="336">
        <f t="shared" ref="Q123:R123" si="162">+Q121+Q119+Q117</f>
        <v>30</v>
      </c>
      <c r="R123" s="336">
        <f t="shared" si="162"/>
        <v>31</v>
      </c>
      <c r="S123" s="336">
        <f t="shared" ref="S123:T123" si="163">+S121+S119+S117</f>
        <v>31</v>
      </c>
      <c r="T123" s="336">
        <f t="shared" si="163"/>
        <v>28</v>
      </c>
      <c r="U123" s="336">
        <f t="shared" ref="U123" si="164">+U121+U119+U117</f>
        <v>31</v>
      </c>
      <c r="V123" s="147"/>
      <c r="W123" s="143"/>
    </row>
    <row r="124" spans="1:29" x14ac:dyDescent="0.25">
      <c r="C124" s="318"/>
      <c r="D124" s="147"/>
      <c r="E124" s="142"/>
      <c r="F124" s="142"/>
      <c r="G124" s="142"/>
      <c r="H124" s="142"/>
      <c r="I124" s="142"/>
      <c r="J124" s="142"/>
      <c r="K124" s="142"/>
      <c r="L124" s="142"/>
      <c r="M124" s="142"/>
      <c r="U124" s="143"/>
      <c r="V124" s="147"/>
      <c r="W124" s="143"/>
    </row>
    <row r="125" spans="1:29" x14ac:dyDescent="0.25">
      <c r="A125" s="158" t="s">
        <v>194</v>
      </c>
      <c r="B125" s="158" t="s">
        <v>250</v>
      </c>
      <c r="C125" s="385" t="s">
        <v>247</v>
      </c>
      <c r="D125" s="383">
        <f>+'Detailed Capacity Utilisation'!C82</f>
        <v>625</v>
      </c>
      <c r="E125" s="145">
        <f>+'Detailed Capacity Utilisation'!C161</f>
        <v>500</v>
      </c>
      <c r="F125" s="145">
        <f>+'Detailed Capacity Utilisation'!C246</f>
        <v>850</v>
      </c>
      <c r="G125" s="145">
        <f>+'Detailed Capacity Utilisation'!C333</f>
        <v>345</v>
      </c>
      <c r="H125" s="145">
        <f>+'Detailed Capacity Utilisation'!C422</f>
        <v>450</v>
      </c>
      <c r="I125" s="145">
        <f>'Detailed Capacity Utilisation'!C512</f>
        <v>220</v>
      </c>
      <c r="J125" s="145">
        <f>'Detailed Capacity Utilisation'!C601</f>
        <v>150</v>
      </c>
      <c r="K125" s="145">
        <f>'Detailed Capacity Utilisation'!C690</f>
        <v>600</v>
      </c>
      <c r="L125" s="145">
        <f>'Detailed Capacity Utilisation'!C779</f>
        <v>620</v>
      </c>
      <c r="M125" s="145">
        <f>'Detailed Capacity Utilisation'!C869</f>
        <v>560</v>
      </c>
      <c r="N125" s="145">
        <f>'Detailed Capacity Utilisation'!C962</f>
        <v>150</v>
      </c>
      <c r="O125" s="145">
        <f>'Detailed Capacity Utilisation'!C1056</f>
        <v>450</v>
      </c>
      <c r="P125" s="145">
        <f>'Detailed Capacity Utilisation'!C1150</f>
        <v>220</v>
      </c>
      <c r="Q125" s="145">
        <f>'Detailed Capacity Utilisation'!C1245</f>
        <v>810</v>
      </c>
      <c r="R125" s="145">
        <f>'Detailed Capacity Utilisation'!C1342</f>
        <v>520</v>
      </c>
      <c r="S125" s="145">
        <f>'Detailed Capacity Utilisation'!C1442</f>
        <v>240</v>
      </c>
      <c r="T125" s="145">
        <f>'Detailed Capacity Utilisation'!C1544</f>
        <v>0</v>
      </c>
      <c r="U125" s="303">
        <f>'Detailed Capacity Utilisation'!C1646</f>
        <v>400</v>
      </c>
      <c r="V125" s="380">
        <f>SUM(D125:I125)/6</f>
        <v>498.33333333333331</v>
      </c>
      <c r="W125" s="377">
        <f t="shared" ref="W125:W126" si="165">SUM(J125:U125)/12</f>
        <v>393.33333333333331</v>
      </c>
    </row>
    <row r="126" spans="1:29" x14ac:dyDescent="0.25">
      <c r="A126" s="158"/>
      <c r="B126" s="158"/>
      <c r="C126" s="385" t="s">
        <v>14</v>
      </c>
      <c r="D126" s="383">
        <f>+'Detailed Capacity Utilisation'!F82</f>
        <v>559.90571799999998</v>
      </c>
      <c r="E126" s="145">
        <f>+'Detailed Capacity Utilisation'!F161</f>
        <v>352.73199999999997</v>
      </c>
      <c r="F126" s="145">
        <f>+'Detailed Capacity Utilisation'!F246</f>
        <v>698.38922400000001</v>
      </c>
      <c r="G126" s="145">
        <f>+'Detailed Capacity Utilisation'!F333</f>
        <v>342.68397599999997</v>
      </c>
      <c r="H126" s="145">
        <f>+'Detailed Capacity Utilisation'!F422</f>
        <v>114.99794600000001</v>
      </c>
      <c r="I126" s="145">
        <f>'Detailed Capacity Utilisation'!F512</f>
        <v>304.739194</v>
      </c>
      <c r="J126" s="145">
        <f>'Detailed Capacity Utilisation'!F601</f>
        <v>253.49999999999997</v>
      </c>
      <c r="K126" s="145">
        <f>'Detailed Capacity Utilisation'!F690</f>
        <v>456.59999999999997</v>
      </c>
      <c r="L126" s="145">
        <f>'Detailed Capacity Utilisation'!F779</f>
        <v>513.56711400000006</v>
      </c>
      <c r="M126" s="145">
        <f>'Detailed Capacity Utilisation'!F869</f>
        <v>514.371624</v>
      </c>
      <c r="N126" s="145">
        <f>'Detailed Capacity Utilisation'!F962</f>
        <v>174.21800000000002</v>
      </c>
      <c r="O126" s="145">
        <f>'Detailed Capacity Utilisation'!F1056</f>
        <v>407.32</v>
      </c>
      <c r="P126" s="145"/>
      <c r="Q126" s="145">
        <f>'Detailed Capacity Utilisation'!F1245</f>
        <v>951.63300000000004</v>
      </c>
      <c r="R126" s="145">
        <f>'Detailed Capacity Utilisation'!F1342</f>
        <v>533.35709999999995</v>
      </c>
      <c r="S126" s="145">
        <f>'Detailed Capacity Utilisation'!F1442</f>
        <v>238.32400000000001</v>
      </c>
      <c r="T126" s="145">
        <f>'Detailed Capacity Utilisation'!F1544</f>
        <v>281.04259999999999</v>
      </c>
      <c r="U126" s="303">
        <f>'Detailed Capacity Utilisation'!F1646</f>
        <v>698.68400000000008</v>
      </c>
      <c r="V126" s="380">
        <f>SUM(D126:I126)/6</f>
        <v>395.57467633333334</v>
      </c>
      <c r="W126" s="377">
        <f t="shared" si="165"/>
        <v>418.5514531666667</v>
      </c>
    </row>
    <row r="127" spans="1:29" x14ac:dyDescent="0.25">
      <c r="A127" s="158"/>
      <c r="C127" s="385" t="s">
        <v>252</v>
      </c>
      <c r="D127" s="378">
        <f>+D126/D125</f>
        <v>0.89584914879999999</v>
      </c>
      <c r="E127" s="144">
        <f t="shared" ref="E127" si="166">+E126/E125</f>
        <v>0.70546399999999998</v>
      </c>
      <c r="F127" s="144">
        <f t="shared" ref="F127" si="167">+F126/F125</f>
        <v>0.82163438117647059</v>
      </c>
      <c r="G127" s="144">
        <f t="shared" ref="G127" si="168">+G126/G125</f>
        <v>0.99328688695652168</v>
      </c>
      <c r="H127" s="144">
        <f t="shared" ref="H127:U127" si="169">+H126/H125</f>
        <v>0.25555099111111113</v>
      </c>
      <c r="I127" s="144">
        <f t="shared" si="169"/>
        <v>1.3851781545454545</v>
      </c>
      <c r="J127" s="144">
        <f t="shared" si="169"/>
        <v>1.6899999999999997</v>
      </c>
      <c r="K127" s="144">
        <f t="shared" si="169"/>
        <v>0.7609999999999999</v>
      </c>
      <c r="L127" s="144">
        <f t="shared" si="169"/>
        <v>0.82833405483870981</v>
      </c>
      <c r="M127" s="144">
        <f t="shared" si="169"/>
        <v>0.91852075714285719</v>
      </c>
      <c r="N127" s="144">
        <f t="shared" si="169"/>
        <v>1.1614533333333334</v>
      </c>
      <c r="O127" s="144">
        <f t="shared" si="169"/>
        <v>0.90515555555555549</v>
      </c>
      <c r="P127" s="144">
        <f t="shared" si="169"/>
        <v>0</v>
      </c>
      <c r="Q127" s="144">
        <f t="shared" si="169"/>
        <v>1.1748555555555555</v>
      </c>
      <c r="R127" s="144">
        <f t="shared" si="169"/>
        <v>1.0256867307692306</v>
      </c>
      <c r="S127" s="144">
        <f t="shared" si="169"/>
        <v>0.99301666666666677</v>
      </c>
      <c r="T127" s="144" t="e">
        <f t="shared" si="169"/>
        <v>#DIV/0!</v>
      </c>
      <c r="U127" s="144">
        <f t="shared" si="169"/>
        <v>1.7467100000000002</v>
      </c>
      <c r="V127" s="378">
        <f t="shared" ref="V127:W127" si="170">+V126/V125</f>
        <v>0.79379533712374584</v>
      </c>
      <c r="W127" s="372">
        <f t="shared" si="170"/>
        <v>1.064113863983051</v>
      </c>
    </row>
    <row r="128" spans="1:29" x14ac:dyDescent="0.25">
      <c r="A128" s="158"/>
      <c r="C128" s="385"/>
      <c r="D128" s="147"/>
      <c r="E128" s="142"/>
      <c r="F128" s="142"/>
      <c r="G128" s="142"/>
      <c r="H128" s="142"/>
      <c r="I128" s="142"/>
      <c r="J128" s="142"/>
      <c r="K128" s="142"/>
      <c r="L128" s="142"/>
      <c r="M128" s="142"/>
      <c r="U128" s="143"/>
      <c r="V128" s="147"/>
      <c r="W128" s="143"/>
    </row>
    <row r="129" spans="1:29" x14ac:dyDescent="0.25">
      <c r="A129" s="158"/>
      <c r="B129" s="158" t="s">
        <v>249</v>
      </c>
      <c r="C129" s="385" t="s">
        <v>247</v>
      </c>
      <c r="D129" s="383">
        <f>+'Detailed Capacity Utilisation'!D80</f>
        <v>13</v>
      </c>
      <c r="E129" s="145">
        <f>+'Detailed Capacity Utilisation'!D159</f>
        <v>10</v>
      </c>
      <c r="F129" s="145">
        <f>+'Detailed Capacity Utilisation'!D244</f>
        <v>17</v>
      </c>
      <c r="G129" s="145">
        <f>+'Detailed Capacity Utilisation'!D331</f>
        <v>6.5</v>
      </c>
      <c r="H129" s="145">
        <f>+'Detailed Capacity Utilisation'!D420</f>
        <v>9</v>
      </c>
      <c r="I129" s="145">
        <f>'Detailed Capacity Utilisation'!D510</f>
        <v>4.5</v>
      </c>
      <c r="J129" s="145">
        <f>'Detailed Capacity Utilisation'!D599</f>
        <v>3</v>
      </c>
      <c r="K129" s="145">
        <f>'Detailed Capacity Utilisation'!D688</f>
        <v>10</v>
      </c>
      <c r="L129" s="145">
        <f>'Detailed Capacity Utilisation'!D777</f>
        <v>11</v>
      </c>
      <c r="M129" s="145">
        <f>'Detailed Capacity Utilisation'!D867</f>
        <v>10</v>
      </c>
      <c r="N129" s="145">
        <f>'Detailed Capacity Utilisation'!D960</f>
        <v>3</v>
      </c>
      <c r="O129" s="145">
        <f>'Detailed Capacity Utilisation'!D1054</f>
        <v>9</v>
      </c>
      <c r="P129" s="145">
        <f>'Detailed Capacity Utilisation'!D1148</f>
        <v>4.5</v>
      </c>
      <c r="Q129" s="145">
        <f>'Detailed Capacity Utilisation'!D1243</f>
        <v>16.5</v>
      </c>
      <c r="R129" s="145">
        <f>'Detailed Capacity Utilisation'!D1340</f>
        <v>9</v>
      </c>
      <c r="S129" s="145">
        <f>'Detailed Capacity Utilisation'!D1440</f>
        <v>4</v>
      </c>
      <c r="T129" s="145">
        <f>'Detailed Capacity Utilisation'!D1542</f>
        <v>0</v>
      </c>
      <c r="U129" s="303">
        <f>'Detailed Capacity Utilisation'!D1644</f>
        <v>6.6666666666666661</v>
      </c>
      <c r="V129" s="380">
        <f>SUM(D129:I129)/6</f>
        <v>10</v>
      </c>
      <c r="W129" s="377">
        <f t="shared" ref="W129:W130" si="171">SUM(J129:U129)/12</f>
        <v>7.2222222222222223</v>
      </c>
      <c r="X129" s="330">
        <f>+V125/V129</f>
        <v>49.833333333333329</v>
      </c>
      <c r="AA129" s="327">
        <f>+W125/W129</f>
        <v>54.46153846153846</v>
      </c>
    </row>
    <row r="130" spans="1:29" x14ac:dyDescent="0.25">
      <c r="A130" s="158"/>
      <c r="C130" s="385" t="s">
        <v>14</v>
      </c>
      <c r="D130" s="383">
        <f>+'Detailed Capacity Utilisation'!G80</f>
        <v>2</v>
      </c>
      <c r="E130" s="145">
        <f>+'Detailed Capacity Utilisation'!G159</f>
        <v>7</v>
      </c>
      <c r="F130" s="145">
        <f>+'Detailed Capacity Utilisation'!G244</f>
        <v>5.5</v>
      </c>
      <c r="G130" s="145">
        <f>+'Detailed Capacity Utilisation'!G331</f>
        <v>6</v>
      </c>
      <c r="H130" s="145">
        <f>+'Detailed Capacity Utilisation'!G417+'Detailed Capacity Utilisation'!G419</f>
        <v>2</v>
      </c>
      <c r="I130" s="145">
        <f>'Detailed Capacity Utilisation'!G510</f>
        <v>5</v>
      </c>
      <c r="J130" s="145">
        <f>'Detailed Capacity Utilisation'!G599</f>
        <v>4</v>
      </c>
      <c r="K130" s="145">
        <f>'Detailed Capacity Utilisation'!G688</f>
        <v>8</v>
      </c>
      <c r="L130" s="145">
        <f>'Detailed Capacity Utilisation'!G777</f>
        <v>8.5</v>
      </c>
      <c r="M130" s="145">
        <f>'Detailed Capacity Utilisation'!G867</f>
        <v>9</v>
      </c>
      <c r="N130" s="145">
        <f>'Detailed Capacity Utilisation'!G960</f>
        <v>3</v>
      </c>
      <c r="O130" s="145">
        <f>'Detailed Capacity Utilisation'!G1054</f>
        <v>7</v>
      </c>
      <c r="P130" s="145"/>
      <c r="Q130" s="145">
        <f>'Detailed Capacity Utilisation'!G1243</f>
        <v>14</v>
      </c>
      <c r="R130" s="145">
        <f>'Detailed Capacity Utilisation'!G1340</f>
        <v>9</v>
      </c>
      <c r="S130" s="145">
        <f>'Detailed Capacity Utilisation'!G1440</f>
        <v>4</v>
      </c>
      <c r="T130" s="145">
        <f>'Detailed Capacity Utilisation'!G1542</f>
        <v>14.05213</v>
      </c>
      <c r="U130" s="303">
        <f>'Detailed Capacity Utilisation'!G1644</f>
        <v>13</v>
      </c>
      <c r="V130" s="380">
        <f>SUM(D130:I130)/6</f>
        <v>4.583333333333333</v>
      </c>
      <c r="W130" s="377">
        <f t="shared" si="171"/>
        <v>7.7960108333333338</v>
      </c>
      <c r="X130" s="330">
        <f>+V126/V130</f>
        <v>86.307202109090923</v>
      </c>
      <c r="Y130" s="142">
        <v>72</v>
      </c>
      <c r="Z130" s="146">
        <f>+X130/Y130</f>
        <v>1.1987111404040407</v>
      </c>
      <c r="AA130" s="327">
        <f>+W126/W130</f>
        <v>53.687900403764189</v>
      </c>
      <c r="AB130" s="142">
        <v>60</v>
      </c>
      <c r="AC130" s="146">
        <f>+AA130/AB130</f>
        <v>0.89479834006273651</v>
      </c>
    </row>
    <row r="131" spans="1:29" x14ac:dyDescent="0.25">
      <c r="B131" s="158" t="s">
        <v>248</v>
      </c>
      <c r="C131" s="385" t="s">
        <v>247</v>
      </c>
      <c r="D131" s="147"/>
      <c r="E131" s="142"/>
      <c r="F131" s="142"/>
      <c r="G131" s="142"/>
      <c r="H131" s="145"/>
      <c r="I131" s="142"/>
      <c r="J131" s="142"/>
      <c r="K131" s="142"/>
      <c r="L131" s="142"/>
      <c r="M131" s="142"/>
      <c r="U131" s="143"/>
      <c r="V131" s="330"/>
      <c r="W131" s="382"/>
      <c r="X131" s="330"/>
      <c r="AA131" s="330"/>
    </row>
    <row r="132" spans="1:29" x14ac:dyDescent="0.25">
      <c r="C132" s="385" t="s">
        <v>14</v>
      </c>
      <c r="D132" s="147"/>
      <c r="E132" s="142"/>
      <c r="F132" s="142"/>
      <c r="G132" s="142"/>
      <c r="H132" s="145"/>
      <c r="I132" s="142"/>
      <c r="J132" s="142"/>
      <c r="K132" s="142"/>
      <c r="L132" s="142"/>
      <c r="M132" s="142"/>
      <c r="U132" s="143"/>
      <c r="V132" s="147"/>
      <c r="W132" s="143"/>
    </row>
    <row r="133" spans="1:29" x14ac:dyDescent="0.25">
      <c r="B133" s="158" t="s">
        <v>263</v>
      </c>
      <c r="C133" s="385" t="s">
        <v>247</v>
      </c>
      <c r="D133" s="383">
        <f>+'Detailed Capacity Utilisation'!D81</f>
        <v>18</v>
      </c>
      <c r="E133" s="145">
        <f>+'Detailed Capacity Utilisation'!D160</f>
        <v>20</v>
      </c>
      <c r="F133" s="145">
        <f>+'Detailed Capacity Utilisation'!D245</f>
        <v>14</v>
      </c>
      <c r="G133" s="145">
        <f>+'Detailed Capacity Utilisation'!D332</f>
        <v>24.5</v>
      </c>
      <c r="H133" s="145">
        <f>+'Detailed Capacity Utilisation'!D421</f>
        <v>20</v>
      </c>
      <c r="I133" s="145">
        <f>'Detailed Capacity Utilisation'!D511</f>
        <v>26.5</v>
      </c>
      <c r="J133" s="145">
        <f>'Detailed Capacity Utilisation'!D600</f>
        <v>27</v>
      </c>
      <c r="K133" s="145">
        <f>'Detailed Capacity Utilisation'!D689</f>
        <v>21</v>
      </c>
      <c r="L133" s="145">
        <f>'Detailed Capacity Utilisation'!D778</f>
        <v>19</v>
      </c>
      <c r="M133" s="145">
        <f>'Detailed Capacity Utilisation'!D868</f>
        <v>21</v>
      </c>
      <c r="N133" s="145">
        <f>'Detailed Capacity Utilisation'!D961</f>
        <v>28</v>
      </c>
      <c r="O133" s="145">
        <f>'Detailed Capacity Utilisation'!D1055</f>
        <v>21</v>
      </c>
      <c r="P133" s="145">
        <f>'Detailed Capacity Utilisation'!D1149</f>
        <v>26.5</v>
      </c>
      <c r="Q133" s="145">
        <f>'Detailed Capacity Utilisation'!D1244</f>
        <v>13.5</v>
      </c>
      <c r="R133" s="145">
        <f>'Detailed Capacity Utilisation'!D1341</f>
        <v>22</v>
      </c>
      <c r="S133" s="145">
        <f>'Detailed Capacity Utilisation'!D1441</f>
        <v>27</v>
      </c>
      <c r="T133" s="145">
        <v>28</v>
      </c>
      <c r="U133" s="303">
        <f>'Detailed Capacity Utilisation'!D1645</f>
        <v>24.333333333333336</v>
      </c>
      <c r="V133" s="380">
        <f>SUM(D133:I133)/6</f>
        <v>20.5</v>
      </c>
      <c r="W133" s="377">
        <f t="shared" ref="W133:W134" si="172">SUM(J133:U133)/12</f>
        <v>23.194444444444443</v>
      </c>
    </row>
    <row r="134" spans="1:29" x14ac:dyDescent="0.25">
      <c r="B134" s="158"/>
      <c r="C134" s="385" t="s">
        <v>14</v>
      </c>
      <c r="D134" s="383">
        <f>+'Detailed Capacity Utilisation'!G81</f>
        <v>29</v>
      </c>
      <c r="E134" s="145">
        <f>+'Detailed Capacity Utilisation'!G160</f>
        <v>23</v>
      </c>
      <c r="F134" s="145">
        <f>+'Detailed Capacity Utilisation'!G245</f>
        <v>25.5</v>
      </c>
      <c r="G134" s="145">
        <f>+'Detailed Capacity Utilisation'!G332</f>
        <v>25</v>
      </c>
      <c r="H134" s="145">
        <f>+'Detailed Capacity Utilisation'!G421-'Detailed Capacity Utilisation'!G417</f>
        <v>27</v>
      </c>
      <c r="I134" s="145">
        <f>'Detailed Capacity Utilisation'!G511</f>
        <v>26</v>
      </c>
      <c r="J134" s="145">
        <f>'Detailed Capacity Utilisation'!G600</f>
        <v>26</v>
      </c>
      <c r="K134" s="145">
        <f>'Detailed Capacity Utilisation'!G689</f>
        <v>23</v>
      </c>
      <c r="L134" s="145">
        <f>'Detailed Capacity Utilisation'!G778</f>
        <v>21.5</v>
      </c>
      <c r="M134" s="145">
        <f>'Detailed Capacity Utilisation'!G868</f>
        <v>22</v>
      </c>
      <c r="N134" s="145">
        <f>'Detailed Capacity Utilisation'!G961</f>
        <v>28</v>
      </c>
      <c r="O134" s="145">
        <f>'Detailed Capacity Utilisation'!G1055</f>
        <v>23</v>
      </c>
      <c r="P134" s="145">
        <f>'Detailed Capacity Utilisation'!G1149</f>
        <v>31</v>
      </c>
      <c r="Q134" s="145">
        <f>'Detailed Capacity Utilisation'!G1244</f>
        <v>16</v>
      </c>
      <c r="R134" s="145">
        <f>'Detailed Capacity Utilisation'!G1341</f>
        <v>22</v>
      </c>
      <c r="S134" s="145">
        <f>'Detailed Capacity Utilisation'!G1441</f>
        <v>27</v>
      </c>
      <c r="T134" s="145">
        <v>14</v>
      </c>
      <c r="U134" s="303">
        <f>'Detailed Capacity Utilisation'!G1645</f>
        <v>18</v>
      </c>
      <c r="V134" s="380">
        <f>SUM(D134:I134)/6</f>
        <v>25.916666666666668</v>
      </c>
      <c r="W134" s="377">
        <f t="shared" si="172"/>
        <v>22.625</v>
      </c>
    </row>
    <row r="135" spans="1:29" x14ac:dyDescent="0.25">
      <c r="B135" s="158" t="s">
        <v>265</v>
      </c>
      <c r="C135" s="385" t="s">
        <v>247</v>
      </c>
      <c r="D135" s="387">
        <f>+D133+D131+D129</f>
        <v>31</v>
      </c>
      <c r="E135" s="145">
        <f t="shared" ref="E135:H135" si="173">+E133+E131+E129</f>
        <v>30</v>
      </c>
      <c r="F135" s="145">
        <f t="shared" si="173"/>
        <v>31</v>
      </c>
      <c r="G135" s="145">
        <f t="shared" si="173"/>
        <v>31</v>
      </c>
      <c r="H135" s="145">
        <f t="shared" si="173"/>
        <v>29</v>
      </c>
      <c r="I135" s="145">
        <f t="shared" ref="I135:J135" si="174">+I133+I131+I129</f>
        <v>31</v>
      </c>
      <c r="J135" s="145">
        <f t="shared" si="174"/>
        <v>30</v>
      </c>
      <c r="K135" s="145">
        <f t="shared" ref="K135:L135" si="175">+K133+K131+K129</f>
        <v>31</v>
      </c>
      <c r="L135" s="145">
        <f t="shared" si="175"/>
        <v>30</v>
      </c>
      <c r="M135" s="145">
        <f t="shared" ref="M135:N135" si="176">+M133+M131+M129</f>
        <v>31</v>
      </c>
      <c r="N135" s="145">
        <f t="shared" si="176"/>
        <v>31</v>
      </c>
      <c r="O135" s="145">
        <f t="shared" ref="O135:P135" si="177">+O133+O131+O129</f>
        <v>30</v>
      </c>
      <c r="P135" s="145">
        <f t="shared" si="177"/>
        <v>31</v>
      </c>
      <c r="Q135" s="145">
        <f t="shared" ref="Q135:R135" si="178">+Q133+Q131+Q129</f>
        <v>30</v>
      </c>
      <c r="R135" s="145">
        <f t="shared" si="178"/>
        <v>31</v>
      </c>
      <c r="S135" s="145">
        <f t="shared" ref="S135:T135" si="179">+S133+S131+S129</f>
        <v>31</v>
      </c>
      <c r="T135" s="145">
        <f t="shared" si="179"/>
        <v>28</v>
      </c>
      <c r="U135" s="145">
        <f t="shared" ref="U135" si="180">+U133+U131+U129</f>
        <v>31</v>
      </c>
      <c r="V135" s="383"/>
      <c r="W135" s="143"/>
    </row>
    <row r="136" spans="1:29" ht="20.25" customHeight="1" thickBot="1" x14ac:dyDescent="0.3">
      <c r="C136" s="385" t="s">
        <v>14</v>
      </c>
      <c r="D136" s="384">
        <f>+D134+D132+D130</f>
        <v>31</v>
      </c>
      <c r="E136" s="337">
        <f t="shared" ref="E136:H136" si="181">+E134+E132+E130</f>
        <v>30</v>
      </c>
      <c r="F136" s="337">
        <f t="shared" si="181"/>
        <v>31</v>
      </c>
      <c r="G136" s="337">
        <f t="shared" si="181"/>
        <v>31</v>
      </c>
      <c r="H136" s="337">
        <f t="shared" si="181"/>
        <v>29</v>
      </c>
      <c r="I136" s="337">
        <f t="shared" ref="I136:J136" si="182">+I134+I132+I130</f>
        <v>31</v>
      </c>
      <c r="J136" s="337">
        <f t="shared" si="182"/>
        <v>30</v>
      </c>
      <c r="K136" s="337">
        <f t="shared" ref="K136:L136" si="183">+K134+K132+K130</f>
        <v>31</v>
      </c>
      <c r="L136" s="337">
        <f t="shared" si="183"/>
        <v>30</v>
      </c>
      <c r="M136" s="337">
        <f t="shared" ref="M136:N136" si="184">+M134+M132+M130</f>
        <v>31</v>
      </c>
      <c r="N136" s="337">
        <f t="shared" si="184"/>
        <v>31</v>
      </c>
      <c r="O136" s="337">
        <f t="shared" ref="O136:P136" si="185">+O134+O132+O130</f>
        <v>30</v>
      </c>
      <c r="P136" s="337">
        <f t="shared" si="185"/>
        <v>31</v>
      </c>
      <c r="Q136" s="337">
        <f t="shared" ref="Q136:R136" si="186">+Q134+Q132+Q130</f>
        <v>30</v>
      </c>
      <c r="R136" s="337">
        <f t="shared" si="186"/>
        <v>31</v>
      </c>
      <c r="S136" s="337">
        <f t="shared" ref="S136:T136" si="187">+S134+S132+S130</f>
        <v>31</v>
      </c>
      <c r="T136" s="337">
        <f t="shared" si="187"/>
        <v>28.052129999999998</v>
      </c>
      <c r="U136" s="337">
        <f t="shared" ref="U136" si="188">+U134+U132+U130</f>
        <v>31</v>
      </c>
      <c r="V136" s="384"/>
      <c r="W136" s="151"/>
      <c r="X136" s="148"/>
      <c r="Y136" s="149"/>
      <c r="Z136" s="151"/>
    </row>
    <row r="139" spans="1:29" hidden="1" x14ac:dyDescent="0.25">
      <c r="Y139" s="142" t="s">
        <v>304</v>
      </c>
      <c r="AB139" s="142" t="s">
        <v>304</v>
      </c>
    </row>
    <row r="140" spans="1:29" hidden="1" x14ac:dyDescent="0.25">
      <c r="A140" s="156" t="s">
        <v>303</v>
      </c>
      <c r="C140" s="373" t="str">
        <f>+'Detailed Capacity Utilisation'!B17</f>
        <v>DFA1214 from SPKO</v>
      </c>
      <c r="D140" s="135">
        <f>+'Detailed Capacity Utilisation'!F17</f>
        <v>1935.8109999999999</v>
      </c>
      <c r="E140" s="135">
        <f>+'Detailed Capacity Utilisation'!F101</f>
        <v>1908.961</v>
      </c>
      <c r="F140" s="135">
        <f>+'Detailed Capacity Utilisation'!F180</f>
        <v>3923.3969999999999</v>
      </c>
      <c r="G140" s="135">
        <f>+'Detailed Capacity Utilisation'!F265</f>
        <v>2291.4879999999998</v>
      </c>
      <c r="H140" s="135">
        <f>+'Detailed Capacity Utilisation'!F352</f>
        <v>2479.9569999999999</v>
      </c>
      <c r="V140" s="154">
        <f t="shared" ref="V140:V152" si="189">SUM(D140:I140)/6</f>
        <v>2089.9356666666667</v>
      </c>
      <c r="W140" s="154"/>
      <c r="X140" s="329">
        <f t="shared" ref="X140:X153" si="190">+V140/$V$153</f>
        <v>0.6262504919264138</v>
      </c>
      <c r="Y140" s="142">
        <v>0.6</v>
      </c>
      <c r="Z140" s="155">
        <f t="shared" ref="Z140:Z152" si="191">+V140/Y140</f>
        <v>3483.2261111111115</v>
      </c>
      <c r="AA140" s="329">
        <f t="shared" ref="AA140:AA153" si="192">+Y140/$V$153</f>
        <v>1.797903644350687E-4</v>
      </c>
      <c r="AB140" s="142">
        <v>0.6</v>
      </c>
      <c r="AC140" s="155">
        <f t="shared" ref="AC140:AC152" si="193">+Y140/AB140</f>
        <v>1</v>
      </c>
    </row>
    <row r="141" spans="1:29" hidden="1" x14ac:dyDescent="0.25">
      <c r="C141" s="373" t="str">
        <f>+'Detailed Capacity Utilisation'!B18</f>
        <v>DFA1214 from HUL</v>
      </c>
      <c r="D141" s="135">
        <f>+'Detailed Capacity Utilisation'!F18</f>
        <v>1556.92</v>
      </c>
      <c r="V141" s="154">
        <f t="shared" si="189"/>
        <v>259.48666666666668</v>
      </c>
      <c r="W141" s="154"/>
      <c r="X141" s="329">
        <f t="shared" si="190"/>
        <v>7.7755337276735323E-2</v>
      </c>
      <c r="Y141" s="142">
        <v>0.66</v>
      </c>
      <c r="Z141" s="155">
        <f t="shared" si="191"/>
        <v>393.16161616161617</v>
      </c>
      <c r="AA141" s="329">
        <f t="shared" si="192"/>
        <v>1.9776940087857557E-4</v>
      </c>
      <c r="AB141" s="142">
        <v>0.66</v>
      </c>
      <c r="AC141" s="155">
        <f t="shared" si="193"/>
        <v>1</v>
      </c>
    </row>
    <row r="142" spans="1:29" hidden="1" x14ac:dyDescent="0.25">
      <c r="C142" s="373" t="str">
        <f>+'Detailed Capacity Utilisation'!B19</f>
        <v>DFA1214 from Undistilled 1214</v>
      </c>
      <c r="D142" s="135">
        <f>+'Detailed Capacity Utilisation'!F19</f>
        <v>216.47900000000001</v>
      </c>
      <c r="E142" s="135">
        <f>+'Detailed Capacity Utilisation'!F102</f>
        <v>174.14699999999999</v>
      </c>
      <c r="F142" s="135">
        <f>+'Detailed Capacity Utilisation'!F181</f>
        <v>0</v>
      </c>
      <c r="G142" s="135">
        <f>+'Detailed Capacity Utilisation'!F266</f>
        <v>304.26499999999999</v>
      </c>
      <c r="H142" s="135">
        <f>+'Detailed Capacity Utilisation'!F353</f>
        <v>145.87099999999998</v>
      </c>
      <c r="V142" s="154">
        <f t="shared" si="189"/>
        <v>140.12699999999998</v>
      </c>
      <c r="W142" s="154"/>
      <c r="X142" s="329">
        <f t="shared" si="190"/>
        <v>4.1989140661988111E-2</v>
      </c>
      <c r="Y142" s="142">
        <v>0.45</v>
      </c>
      <c r="Z142" s="155">
        <f t="shared" si="191"/>
        <v>311.39333333333326</v>
      </c>
      <c r="AA142" s="329">
        <f t="shared" si="192"/>
        <v>1.3484277332630152E-4</v>
      </c>
      <c r="AB142" s="142">
        <v>0.45</v>
      </c>
      <c r="AC142" s="155">
        <f t="shared" si="193"/>
        <v>1</v>
      </c>
    </row>
    <row r="143" spans="1:29" hidden="1" x14ac:dyDescent="0.25">
      <c r="C143" s="373" t="str">
        <f>+'Detailed Capacity Utilisation'!B20</f>
        <v>Superflex from SPFAD</v>
      </c>
      <c r="D143" s="135">
        <f>+'Detailed Capacity Utilisation'!F20</f>
        <v>313.28800000000001</v>
      </c>
      <c r="E143" s="135">
        <f>+'Detailed Capacity Utilisation'!F103</f>
        <v>295</v>
      </c>
      <c r="F143" s="135">
        <f>+'Detailed Capacity Utilisation'!F182</f>
        <v>359.15999999999997</v>
      </c>
      <c r="G143" s="135">
        <f>+'Detailed Capacity Utilisation'!F267</f>
        <v>323.82</v>
      </c>
      <c r="H143" s="135">
        <f>+'Detailed Capacity Utilisation'!F354</f>
        <v>11.8</v>
      </c>
      <c r="V143" s="154">
        <f t="shared" si="189"/>
        <v>217.178</v>
      </c>
      <c r="W143" s="154"/>
      <c r="X143" s="329">
        <f t="shared" si="190"/>
        <v>6.5077519612132248E-2</v>
      </c>
      <c r="Y143" s="142">
        <v>0.6</v>
      </c>
      <c r="Z143" s="155">
        <f t="shared" si="191"/>
        <v>361.96333333333337</v>
      </c>
      <c r="AA143" s="329">
        <f t="shared" si="192"/>
        <v>1.797903644350687E-4</v>
      </c>
      <c r="AB143" s="142">
        <v>0.6</v>
      </c>
      <c r="AC143" s="155">
        <f t="shared" si="193"/>
        <v>1</v>
      </c>
    </row>
    <row r="144" spans="1:29" hidden="1" x14ac:dyDescent="0.25">
      <c r="C144" s="373" t="str">
        <f>+'Detailed Capacity Utilisation'!B21</f>
        <v>C8 from L/E PKO+MCT</v>
      </c>
      <c r="D144" s="135">
        <f>+'Detailed Capacity Utilisation'!F21</f>
        <v>0</v>
      </c>
      <c r="E144" s="135">
        <f>+'Detailed Capacity Utilisation'!F104</f>
        <v>197.511</v>
      </c>
      <c r="F144" s="135">
        <f>+'Detailed Capacity Utilisation'!F183</f>
        <v>0</v>
      </c>
      <c r="G144" s="135">
        <f>+'Detailed Capacity Utilisation'!F268</f>
        <v>643.58299999999997</v>
      </c>
      <c r="H144" s="135">
        <f>+'Detailed Capacity Utilisation'!F355</f>
        <v>0</v>
      </c>
      <c r="V144" s="154">
        <f t="shared" si="189"/>
        <v>140.18233333333333</v>
      </c>
      <c r="W144" s="154"/>
      <c r="X144" s="329">
        <f t="shared" si="190"/>
        <v>4.2005721328930462E-2</v>
      </c>
      <c r="Y144" s="142">
        <v>0.32</v>
      </c>
      <c r="Z144" s="155">
        <f t="shared" si="191"/>
        <v>438.06979166666667</v>
      </c>
      <c r="AA144" s="329">
        <f t="shared" si="192"/>
        <v>9.5888194365369977E-5</v>
      </c>
      <c r="AB144" s="142">
        <v>0.32</v>
      </c>
      <c r="AC144" s="155">
        <f t="shared" si="193"/>
        <v>1</v>
      </c>
    </row>
    <row r="145" spans="3:29" hidden="1" x14ac:dyDescent="0.25">
      <c r="C145" s="373" t="str">
        <f>+'Detailed Capacity Utilisation'!B22</f>
        <v>C10 from L/E PKO+MCT</v>
      </c>
      <c r="D145" s="135">
        <f>+'Detailed Capacity Utilisation'!F22</f>
        <v>0</v>
      </c>
      <c r="E145" s="135">
        <f>+'Detailed Capacity Utilisation'!F105</f>
        <v>218</v>
      </c>
      <c r="F145" s="135">
        <f>+'Detailed Capacity Utilisation'!F186</f>
        <v>0</v>
      </c>
      <c r="G145" s="135">
        <f>+'Detailed Capacity Utilisation'!F271</f>
        <v>0</v>
      </c>
      <c r="H145" s="135">
        <f>+'Detailed Capacity Utilisation'!F358</f>
        <v>0</v>
      </c>
      <c r="V145" s="154">
        <f t="shared" si="189"/>
        <v>36.333333333333336</v>
      </c>
      <c r="W145" s="154"/>
      <c r="X145" s="329">
        <f t="shared" si="190"/>
        <v>1.0887305401901384E-2</v>
      </c>
      <c r="Y145" s="142">
        <v>0.48</v>
      </c>
      <c r="Z145" s="155">
        <f t="shared" si="191"/>
        <v>75.694444444444457</v>
      </c>
      <c r="AA145" s="329">
        <f t="shared" si="192"/>
        <v>1.4383229154805495E-4</v>
      </c>
      <c r="AB145" s="142">
        <v>0.48</v>
      </c>
      <c r="AC145" s="155">
        <f t="shared" si="193"/>
        <v>1</v>
      </c>
    </row>
    <row r="146" spans="3:29" hidden="1" x14ac:dyDescent="0.25">
      <c r="C146" s="373" t="str">
        <f>+'Detailed Capacity Utilisation'!B23</f>
        <v>Oleic-K from B/ PKO</v>
      </c>
      <c r="D146" s="135">
        <f>+'Detailed Capacity Utilisation'!F23</f>
        <v>0</v>
      </c>
      <c r="E146" s="135">
        <f>+'Detailed Capacity Utilisation'!F106</f>
        <v>67.069000000000003</v>
      </c>
      <c r="F146" s="135">
        <f>+'Detailed Capacity Utilisation'!F187</f>
        <v>221</v>
      </c>
      <c r="G146" s="135">
        <f>+'Detailed Capacity Utilisation'!F272</f>
        <v>0</v>
      </c>
      <c r="H146" s="135">
        <f>+'Detailed Capacity Utilisation'!F359</f>
        <v>0</v>
      </c>
      <c r="V146" s="154">
        <f t="shared" si="189"/>
        <v>48.011500000000005</v>
      </c>
      <c r="W146" s="154"/>
      <c r="X146" s="329">
        <f t="shared" si="190"/>
        <v>1.4386675136790502E-2</v>
      </c>
      <c r="Y146" s="142">
        <v>0.55000000000000004</v>
      </c>
      <c r="Z146" s="155">
        <f t="shared" si="191"/>
        <v>87.293636363636367</v>
      </c>
      <c r="AA146" s="329">
        <f t="shared" si="192"/>
        <v>1.6480783406547966E-4</v>
      </c>
      <c r="AB146" s="142">
        <v>0.55000000000000004</v>
      </c>
      <c r="AC146" s="155">
        <f t="shared" si="193"/>
        <v>1</v>
      </c>
    </row>
    <row r="147" spans="3:29" hidden="1" x14ac:dyDescent="0.25">
      <c r="C147" s="373" t="str">
        <f>+'Detailed Capacity Utilisation'!B24</f>
        <v>C16 99 % from C16 Rich</v>
      </c>
      <c r="D147" s="135">
        <f>+'Detailed Capacity Utilisation'!F24</f>
        <v>204.9</v>
      </c>
      <c r="V147" s="154">
        <f t="shared" si="189"/>
        <v>34.15</v>
      </c>
      <c r="W147" s="154"/>
      <c r="X147" s="329">
        <f t="shared" si="190"/>
        <v>1.0233068242429326E-2</v>
      </c>
      <c r="Y147" s="142">
        <v>0.55000000000000004</v>
      </c>
      <c r="Z147" s="155">
        <f t="shared" si="191"/>
        <v>62.090909090909086</v>
      </c>
      <c r="AA147" s="329">
        <f t="shared" si="192"/>
        <v>1.6480783406547966E-4</v>
      </c>
      <c r="AB147" s="142">
        <v>0.55000000000000004</v>
      </c>
      <c r="AC147" s="155">
        <f t="shared" si="193"/>
        <v>1</v>
      </c>
    </row>
    <row r="148" spans="3:29" hidden="1" x14ac:dyDescent="0.25">
      <c r="C148" s="373" t="str">
        <f>+'Detailed Capacity Utilisation'!B25</f>
        <v>DLGMFA From Collected Mixresidue</v>
      </c>
      <c r="D148" s="135">
        <f>+'Detailed Capacity Utilisation'!F25</f>
        <v>200.43899999999999</v>
      </c>
      <c r="E148" s="135"/>
      <c r="F148" s="135">
        <f>+'Detailed Capacity Utilisation'!F188</f>
        <v>0</v>
      </c>
      <c r="V148" s="154">
        <f t="shared" si="189"/>
        <v>33.406500000000001</v>
      </c>
      <c r="W148" s="154"/>
      <c r="X148" s="329">
        <f t="shared" si="190"/>
        <v>1.0010278015833539E-2</v>
      </c>
      <c r="Y148" s="142">
        <v>0.6</v>
      </c>
      <c r="Z148" s="155">
        <f t="shared" si="191"/>
        <v>55.677500000000002</v>
      </c>
      <c r="AA148" s="329">
        <f t="shared" si="192"/>
        <v>1.797903644350687E-4</v>
      </c>
      <c r="AB148" s="142">
        <v>0.6</v>
      </c>
      <c r="AC148" s="155">
        <f t="shared" si="193"/>
        <v>1</v>
      </c>
    </row>
    <row r="149" spans="3:29" hidden="1" x14ac:dyDescent="0.25">
      <c r="C149" s="373" t="str">
        <f>+'Detailed Capacity Utilisation'!B107</f>
        <v>DFA14 rich from B/P of 1299%</v>
      </c>
      <c r="D149" s="135"/>
      <c r="E149" s="135">
        <f>+'Detailed Capacity Utilisation'!F107</f>
        <v>189</v>
      </c>
      <c r="L149" s="135"/>
      <c r="M149" s="135"/>
      <c r="N149" s="145"/>
      <c r="O149" s="145"/>
      <c r="P149" s="145"/>
      <c r="Q149" s="145"/>
      <c r="R149" s="145"/>
      <c r="S149" s="145"/>
      <c r="T149" s="145"/>
      <c r="U149" s="145"/>
      <c r="V149" s="154">
        <f t="shared" si="189"/>
        <v>31.5</v>
      </c>
      <c r="W149" s="154"/>
      <c r="X149" s="329">
        <f t="shared" si="190"/>
        <v>9.4389941328411071E-3</v>
      </c>
      <c r="Y149" s="142">
        <v>0.5</v>
      </c>
      <c r="Z149" s="155">
        <f t="shared" si="191"/>
        <v>63</v>
      </c>
      <c r="AA149" s="329">
        <f t="shared" si="192"/>
        <v>1.4982530369589059E-4</v>
      </c>
      <c r="AB149" s="142">
        <v>0.5</v>
      </c>
      <c r="AC149" s="155">
        <f t="shared" si="193"/>
        <v>1</v>
      </c>
    </row>
    <row r="150" spans="3:29" hidden="1" x14ac:dyDescent="0.25">
      <c r="C150" s="373" t="str">
        <f>+'Detailed Capacity Utilisation'!B184</f>
        <v>Palmitic Acid from C16 RICH</v>
      </c>
      <c r="D150" s="135"/>
      <c r="F150" s="135">
        <f>+'Detailed Capacity Utilisation'!F184</f>
        <v>1083.4839999999999</v>
      </c>
      <c r="G150" s="135">
        <f>+'Detailed Capacity Utilisation'!F269</f>
        <v>0</v>
      </c>
      <c r="H150" s="135">
        <f>+'Detailed Capacity Utilisation'!F356</f>
        <v>0</v>
      </c>
      <c r="V150" s="154">
        <f t="shared" si="189"/>
        <v>180.58066666666664</v>
      </c>
      <c r="W150" s="154"/>
      <c r="X150" s="329">
        <f t="shared" si="190"/>
        <v>5.4111106449879431E-2</v>
      </c>
      <c r="Y150" s="142">
        <v>0.55000000000000004</v>
      </c>
      <c r="Z150" s="155">
        <f t="shared" si="191"/>
        <v>328.32848484848478</v>
      </c>
      <c r="AA150" s="329">
        <f t="shared" si="192"/>
        <v>1.6480783406547966E-4</v>
      </c>
      <c r="AB150" s="142">
        <v>0.55000000000000004</v>
      </c>
      <c r="AC150" s="155">
        <f t="shared" si="193"/>
        <v>1</v>
      </c>
    </row>
    <row r="151" spans="3:29" hidden="1" x14ac:dyDescent="0.25">
      <c r="C151" s="373" t="str">
        <f>+'Detailed Capacity Utilisation'!B185</f>
        <v>Palmitic Acid from RBDPS</v>
      </c>
      <c r="D151" s="135"/>
      <c r="F151" s="135">
        <f>+'Detailed Capacity Utilisation'!F185</f>
        <v>295</v>
      </c>
      <c r="G151" s="135">
        <f>+'Detailed Capacity Utilisation'!F270</f>
        <v>0</v>
      </c>
      <c r="H151" s="135">
        <f>+'Detailed Capacity Utilisation'!F357</f>
        <v>236.97</v>
      </c>
      <c r="V151" s="154">
        <f t="shared" si="189"/>
        <v>88.661666666666676</v>
      </c>
      <c r="W151" s="154"/>
      <c r="X151" s="329">
        <f t="shared" si="190"/>
        <v>2.6567522269034308E-2</v>
      </c>
      <c r="Y151" s="142">
        <v>0.44</v>
      </c>
      <c r="Z151" s="155">
        <f t="shared" si="191"/>
        <v>201.5037878787879</v>
      </c>
      <c r="AA151" s="329">
        <f t="shared" si="192"/>
        <v>1.3184626725238371E-4</v>
      </c>
      <c r="AB151" s="142">
        <v>0.44</v>
      </c>
      <c r="AC151" s="155">
        <f t="shared" si="193"/>
        <v>1</v>
      </c>
    </row>
    <row r="152" spans="3:29" hidden="1" x14ac:dyDescent="0.25">
      <c r="C152" s="373" t="str">
        <f>+'Detailed Capacity Utilisation'!B273</f>
        <v>Stearic 90 feed from B/ PKO</v>
      </c>
      <c r="G152" s="135">
        <f>+'Detailed Capacity Utilisation'!F273</f>
        <v>226</v>
      </c>
      <c r="H152" s="135">
        <f>+'Detailed Capacity Utilisation'!F360</f>
        <v>0</v>
      </c>
      <c r="V152" s="154">
        <f t="shared" si="189"/>
        <v>37.666666666666664</v>
      </c>
      <c r="W152" s="154"/>
      <c r="X152" s="329">
        <f t="shared" si="190"/>
        <v>1.1286839545090422E-2</v>
      </c>
      <c r="Y152" s="142">
        <v>0.55000000000000004</v>
      </c>
      <c r="Z152" s="155">
        <f t="shared" si="191"/>
        <v>68.48484848484847</v>
      </c>
      <c r="AA152" s="329">
        <f t="shared" si="192"/>
        <v>1.6480783406547966E-4</v>
      </c>
      <c r="AB152" s="142">
        <v>0.55000000000000004</v>
      </c>
      <c r="AC152" s="155">
        <f t="shared" si="193"/>
        <v>1</v>
      </c>
    </row>
    <row r="153" spans="3:29" hidden="1" x14ac:dyDescent="0.25">
      <c r="D153" s="224">
        <f>SUM(D140:D152)</f>
        <v>4427.8369999999995</v>
      </c>
      <c r="E153" s="224">
        <f t="shared" ref="E153:V153" si="194">SUM(E140:E152)</f>
        <v>3049.6880000000001</v>
      </c>
      <c r="F153" s="224">
        <f t="shared" si="194"/>
        <v>5882.0409999999993</v>
      </c>
      <c r="G153" s="224">
        <f t="shared" si="194"/>
        <v>3789.1559999999999</v>
      </c>
      <c r="H153" s="224">
        <f t="shared" si="194"/>
        <v>2874.598</v>
      </c>
      <c r="I153" s="224">
        <f t="shared" si="194"/>
        <v>0</v>
      </c>
      <c r="J153" s="224"/>
      <c r="K153" s="224"/>
      <c r="V153" s="224">
        <f t="shared" si="194"/>
        <v>3337.2200000000003</v>
      </c>
      <c r="W153" s="224"/>
      <c r="X153" s="329">
        <f t="shared" si="190"/>
        <v>1</v>
      </c>
      <c r="Y153" s="153">
        <f>+V153/Z153</f>
        <v>0.56277961985174652</v>
      </c>
      <c r="Z153" s="331">
        <f t="shared" ref="Z153" si="195">SUM(Z140:Z152)</f>
        <v>5929.8877967171711</v>
      </c>
      <c r="AA153" s="329">
        <f t="shared" si="192"/>
        <v>1.6863725491629154E-4</v>
      </c>
      <c r="AB153" s="153">
        <f>+Y153/AC153</f>
        <v>4.3290739988595887E-2</v>
      </c>
      <c r="AC153" s="331">
        <f t="shared" ref="AC153" si="196">SUM(AC140:AC152)</f>
        <v>13</v>
      </c>
    </row>
    <row r="154" spans="3:29" hidden="1" x14ac:dyDescent="0.25"/>
    <row r="155" spans="3:29" hidden="1" x14ac:dyDescent="0.25"/>
  </sheetData>
  <mergeCells count="4">
    <mergeCell ref="A1:Z1"/>
    <mergeCell ref="X2:Z2"/>
    <mergeCell ref="V2:W2"/>
    <mergeCell ref="AA2:AC2"/>
  </mergeCells>
  <pageMargins left="0.7" right="0.7" top="0.75" bottom="0.75" header="0.3" footer="0.3"/>
  <ignoredErrors>
    <ignoredError sqref="V19 V2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46"/>
  <sheetViews>
    <sheetView zoomScaleNormal="100" workbookViewId="0">
      <selection activeCell="D1631" sqref="D1628:D1631"/>
    </sheetView>
  </sheetViews>
  <sheetFormatPr defaultRowHeight="15" x14ac:dyDescent="0.25"/>
  <cols>
    <col min="1" max="1" width="43.140625" customWidth="1"/>
    <col min="2" max="2" width="47.28515625" bestFit="1" customWidth="1"/>
    <col min="3" max="3" width="10.85546875" customWidth="1"/>
    <col min="4" max="4" width="7.7109375" bestFit="1" customWidth="1"/>
    <col min="5" max="5" width="8.7109375" bestFit="1" customWidth="1"/>
    <col min="6" max="6" width="8.42578125" bestFit="1" customWidth="1"/>
    <col min="7" max="7" width="24.5703125" customWidth="1"/>
    <col min="8" max="8" width="8.5703125" bestFit="1" customWidth="1"/>
    <col min="9" max="9" width="26.42578125" bestFit="1" customWidth="1"/>
    <col min="10" max="10" width="102.85546875" customWidth="1"/>
  </cols>
  <sheetData>
    <row r="1" spans="1:13" ht="21" x14ac:dyDescent="0.4">
      <c r="A1" s="37" t="s">
        <v>127</v>
      </c>
      <c r="B1" s="37"/>
      <c r="C1" s="37"/>
      <c r="D1" s="37"/>
      <c r="E1" s="37"/>
      <c r="F1" s="37"/>
      <c r="G1" s="37"/>
      <c r="H1" s="37"/>
      <c r="I1" s="37"/>
      <c r="J1" s="37"/>
      <c r="K1" s="38"/>
      <c r="L1" s="38"/>
      <c r="M1" s="38"/>
    </row>
    <row r="2" spans="1:13" ht="17.25" thickBot="1" x14ac:dyDescent="0.4">
      <c r="A2" s="40"/>
      <c r="B2" s="41"/>
      <c r="C2" s="42"/>
      <c r="D2" s="42"/>
      <c r="E2" s="42"/>
      <c r="F2" s="42"/>
      <c r="G2" s="42"/>
      <c r="H2" s="42"/>
      <c r="I2" s="42"/>
      <c r="J2" s="43"/>
      <c r="K2" s="38"/>
      <c r="L2" s="38"/>
      <c r="M2" s="38"/>
    </row>
    <row r="3" spans="1:13" ht="16.5" x14ac:dyDescent="0.35">
      <c r="A3" s="409" t="s">
        <v>128</v>
      </c>
      <c r="B3" s="44"/>
      <c r="C3" s="45"/>
      <c r="D3" s="45"/>
      <c r="E3" s="45"/>
      <c r="F3" s="45"/>
      <c r="G3" s="411" t="s">
        <v>129</v>
      </c>
      <c r="H3" s="233"/>
      <c r="I3" s="413" t="s">
        <v>130</v>
      </c>
      <c r="J3" s="279" t="s">
        <v>131</v>
      </c>
      <c r="K3" s="38"/>
      <c r="L3" s="38"/>
      <c r="M3" s="38"/>
    </row>
    <row r="4" spans="1:13" ht="66.75" thickBot="1" x14ac:dyDescent="0.3">
      <c r="A4" s="435"/>
      <c r="B4" s="46"/>
      <c r="C4" s="47" t="s">
        <v>132</v>
      </c>
      <c r="D4" s="48" t="s">
        <v>133</v>
      </c>
      <c r="E4" s="48" t="s">
        <v>134</v>
      </c>
      <c r="F4" s="49" t="s">
        <v>135</v>
      </c>
      <c r="G4" s="412"/>
      <c r="H4" s="48" t="s">
        <v>136</v>
      </c>
      <c r="I4" s="436"/>
      <c r="J4" s="280"/>
      <c r="K4" s="38"/>
      <c r="L4" s="38"/>
      <c r="M4" s="38"/>
    </row>
    <row r="5" spans="1:13" ht="30" x14ac:dyDescent="0.3">
      <c r="A5" s="429" t="s">
        <v>137</v>
      </c>
      <c r="B5" s="50" t="s">
        <v>138</v>
      </c>
      <c r="C5" s="51">
        <f>1950+1150</f>
        <v>3100</v>
      </c>
      <c r="D5" s="52">
        <v>13</v>
      </c>
      <c r="E5" s="52">
        <f>C5/D5</f>
        <v>238.46153846153845</v>
      </c>
      <c r="F5" s="51">
        <v>3397.4879999999998</v>
      </c>
      <c r="G5" s="53">
        <v>13.5</v>
      </c>
      <c r="H5" s="53">
        <f>F5/G5</f>
        <v>251.66577777777778</v>
      </c>
      <c r="I5" s="54">
        <f>H5/E5</f>
        <v>1.0553726164874553</v>
      </c>
      <c r="J5" s="281" t="s">
        <v>139</v>
      </c>
      <c r="K5" s="55"/>
      <c r="L5" s="38"/>
      <c r="M5" s="38"/>
    </row>
    <row r="6" spans="1:13" ht="15.75" x14ac:dyDescent="0.3">
      <c r="A6" s="430"/>
      <c r="B6" s="56" t="s">
        <v>140</v>
      </c>
      <c r="C6" s="57"/>
      <c r="D6" s="58"/>
      <c r="E6" s="52"/>
      <c r="F6" s="57"/>
      <c r="G6" s="53"/>
      <c r="H6" s="53"/>
      <c r="I6" s="53"/>
      <c r="J6" s="282"/>
      <c r="K6" s="55"/>
      <c r="L6" s="38"/>
      <c r="M6" s="38"/>
    </row>
    <row r="7" spans="1:13" ht="15.75" x14ac:dyDescent="0.3">
      <c r="A7" s="430"/>
      <c r="B7" s="56" t="s">
        <v>141</v>
      </c>
      <c r="C7" s="57"/>
      <c r="D7" s="58"/>
      <c r="E7" s="52"/>
      <c r="F7" s="57"/>
      <c r="G7" s="53"/>
      <c r="H7" s="53"/>
      <c r="I7" s="53"/>
      <c r="J7" s="282"/>
      <c r="K7" s="55"/>
      <c r="L7" s="38"/>
      <c r="M7" s="38"/>
    </row>
    <row r="8" spans="1:13" ht="15.75" x14ac:dyDescent="0.3">
      <c r="A8" s="430"/>
      <c r="B8" s="56" t="s">
        <v>142</v>
      </c>
      <c r="C8" s="57">
        <v>1120</v>
      </c>
      <c r="D8" s="58">
        <v>6</v>
      </c>
      <c r="E8" s="52">
        <f>C8/D8</f>
        <v>186.66666666666666</v>
      </c>
      <c r="F8" s="57">
        <v>1634.9400000000003</v>
      </c>
      <c r="G8" s="53">
        <v>8</v>
      </c>
      <c r="H8" s="53">
        <f>F8/G8</f>
        <v>204.36750000000004</v>
      </c>
      <c r="I8" s="54">
        <f>H8/E8</f>
        <v>1.094825892857143</v>
      </c>
      <c r="J8" s="282"/>
      <c r="K8" s="55"/>
      <c r="L8" s="38"/>
      <c r="M8" s="38"/>
    </row>
    <row r="9" spans="1:13" ht="15.75" x14ac:dyDescent="0.3">
      <c r="A9" s="430"/>
      <c r="B9" s="56" t="s">
        <v>143</v>
      </c>
      <c r="C9" s="57"/>
      <c r="D9" s="58"/>
      <c r="E9" s="52"/>
      <c r="F9" s="57">
        <v>45</v>
      </c>
      <c r="G9" s="53"/>
      <c r="H9" s="53"/>
      <c r="I9" s="53"/>
      <c r="J9" s="282"/>
      <c r="K9" s="55"/>
      <c r="L9" s="38"/>
      <c r="M9" s="38"/>
    </row>
    <row r="10" spans="1:13" ht="15.75" x14ac:dyDescent="0.3">
      <c r="A10" s="430"/>
      <c r="B10" s="56" t="s">
        <v>144</v>
      </c>
      <c r="C10" s="57"/>
      <c r="D10" s="58"/>
      <c r="E10" s="52"/>
      <c r="F10" s="57"/>
      <c r="G10" s="53"/>
      <c r="H10" s="53"/>
      <c r="I10" s="53"/>
      <c r="J10" s="282"/>
      <c r="K10" s="55"/>
      <c r="L10" s="38"/>
      <c r="M10" s="38"/>
    </row>
    <row r="11" spans="1:13" ht="15.75" x14ac:dyDescent="0.3">
      <c r="A11" s="430"/>
      <c r="B11" s="56" t="s">
        <v>145</v>
      </c>
      <c r="C11" s="57">
        <v>700</v>
      </c>
      <c r="D11" s="58">
        <v>6</v>
      </c>
      <c r="E11" s="52">
        <f>C11/D11</f>
        <v>116.66666666666667</v>
      </c>
      <c r="F11" s="57">
        <v>0</v>
      </c>
      <c r="G11" s="53">
        <v>1</v>
      </c>
      <c r="H11" s="53">
        <v>0</v>
      </c>
      <c r="I11" s="54">
        <f>H11/E11</f>
        <v>0</v>
      </c>
      <c r="J11" s="282"/>
      <c r="K11" s="55"/>
      <c r="L11" s="38"/>
      <c r="M11" s="38"/>
    </row>
    <row r="12" spans="1:13" ht="15.75" x14ac:dyDescent="0.3">
      <c r="A12" s="430"/>
      <c r="B12" s="56"/>
      <c r="C12" s="57"/>
      <c r="D12" s="58"/>
      <c r="E12" s="52"/>
      <c r="F12" s="57"/>
      <c r="G12" s="53"/>
      <c r="H12" s="53"/>
      <c r="I12" s="53"/>
      <c r="J12" s="282"/>
      <c r="K12" s="55"/>
      <c r="L12" s="38"/>
      <c r="M12" s="38"/>
    </row>
    <row r="13" spans="1:13" ht="16.5" x14ac:dyDescent="0.35">
      <c r="A13" s="431"/>
      <c r="B13" s="59" t="s">
        <v>146</v>
      </c>
      <c r="C13" s="60"/>
      <c r="D13" s="61">
        <f>SUM(D5:D12)</f>
        <v>25</v>
      </c>
      <c r="E13" s="62"/>
      <c r="F13" s="62"/>
      <c r="G13" s="63">
        <f>SUM(G5:G12)</f>
        <v>22.5</v>
      </c>
      <c r="H13" s="64"/>
      <c r="I13" s="53"/>
      <c r="J13" s="282"/>
      <c r="K13" s="55"/>
      <c r="L13" s="38"/>
      <c r="M13" s="38"/>
    </row>
    <row r="14" spans="1:13" ht="16.5" x14ac:dyDescent="0.35">
      <c r="A14" s="431"/>
      <c r="B14" s="59" t="s">
        <v>147</v>
      </c>
      <c r="C14" s="60"/>
      <c r="D14" s="61">
        <v>3</v>
      </c>
      <c r="E14" s="62"/>
      <c r="F14" s="62"/>
      <c r="G14" s="63">
        <f>3+3</f>
        <v>6</v>
      </c>
      <c r="H14" s="64"/>
      <c r="I14" s="53"/>
      <c r="J14" s="282"/>
      <c r="K14" s="55"/>
      <c r="L14" s="38"/>
      <c r="M14" s="38"/>
    </row>
    <row r="15" spans="1:13" ht="15.75" x14ac:dyDescent="0.3">
      <c r="A15" s="432"/>
      <c r="B15" s="65" t="s">
        <v>148</v>
      </c>
      <c r="C15" s="66"/>
      <c r="D15" s="67">
        <v>3</v>
      </c>
      <c r="E15" s="67"/>
      <c r="F15" s="67"/>
      <c r="G15" s="68">
        <v>3</v>
      </c>
      <c r="H15" s="69"/>
      <c r="I15" s="53"/>
      <c r="J15" s="282"/>
      <c r="K15" s="55"/>
      <c r="L15" s="38"/>
      <c r="M15" s="38"/>
    </row>
    <row r="16" spans="1:13" ht="17.25" thickBot="1" x14ac:dyDescent="0.4">
      <c r="A16" s="433"/>
      <c r="B16" s="70" t="s">
        <v>149</v>
      </c>
      <c r="C16" s="71">
        <f>SUM(C5:C11)</f>
        <v>4920</v>
      </c>
      <c r="D16" s="71">
        <f>D13+D14+D15</f>
        <v>31</v>
      </c>
      <c r="E16" s="71"/>
      <c r="F16" s="72">
        <f>SUM(F5:F12)</f>
        <v>5077.4279999999999</v>
      </c>
      <c r="G16" s="71">
        <f>G13+G14+G15</f>
        <v>31.5</v>
      </c>
      <c r="H16" s="71"/>
      <c r="I16" s="73">
        <f>F16/C16</f>
        <v>1.0319975609756098</v>
      </c>
      <c r="J16" s="283"/>
      <c r="K16" s="74"/>
      <c r="L16" s="75"/>
      <c r="M16" s="75"/>
    </row>
    <row r="17" spans="1:13" ht="30" x14ac:dyDescent="0.3">
      <c r="A17" s="421" t="s">
        <v>150</v>
      </c>
      <c r="B17" s="50" t="s">
        <v>151</v>
      </c>
      <c r="C17" s="76">
        <f>330*5+240</f>
        <v>1890</v>
      </c>
      <c r="D17" s="52">
        <v>6</v>
      </c>
      <c r="E17" s="52">
        <f>C17/D17</f>
        <v>315</v>
      </c>
      <c r="F17" s="51">
        <v>1935.8109999999999</v>
      </c>
      <c r="G17" s="52">
        <v>11</v>
      </c>
      <c r="H17" s="53">
        <f>F17/G17</f>
        <v>175.98281818181817</v>
      </c>
      <c r="I17" s="54">
        <f>H17/E17</f>
        <v>0.55867561327561321</v>
      </c>
      <c r="J17" s="284" t="s">
        <v>152</v>
      </c>
      <c r="K17" s="77"/>
      <c r="L17" s="38"/>
      <c r="M17" s="38"/>
    </row>
    <row r="18" spans="1:13" ht="15.75" x14ac:dyDescent="0.3">
      <c r="A18" s="422"/>
      <c r="B18" s="50" t="s">
        <v>153</v>
      </c>
      <c r="C18" s="76">
        <f>530+190+170+330*2</f>
        <v>1550</v>
      </c>
      <c r="D18" s="52">
        <v>6</v>
      </c>
      <c r="E18" s="52">
        <f>C18/D18</f>
        <v>258.33333333333331</v>
      </c>
      <c r="F18" s="51">
        <f>994.11+562.81</f>
        <v>1556.92</v>
      </c>
      <c r="G18" s="52">
        <f>5+2</f>
        <v>7</v>
      </c>
      <c r="H18" s="53">
        <f t="shared" ref="H18:H25" si="0">F18/G18</f>
        <v>222.41714285714286</v>
      </c>
      <c r="I18" s="54">
        <f>H18/E18</f>
        <v>0.86096958525345635</v>
      </c>
      <c r="J18" s="285"/>
      <c r="K18" s="77"/>
      <c r="L18" s="38"/>
      <c r="M18" s="38"/>
    </row>
    <row r="19" spans="1:13" ht="15.75" x14ac:dyDescent="0.3">
      <c r="A19" s="422"/>
      <c r="B19" s="50" t="s">
        <v>154</v>
      </c>
      <c r="C19" s="76"/>
      <c r="D19" s="52"/>
      <c r="E19" s="52"/>
      <c r="F19" s="52">
        <v>216.47900000000001</v>
      </c>
      <c r="G19" s="52">
        <v>2</v>
      </c>
      <c r="H19" s="53">
        <f t="shared" si="0"/>
        <v>108.23950000000001</v>
      </c>
      <c r="I19" s="53"/>
      <c r="J19" s="285"/>
      <c r="K19" s="77"/>
      <c r="L19" s="38"/>
      <c r="M19" s="38"/>
    </row>
    <row r="20" spans="1:13" ht="15.75" x14ac:dyDescent="0.3">
      <c r="A20" s="422"/>
      <c r="B20" s="50" t="s">
        <v>155</v>
      </c>
      <c r="C20" s="57">
        <v>300</v>
      </c>
      <c r="D20" s="58">
        <v>2.5</v>
      </c>
      <c r="E20" s="52">
        <f>C20/D20</f>
        <v>120</v>
      </c>
      <c r="F20" s="57">
        <v>313.28800000000001</v>
      </c>
      <c r="G20" s="58">
        <v>2.5</v>
      </c>
      <c r="H20" s="53">
        <f t="shared" si="0"/>
        <v>125.3152</v>
      </c>
      <c r="I20" s="54">
        <f>H20/E20</f>
        <v>1.0442933333333333</v>
      </c>
      <c r="J20" s="285"/>
      <c r="K20" s="77"/>
      <c r="L20" s="38"/>
      <c r="M20" s="38"/>
    </row>
    <row r="21" spans="1:13" ht="15.75" x14ac:dyDescent="0.3">
      <c r="A21" s="422"/>
      <c r="B21" s="78" t="s">
        <v>156</v>
      </c>
      <c r="C21" s="51">
        <f>75+120</f>
        <v>195</v>
      </c>
      <c r="D21" s="52">
        <v>4</v>
      </c>
      <c r="E21" s="52">
        <f>C21/D21</f>
        <v>48.75</v>
      </c>
      <c r="F21" s="79"/>
      <c r="G21" s="52"/>
      <c r="H21" s="53"/>
      <c r="I21" s="53"/>
      <c r="J21" s="285"/>
      <c r="K21" s="77"/>
      <c r="L21" s="38"/>
      <c r="M21" s="38"/>
    </row>
    <row r="22" spans="1:13" ht="15.75" x14ac:dyDescent="0.3">
      <c r="A22" s="422"/>
      <c r="B22" s="78" t="s">
        <v>157</v>
      </c>
      <c r="C22" s="51">
        <v>100</v>
      </c>
      <c r="D22" s="52">
        <v>2</v>
      </c>
      <c r="E22" s="52">
        <f>C22/D22</f>
        <v>50</v>
      </c>
      <c r="F22" s="79"/>
      <c r="G22" s="52"/>
      <c r="H22" s="53"/>
      <c r="I22" s="53"/>
      <c r="J22" s="285"/>
      <c r="K22" s="77"/>
      <c r="L22" s="38"/>
      <c r="M22" s="38"/>
    </row>
    <row r="23" spans="1:13" ht="15.75" x14ac:dyDescent="0.3">
      <c r="A23" s="422"/>
      <c r="B23" s="78" t="s">
        <v>158</v>
      </c>
      <c r="C23" s="51"/>
      <c r="D23" s="52"/>
      <c r="E23" s="52"/>
      <c r="F23" s="79"/>
      <c r="G23" s="52"/>
      <c r="H23" s="53"/>
      <c r="I23" s="54"/>
      <c r="J23" s="285"/>
      <c r="K23" s="77"/>
      <c r="L23" s="38"/>
      <c r="M23" s="38"/>
    </row>
    <row r="24" spans="1:13" ht="15.75" x14ac:dyDescent="0.3">
      <c r="A24" s="422"/>
      <c r="B24" s="80" t="s">
        <v>159</v>
      </c>
      <c r="C24" s="51"/>
      <c r="D24" s="52"/>
      <c r="E24" s="52"/>
      <c r="F24" s="79">
        <v>204.9</v>
      </c>
      <c r="G24" s="52">
        <v>2</v>
      </c>
      <c r="H24" s="53">
        <f t="shared" si="0"/>
        <v>102.45</v>
      </c>
      <c r="I24" s="53"/>
      <c r="J24" s="285"/>
      <c r="K24" s="77"/>
      <c r="L24" s="38"/>
      <c r="M24" s="38"/>
    </row>
    <row r="25" spans="1:13" ht="15.75" x14ac:dyDescent="0.3">
      <c r="A25" s="422"/>
      <c r="B25" s="78" t="s">
        <v>160</v>
      </c>
      <c r="C25" s="51">
        <v>230</v>
      </c>
      <c r="D25" s="52">
        <v>3</v>
      </c>
      <c r="E25" s="52">
        <f>C25/D25</f>
        <v>76.666666666666671</v>
      </c>
      <c r="F25" s="51">
        <v>200.43899999999999</v>
      </c>
      <c r="G25" s="52">
        <v>3</v>
      </c>
      <c r="H25" s="53">
        <f t="shared" si="0"/>
        <v>66.813000000000002</v>
      </c>
      <c r="I25" s="54">
        <f>H25/E25</f>
        <v>0.87147391304347821</v>
      </c>
      <c r="J25" s="285"/>
      <c r="K25" s="77"/>
      <c r="L25" s="38"/>
      <c r="M25" s="38"/>
    </row>
    <row r="26" spans="1:13" ht="16.5" x14ac:dyDescent="0.35">
      <c r="A26" s="422"/>
      <c r="B26" s="59" t="s">
        <v>146</v>
      </c>
      <c r="C26" s="60"/>
      <c r="D26" s="61">
        <f>SUM(D17:D25)</f>
        <v>23.5</v>
      </c>
      <c r="E26" s="61"/>
      <c r="F26" s="62"/>
      <c r="G26" s="63">
        <f>SUM(G17:G25)</f>
        <v>27.5</v>
      </c>
      <c r="H26" s="64"/>
      <c r="I26" s="53"/>
      <c r="J26" s="286"/>
      <c r="K26" s="55"/>
      <c r="L26" s="38"/>
      <c r="M26" s="38"/>
    </row>
    <row r="27" spans="1:13" ht="15.75" x14ac:dyDescent="0.3">
      <c r="A27" s="422"/>
      <c r="B27" s="65" t="s">
        <v>148</v>
      </c>
      <c r="C27" s="66"/>
      <c r="D27" s="67">
        <v>7</v>
      </c>
      <c r="E27" s="67"/>
      <c r="F27" s="67"/>
      <c r="G27" s="81">
        <v>3.5</v>
      </c>
      <c r="H27" s="81"/>
      <c r="I27" s="53"/>
      <c r="J27" s="286"/>
      <c r="K27" s="55"/>
      <c r="L27" s="38"/>
      <c r="M27" s="38"/>
    </row>
    <row r="28" spans="1:13" ht="17.25" thickBot="1" x14ac:dyDescent="0.4">
      <c r="A28" s="423"/>
      <c r="B28" s="70" t="s">
        <v>149</v>
      </c>
      <c r="C28" s="71">
        <f>SUM(C17:C25)</f>
        <v>4265</v>
      </c>
      <c r="D28" s="71">
        <f>D26+D27</f>
        <v>30.5</v>
      </c>
      <c r="E28" s="71"/>
      <c r="F28" s="71">
        <f>SUM(F17:F25)</f>
        <v>4427.8369999999995</v>
      </c>
      <c r="G28" s="71">
        <f>G26+G27</f>
        <v>31</v>
      </c>
      <c r="H28" s="82"/>
      <c r="I28" s="73">
        <f>F28/C28</f>
        <v>1.038179835873388</v>
      </c>
      <c r="J28" s="287"/>
      <c r="K28" s="77"/>
      <c r="L28" s="38"/>
      <c r="M28" s="38"/>
    </row>
    <row r="29" spans="1:13" ht="15.75" x14ac:dyDescent="0.3">
      <c r="A29" s="425" t="s">
        <v>161</v>
      </c>
      <c r="B29" s="50" t="s">
        <v>162</v>
      </c>
      <c r="C29" s="76">
        <v>420</v>
      </c>
      <c r="D29" s="83">
        <v>4</v>
      </c>
      <c r="E29" s="52">
        <f t="shared" ref="E29:E34" si="1">C29/D29</f>
        <v>105</v>
      </c>
      <c r="F29" s="51">
        <v>495.22800000000007</v>
      </c>
      <c r="G29" s="52">
        <v>6</v>
      </c>
      <c r="H29" s="53">
        <f t="shared" ref="H29:H34" si="2">F29/G29</f>
        <v>82.538000000000011</v>
      </c>
      <c r="I29" s="54">
        <f>H29/E29</f>
        <v>0.78607619047619059</v>
      </c>
      <c r="J29" s="288"/>
      <c r="K29" s="77"/>
      <c r="L29" s="38"/>
      <c r="M29" s="38"/>
    </row>
    <row r="30" spans="1:13" ht="16.5" thickBot="1" x14ac:dyDescent="0.35">
      <c r="A30" s="426"/>
      <c r="B30" s="50" t="s">
        <v>163</v>
      </c>
      <c r="C30" s="76">
        <v>230</v>
      </c>
      <c r="D30" s="84">
        <v>4</v>
      </c>
      <c r="E30" s="52">
        <f t="shared" si="1"/>
        <v>57.5</v>
      </c>
      <c r="F30" s="57">
        <v>126.193</v>
      </c>
      <c r="G30" s="52">
        <v>2</v>
      </c>
      <c r="H30" s="53">
        <f t="shared" si="2"/>
        <v>63.096499999999999</v>
      </c>
      <c r="I30" s="54">
        <f>H30/E30</f>
        <v>1.0973304347826087</v>
      </c>
      <c r="J30" s="289"/>
      <c r="K30" s="77"/>
      <c r="L30" s="38"/>
      <c r="M30" s="38"/>
    </row>
    <row r="31" spans="1:13" ht="16.5" thickBot="1" x14ac:dyDescent="0.35">
      <c r="A31" s="426"/>
      <c r="B31" s="50" t="s">
        <v>164</v>
      </c>
      <c r="C31" s="76"/>
      <c r="D31" s="85"/>
      <c r="E31" s="52"/>
      <c r="F31" s="57"/>
      <c r="G31" s="52"/>
      <c r="H31" s="53"/>
      <c r="I31" s="53"/>
      <c r="J31" s="289"/>
      <c r="K31" s="77"/>
      <c r="L31" s="38"/>
      <c r="M31" s="38"/>
    </row>
    <row r="32" spans="1:13" ht="15.75" x14ac:dyDescent="0.3">
      <c r="A32" s="426"/>
      <c r="B32" s="50" t="s">
        <v>165</v>
      </c>
      <c r="C32" s="76"/>
      <c r="D32" s="83"/>
      <c r="E32" s="52"/>
      <c r="F32" s="57">
        <v>245.429</v>
      </c>
      <c r="G32" s="52">
        <v>3.5</v>
      </c>
      <c r="H32" s="53">
        <f t="shared" si="2"/>
        <v>70.122571428571433</v>
      </c>
      <c r="I32" s="54"/>
      <c r="J32" s="289"/>
      <c r="K32" s="77"/>
      <c r="L32" s="38"/>
      <c r="M32" s="38"/>
    </row>
    <row r="33" spans="1:13" ht="15.75" x14ac:dyDescent="0.3">
      <c r="A33" s="426"/>
      <c r="B33" s="50" t="s">
        <v>166</v>
      </c>
      <c r="C33" s="76">
        <f>280+310</f>
        <v>590</v>
      </c>
      <c r="D33" s="84">
        <v>6</v>
      </c>
      <c r="E33" s="52">
        <f t="shared" si="1"/>
        <v>98.333333333333329</v>
      </c>
      <c r="F33" s="51">
        <v>594.63000000000011</v>
      </c>
      <c r="G33" s="52">
        <v>7</v>
      </c>
      <c r="H33" s="53">
        <f t="shared" si="2"/>
        <v>84.947142857142879</v>
      </c>
      <c r="I33" s="54">
        <f>H33/E33</f>
        <v>0.86386924939467336</v>
      </c>
      <c r="J33" s="289"/>
      <c r="K33" s="77"/>
      <c r="L33" s="38"/>
      <c r="M33" s="38"/>
    </row>
    <row r="34" spans="1:13" ht="15.75" x14ac:dyDescent="0.3">
      <c r="A34" s="426"/>
      <c r="B34" s="50" t="s">
        <v>167</v>
      </c>
      <c r="C34" s="76">
        <f>75*4</f>
        <v>300</v>
      </c>
      <c r="D34" s="84">
        <v>4</v>
      </c>
      <c r="E34" s="52">
        <f t="shared" si="1"/>
        <v>75</v>
      </c>
      <c r="F34" s="57">
        <v>424.63300000000004</v>
      </c>
      <c r="G34" s="52">
        <v>5.5</v>
      </c>
      <c r="H34" s="53">
        <f t="shared" si="2"/>
        <v>77.206000000000003</v>
      </c>
      <c r="I34" s="54">
        <f>H34/E34</f>
        <v>1.0294133333333333</v>
      </c>
      <c r="J34" s="289"/>
      <c r="K34" s="77"/>
      <c r="L34" s="38"/>
      <c r="M34" s="38"/>
    </row>
    <row r="35" spans="1:13" ht="15.75" x14ac:dyDescent="0.3">
      <c r="A35" s="426"/>
      <c r="B35" s="50" t="s">
        <v>168</v>
      </c>
      <c r="C35" s="76"/>
      <c r="D35" s="84"/>
      <c r="E35" s="52"/>
      <c r="F35" s="57"/>
      <c r="G35" s="52"/>
      <c r="H35" s="86"/>
      <c r="I35" s="54"/>
      <c r="J35" s="289"/>
      <c r="K35" s="77"/>
      <c r="L35" s="38"/>
      <c r="M35" s="38"/>
    </row>
    <row r="36" spans="1:13" ht="15.75" x14ac:dyDescent="0.3">
      <c r="A36" s="426"/>
      <c r="B36" s="50"/>
      <c r="C36" s="76"/>
      <c r="D36" s="84"/>
      <c r="E36" s="52"/>
      <c r="F36" s="57"/>
      <c r="G36" s="52"/>
      <c r="H36" s="86"/>
      <c r="I36" s="53"/>
      <c r="J36" s="289"/>
      <c r="K36" s="77"/>
      <c r="L36" s="38"/>
      <c r="M36" s="38"/>
    </row>
    <row r="37" spans="1:13" ht="15.75" x14ac:dyDescent="0.3">
      <c r="A37" s="426"/>
      <c r="B37" s="50"/>
      <c r="C37" s="76"/>
      <c r="D37" s="84"/>
      <c r="E37" s="84"/>
      <c r="F37" s="57">
        <v>0</v>
      </c>
      <c r="G37" s="52"/>
      <c r="H37" s="86"/>
      <c r="I37" s="54"/>
      <c r="J37" s="289"/>
      <c r="K37" s="77"/>
      <c r="L37" s="38"/>
      <c r="M37" s="38"/>
    </row>
    <row r="38" spans="1:13" ht="16.5" x14ac:dyDescent="0.35">
      <c r="A38" s="426"/>
      <c r="B38" s="59" t="s">
        <v>146</v>
      </c>
      <c r="C38" s="60"/>
      <c r="D38" s="61">
        <f>SUM(D29:D36)</f>
        <v>18</v>
      </c>
      <c r="E38" s="61"/>
      <c r="F38" s="62"/>
      <c r="G38" s="63">
        <f>SUM(G29:G36)</f>
        <v>24</v>
      </c>
      <c r="H38" s="64"/>
      <c r="I38" s="53"/>
      <c r="J38" s="289"/>
      <c r="K38" s="55"/>
      <c r="L38" s="38"/>
      <c r="M38" s="38"/>
    </row>
    <row r="39" spans="1:13" ht="15.75" x14ac:dyDescent="0.3">
      <c r="A39" s="427"/>
      <c r="B39" s="65" t="s">
        <v>148</v>
      </c>
      <c r="C39" s="66"/>
      <c r="D39" s="67">
        <f>16-3</f>
        <v>13</v>
      </c>
      <c r="E39" s="67"/>
      <c r="F39" s="67"/>
      <c r="G39" s="67">
        <f>31-G38</f>
        <v>7</v>
      </c>
      <c r="H39" s="87"/>
      <c r="I39" s="53"/>
      <c r="J39" s="290"/>
      <c r="K39" s="55"/>
      <c r="L39" s="38"/>
      <c r="M39" s="38"/>
    </row>
    <row r="40" spans="1:13" ht="17.25" thickBot="1" x14ac:dyDescent="0.4">
      <c r="A40" s="428"/>
      <c r="B40" s="70" t="s">
        <v>149</v>
      </c>
      <c r="C40" s="71">
        <f>SUM(C29:C36)</f>
        <v>1540</v>
      </c>
      <c r="D40" s="71">
        <f>D38+D39</f>
        <v>31</v>
      </c>
      <c r="E40" s="71">
        <f>SUM(E29:E36)</f>
        <v>335.83333333333331</v>
      </c>
      <c r="F40" s="71">
        <f>SUM(F29:F36)</f>
        <v>1886.1130000000001</v>
      </c>
      <c r="G40" s="71">
        <f>G39+G38</f>
        <v>31</v>
      </c>
      <c r="H40" s="82"/>
      <c r="I40" s="73">
        <f>F40/C40</f>
        <v>1.2247487012987013</v>
      </c>
      <c r="J40" s="291"/>
      <c r="K40" s="74"/>
      <c r="L40" s="75"/>
      <c r="M40" s="75"/>
    </row>
    <row r="41" spans="1:13" ht="15.75" x14ac:dyDescent="0.3">
      <c r="A41" s="425" t="s">
        <v>169</v>
      </c>
      <c r="B41" s="88" t="s">
        <v>170</v>
      </c>
      <c r="C41" s="89"/>
      <c r="D41" s="52"/>
      <c r="E41" s="52"/>
      <c r="F41" s="52">
        <f>174.361+43.54</f>
        <v>217.90099999999998</v>
      </c>
      <c r="G41" s="90">
        <v>4</v>
      </c>
      <c r="H41" s="53">
        <f>F41/G41</f>
        <v>54.475249999999996</v>
      </c>
      <c r="I41" s="91"/>
      <c r="J41" s="288" t="s">
        <v>171</v>
      </c>
      <c r="K41" s="77"/>
      <c r="L41" s="38"/>
      <c r="M41" s="38"/>
    </row>
    <row r="42" spans="1:13" ht="15.75" x14ac:dyDescent="0.3">
      <c r="A42" s="426"/>
      <c r="B42" s="80" t="s">
        <v>172</v>
      </c>
      <c r="C42" s="76"/>
      <c r="D42" s="52"/>
      <c r="E42" s="52"/>
      <c r="F42" s="57"/>
      <c r="G42" s="90"/>
      <c r="H42" s="53"/>
      <c r="I42" s="92"/>
      <c r="J42" s="289"/>
      <c r="K42" s="77"/>
      <c r="L42" s="38"/>
      <c r="M42" s="38"/>
    </row>
    <row r="43" spans="1:13" ht="15.75" x14ac:dyDescent="0.3">
      <c r="A43" s="426"/>
      <c r="B43" s="80" t="s">
        <v>159</v>
      </c>
      <c r="C43" s="76">
        <f>4*80+40*2+80*3</f>
        <v>640</v>
      </c>
      <c r="D43" s="52">
        <v>9</v>
      </c>
      <c r="E43" s="52">
        <f>C43/D43</f>
        <v>71.111111111111114</v>
      </c>
      <c r="F43" s="57">
        <v>308.13800000000003</v>
      </c>
      <c r="G43" s="90">
        <v>6</v>
      </c>
      <c r="H43" s="53">
        <f>F43/G43</f>
        <v>51.356333333333339</v>
      </c>
      <c r="I43" s="92">
        <f>H43/E43</f>
        <v>0.72219843750000001</v>
      </c>
      <c r="J43" s="289"/>
      <c r="K43" s="77"/>
      <c r="L43" s="38"/>
      <c r="M43" s="38"/>
    </row>
    <row r="44" spans="1:13" ht="15.75" x14ac:dyDescent="0.3">
      <c r="A44" s="426"/>
      <c r="B44" s="80" t="s">
        <v>173</v>
      </c>
      <c r="C44" s="76">
        <f>5*80+40</f>
        <v>440</v>
      </c>
      <c r="D44" s="52">
        <v>6</v>
      </c>
      <c r="E44" s="52">
        <f>C44/D44</f>
        <v>73.333333333333329</v>
      </c>
      <c r="F44" s="57">
        <v>537.50599999999997</v>
      </c>
      <c r="G44" s="90">
        <v>9</v>
      </c>
      <c r="H44" s="53">
        <f>F44/G44</f>
        <v>59.722888888888889</v>
      </c>
      <c r="I44" s="92">
        <f>H44/E44</f>
        <v>0.81440303030303041</v>
      </c>
      <c r="J44" s="289"/>
      <c r="K44" s="77"/>
      <c r="L44" s="38"/>
      <c r="M44" s="38"/>
    </row>
    <row r="45" spans="1:13" ht="15.75" x14ac:dyDescent="0.3">
      <c r="A45" s="426"/>
      <c r="B45" s="80" t="s">
        <v>174</v>
      </c>
      <c r="C45" s="76">
        <f>50+40+4*65</f>
        <v>350</v>
      </c>
      <c r="D45" s="52">
        <v>6</v>
      </c>
      <c r="E45" s="52">
        <f>C45/D45</f>
        <v>58.333333333333336</v>
      </c>
      <c r="F45" s="57">
        <v>364.34300000000002</v>
      </c>
      <c r="G45" s="90">
        <v>6</v>
      </c>
      <c r="H45" s="53">
        <f>F45/G45</f>
        <v>60.723833333333339</v>
      </c>
      <c r="I45" s="92">
        <f>H45/E45</f>
        <v>1.04098</v>
      </c>
      <c r="J45" s="289"/>
      <c r="K45" s="77"/>
      <c r="L45" s="38"/>
      <c r="M45" s="38"/>
    </row>
    <row r="46" spans="1:13" ht="15.75" x14ac:dyDescent="0.3">
      <c r="A46" s="426"/>
      <c r="B46" s="80" t="s">
        <v>175</v>
      </c>
      <c r="C46" s="76">
        <f>55*2+30</f>
        <v>140</v>
      </c>
      <c r="D46" s="52">
        <v>3</v>
      </c>
      <c r="E46" s="52">
        <f>C46/D46</f>
        <v>46.666666666666664</v>
      </c>
      <c r="F46" s="57">
        <v>20.399999999999999</v>
      </c>
      <c r="G46" s="90">
        <v>0.4</v>
      </c>
      <c r="H46" s="53">
        <f>F46/G46</f>
        <v>50.999999999999993</v>
      </c>
      <c r="I46" s="92">
        <f>H46/E46</f>
        <v>1.0928571428571427</v>
      </c>
      <c r="J46" s="289"/>
      <c r="K46" s="77"/>
      <c r="L46" s="38"/>
      <c r="M46" s="38"/>
    </row>
    <row r="47" spans="1:13" ht="15.75" x14ac:dyDescent="0.3">
      <c r="A47" s="426"/>
      <c r="B47" s="80" t="s">
        <v>158</v>
      </c>
      <c r="C47" s="76">
        <f>95*3</f>
        <v>285</v>
      </c>
      <c r="D47" s="52">
        <v>3</v>
      </c>
      <c r="E47" s="52">
        <f>C47/D47</f>
        <v>95</v>
      </c>
      <c r="F47" s="57">
        <v>311.21300000000002</v>
      </c>
      <c r="G47" s="90">
        <v>4</v>
      </c>
      <c r="H47" s="53">
        <f>F47/G47</f>
        <v>77.803250000000006</v>
      </c>
      <c r="I47" s="92">
        <f>H47/E47</f>
        <v>0.81898157894736845</v>
      </c>
      <c r="J47" s="289"/>
      <c r="K47" s="77"/>
      <c r="L47" s="38"/>
      <c r="M47" s="38"/>
    </row>
    <row r="48" spans="1:13" ht="16.5" x14ac:dyDescent="0.35">
      <c r="A48" s="427"/>
      <c r="B48" s="59" t="s">
        <v>146</v>
      </c>
      <c r="C48" s="60"/>
      <c r="D48" s="61">
        <f>SUM(D41:D47)</f>
        <v>27</v>
      </c>
      <c r="E48" s="61"/>
      <c r="F48" s="62"/>
      <c r="G48" s="63">
        <f>SUM(G41:G47)</f>
        <v>29.4</v>
      </c>
      <c r="H48" s="64"/>
      <c r="I48" s="92"/>
      <c r="J48" s="289"/>
      <c r="K48" s="55"/>
      <c r="L48" s="38"/>
      <c r="M48" s="38"/>
    </row>
    <row r="49" spans="1:13" ht="15.75" x14ac:dyDescent="0.3">
      <c r="A49" s="427"/>
      <c r="B49" s="65" t="s">
        <v>148</v>
      </c>
      <c r="C49" s="66"/>
      <c r="D49" s="68">
        <v>4</v>
      </c>
      <c r="E49" s="67"/>
      <c r="F49" s="67"/>
      <c r="G49" s="81">
        <f>31-G48</f>
        <v>1.6000000000000014</v>
      </c>
      <c r="H49" s="87"/>
      <c r="I49" s="92"/>
      <c r="J49" s="289"/>
      <c r="K49" s="55"/>
      <c r="L49" s="38"/>
      <c r="M49" s="38"/>
    </row>
    <row r="50" spans="1:13" ht="17.25" thickBot="1" x14ac:dyDescent="0.4">
      <c r="A50" s="428"/>
      <c r="B50" s="70" t="s">
        <v>149</v>
      </c>
      <c r="C50" s="71">
        <f>SUM(C41:C47)</f>
        <v>1855</v>
      </c>
      <c r="D50" s="71">
        <f>D48+D49</f>
        <v>31</v>
      </c>
      <c r="E50" s="71"/>
      <c r="F50" s="71">
        <f>SUM(F41:F47)</f>
        <v>1759.5010000000002</v>
      </c>
      <c r="G50" s="71">
        <f>G48+G49</f>
        <v>31</v>
      </c>
      <c r="H50" s="58"/>
      <c r="I50" s="73">
        <f>F50/C50</f>
        <v>0.94851805929919153</v>
      </c>
      <c r="J50" s="291"/>
      <c r="K50" s="77"/>
      <c r="L50" s="38"/>
      <c r="M50" s="38"/>
    </row>
    <row r="51" spans="1:13" ht="15.75" x14ac:dyDescent="0.3">
      <c r="A51" s="406" t="s">
        <v>176</v>
      </c>
      <c r="B51" s="80" t="s">
        <v>177</v>
      </c>
      <c r="C51" s="76">
        <f>330+200</f>
        <v>530</v>
      </c>
      <c r="D51" s="52">
        <v>8</v>
      </c>
      <c r="E51" s="52">
        <f>C51/D51</f>
        <v>66.25</v>
      </c>
      <c r="F51" s="51">
        <v>186.5625</v>
      </c>
      <c r="G51" s="93">
        <v>3</v>
      </c>
      <c r="H51" s="53">
        <f>F51/G51</f>
        <v>62.1875</v>
      </c>
      <c r="I51" s="92">
        <f>H51/E51</f>
        <v>0.93867924528301883</v>
      </c>
      <c r="J51" s="292" t="s">
        <v>178</v>
      </c>
      <c r="K51" s="38"/>
      <c r="L51" s="38"/>
      <c r="M51" s="38"/>
    </row>
    <row r="52" spans="1:13" ht="15.75" x14ac:dyDescent="0.3">
      <c r="A52" s="407"/>
      <c r="B52" s="80" t="s">
        <v>179</v>
      </c>
      <c r="C52" s="76">
        <v>450</v>
      </c>
      <c r="D52" s="84">
        <v>5</v>
      </c>
      <c r="E52" s="52">
        <f>C52/D52</f>
        <v>90</v>
      </c>
      <c r="F52" s="51"/>
      <c r="G52" s="93"/>
      <c r="H52" s="53"/>
      <c r="I52" s="92">
        <f>H52/E52</f>
        <v>0</v>
      </c>
      <c r="J52" s="293"/>
      <c r="K52" s="77"/>
      <c r="L52" s="38"/>
      <c r="M52" s="38"/>
    </row>
    <row r="53" spans="1:13" ht="15.75" x14ac:dyDescent="0.3">
      <c r="A53" s="407"/>
      <c r="B53" s="80" t="s">
        <v>180</v>
      </c>
      <c r="C53" s="76"/>
      <c r="D53" s="52"/>
      <c r="E53" s="52"/>
      <c r="F53" s="51"/>
      <c r="G53" s="93"/>
      <c r="H53" s="53"/>
      <c r="I53" s="92"/>
      <c r="J53" s="293"/>
      <c r="K53" s="77"/>
      <c r="L53" s="38"/>
      <c r="M53" s="38"/>
    </row>
    <row r="54" spans="1:13" ht="15.75" x14ac:dyDescent="0.3">
      <c r="A54" s="407"/>
      <c r="B54" s="80" t="s">
        <v>181</v>
      </c>
      <c r="C54" s="51">
        <v>584</v>
      </c>
      <c r="D54" s="52">
        <v>8</v>
      </c>
      <c r="E54" s="52">
        <f>C54/D54</f>
        <v>73</v>
      </c>
      <c r="F54" s="51">
        <v>596.99999999999989</v>
      </c>
      <c r="G54" s="93">
        <v>9</v>
      </c>
      <c r="H54" s="53">
        <f>F54/G54</f>
        <v>66.333333333333314</v>
      </c>
      <c r="I54" s="92">
        <f>H54/E54</f>
        <v>0.90867579908675777</v>
      </c>
      <c r="J54" s="293"/>
      <c r="K54" s="38"/>
      <c r="L54" s="38"/>
      <c r="M54" s="38"/>
    </row>
    <row r="55" spans="1:13" ht="15.75" x14ac:dyDescent="0.3">
      <c r="A55" s="407"/>
      <c r="B55" s="80" t="s">
        <v>182</v>
      </c>
      <c r="C55" s="94">
        <v>255</v>
      </c>
      <c r="D55" s="86">
        <v>2.5</v>
      </c>
      <c r="E55" s="52">
        <f>C55/D55</f>
        <v>102</v>
      </c>
      <c r="F55" s="95">
        <v>328.34999999999997</v>
      </c>
      <c r="G55" s="96">
        <v>4</v>
      </c>
      <c r="H55" s="53">
        <f>F55/G55</f>
        <v>82.087499999999991</v>
      </c>
      <c r="I55" s="92">
        <f>H55/E55</f>
        <v>0.8047794117647058</v>
      </c>
      <c r="J55" s="293"/>
      <c r="K55" s="38"/>
      <c r="L55" s="38"/>
      <c r="M55" s="38"/>
    </row>
    <row r="56" spans="1:13" ht="16.5" x14ac:dyDescent="0.35">
      <c r="A56" s="407"/>
      <c r="B56" s="59" t="s">
        <v>146</v>
      </c>
      <c r="C56" s="60"/>
      <c r="D56" s="61">
        <f>SUM(D51:D55)</f>
        <v>23.5</v>
      </c>
      <c r="E56" s="61"/>
      <c r="F56" s="62"/>
      <c r="G56" s="61">
        <f>SUM(G51:G55)</f>
        <v>16</v>
      </c>
      <c r="H56" s="61"/>
      <c r="I56" s="92"/>
      <c r="J56" s="293"/>
      <c r="K56" s="38"/>
      <c r="L56" s="38"/>
      <c r="M56" s="38"/>
    </row>
    <row r="57" spans="1:13" ht="15.75" x14ac:dyDescent="0.3">
      <c r="A57" s="407"/>
      <c r="B57" s="65" t="s">
        <v>148</v>
      </c>
      <c r="C57" s="66"/>
      <c r="D57" s="68">
        <f>31-D56</f>
        <v>7.5</v>
      </c>
      <c r="E57" s="67"/>
      <c r="F57" s="67"/>
      <c r="G57" s="81">
        <f>31-G56</f>
        <v>15</v>
      </c>
      <c r="H57" s="97"/>
      <c r="I57" s="92"/>
      <c r="J57" s="293"/>
      <c r="K57" s="38"/>
      <c r="L57" s="38"/>
      <c r="M57" s="38"/>
    </row>
    <row r="58" spans="1:13" ht="17.25" thickBot="1" x14ac:dyDescent="0.4">
      <c r="A58" s="408"/>
      <c r="B58" s="70" t="s">
        <v>149</v>
      </c>
      <c r="C58" s="71">
        <f>SUM(C51:C54)</f>
        <v>1564</v>
      </c>
      <c r="D58" s="71">
        <f>D57+D56</f>
        <v>31</v>
      </c>
      <c r="E58" s="98"/>
      <c r="F58" s="71">
        <f>SUM(F51:F54)</f>
        <v>783.56249999999989</v>
      </c>
      <c r="G58" s="71">
        <f>G57+G56</f>
        <v>31</v>
      </c>
      <c r="H58" s="99"/>
      <c r="I58" s="73">
        <f>F58/C58</f>
        <v>0.50099904092071601</v>
      </c>
      <c r="J58" s="294"/>
      <c r="K58" s="74"/>
      <c r="L58" s="75"/>
      <c r="M58" s="75"/>
    </row>
    <row r="59" spans="1:13" ht="15.75" x14ac:dyDescent="0.3">
      <c r="A59" s="406" t="s">
        <v>183</v>
      </c>
      <c r="B59" s="50" t="s">
        <v>77</v>
      </c>
      <c r="C59" s="51"/>
      <c r="D59" s="52"/>
      <c r="E59" s="52"/>
      <c r="F59" s="51"/>
      <c r="G59" s="93"/>
      <c r="H59" s="96"/>
      <c r="I59" s="92"/>
      <c r="J59" s="295"/>
      <c r="K59" s="100"/>
      <c r="L59" s="75"/>
      <c r="M59" s="75"/>
    </row>
    <row r="60" spans="1:13" ht="15.75" x14ac:dyDescent="0.3">
      <c r="A60" s="407"/>
      <c r="B60" s="50" t="s">
        <v>184</v>
      </c>
      <c r="C60" s="51">
        <v>900</v>
      </c>
      <c r="D60" s="52">
        <v>7</v>
      </c>
      <c r="E60" s="52">
        <f>C60/D60</f>
        <v>128.57142857142858</v>
      </c>
      <c r="F60" s="51">
        <v>1315.3630000000001</v>
      </c>
      <c r="G60" s="93">
        <v>10</v>
      </c>
      <c r="H60" s="96">
        <f>F60/G60</f>
        <v>131.53630000000001</v>
      </c>
      <c r="I60" s="92">
        <f>H60/E60</f>
        <v>1.0230601111111111</v>
      </c>
      <c r="J60" s="296"/>
      <c r="K60" s="100"/>
      <c r="L60" s="75"/>
      <c r="M60" s="75"/>
    </row>
    <row r="61" spans="1:13" ht="15.75" x14ac:dyDescent="0.3">
      <c r="A61" s="407"/>
      <c r="B61" s="50" t="s">
        <v>185</v>
      </c>
      <c r="C61" s="51">
        <v>450</v>
      </c>
      <c r="D61" s="52">
        <v>5</v>
      </c>
      <c r="E61" s="52">
        <f>C61/D61</f>
        <v>90</v>
      </c>
      <c r="F61" s="57">
        <v>92.912999999999997</v>
      </c>
      <c r="G61" s="93">
        <v>1</v>
      </c>
      <c r="H61" s="99">
        <f>F61/G61</f>
        <v>92.912999999999997</v>
      </c>
      <c r="I61" s="92">
        <f>H61/E61</f>
        <v>1.0323666666666667</v>
      </c>
      <c r="J61" s="296"/>
      <c r="K61" s="100"/>
      <c r="L61" s="75"/>
      <c r="M61" s="75"/>
    </row>
    <row r="62" spans="1:13" ht="15.75" x14ac:dyDescent="0.3">
      <c r="A62" s="407"/>
      <c r="B62" s="50" t="s">
        <v>186</v>
      </c>
      <c r="C62" s="51">
        <v>375</v>
      </c>
      <c r="D62" s="52">
        <v>3</v>
      </c>
      <c r="E62" s="52">
        <f>C62/D62</f>
        <v>125</v>
      </c>
      <c r="F62" s="51">
        <v>418.14730000000003</v>
      </c>
      <c r="G62" s="93">
        <v>4</v>
      </c>
      <c r="H62" s="99">
        <f>F62/G62</f>
        <v>104.53682500000001</v>
      </c>
      <c r="I62" s="92">
        <f>H62/E62</f>
        <v>0.83629460000000011</v>
      </c>
      <c r="J62" s="296"/>
      <c r="K62" s="100"/>
      <c r="L62" s="75"/>
      <c r="M62" s="75"/>
    </row>
    <row r="63" spans="1:13" ht="15.75" x14ac:dyDescent="0.3">
      <c r="A63" s="407"/>
      <c r="B63" s="50" t="s">
        <v>187</v>
      </c>
      <c r="C63" s="51">
        <v>375</v>
      </c>
      <c r="D63" s="52">
        <v>3</v>
      </c>
      <c r="E63" s="52">
        <f>C63/D63</f>
        <v>125</v>
      </c>
      <c r="F63" s="51">
        <v>340.62700000000001</v>
      </c>
      <c r="G63" s="93">
        <v>2.5</v>
      </c>
      <c r="H63" s="99">
        <f>F63/G63</f>
        <v>136.2508</v>
      </c>
      <c r="I63" s="92">
        <f>H63/E63</f>
        <v>1.0900064</v>
      </c>
      <c r="J63" s="296"/>
      <c r="K63" s="100"/>
      <c r="L63" s="75"/>
      <c r="M63" s="75"/>
    </row>
    <row r="64" spans="1:13" ht="15.75" x14ac:dyDescent="0.3">
      <c r="A64" s="407"/>
      <c r="B64" s="101" t="s">
        <v>79</v>
      </c>
      <c r="C64" s="95">
        <v>1180</v>
      </c>
      <c r="D64" s="102">
        <v>7</v>
      </c>
      <c r="E64" s="86">
        <f>C64/D64</f>
        <v>168.57142857142858</v>
      </c>
      <c r="F64" s="95">
        <v>1230.634</v>
      </c>
      <c r="G64" s="103">
        <v>7</v>
      </c>
      <c r="H64" s="99">
        <f>F64/G64</f>
        <v>175.80485714285714</v>
      </c>
      <c r="I64" s="92">
        <f>H64/E64</f>
        <v>1.0429101694915253</v>
      </c>
      <c r="J64" s="296"/>
      <c r="K64" s="74"/>
      <c r="L64" s="75"/>
      <c r="M64" s="75"/>
    </row>
    <row r="65" spans="1:13" ht="16.5" x14ac:dyDescent="0.35">
      <c r="A65" s="407"/>
      <c r="B65" s="59" t="s">
        <v>146</v>
      </c>
      <c r="C65" s="60"/>
      <c r="D65" s="61">
        <f>SUM(D59:D64)</f>
        <v>25</v>
      </c>
      <c r="E65" s="61"/>
      <c r="F65" s="62"/>
      <c r="G65" s="61">
        <f>SUM(G59:G64)</f>
        <v>24.5</v>
      </c>
      <c r="H65" s="61"/>
      <c r="I65" s="92"/>
      <c r="J65" s="296"/>
      <c r="K65" s="74"/>
      <c r="L65" s="75"/>
      <c r="M65" s="75"/>
    </row>
    <row r="66" spans="1:13" ht="15.75" x14ac:dyDescent="0.3">
      <c r="A66" s="407"/>
      <c r="B66" s="65" t="s">
        <v>148</v>
      </c>
      <c r="C66" s="66"/>
      <c r="D66" s="68">
        <f>31-D65</f>
        <v>6</v>
      </c>
      <c r="E66" s="67"/>
      <c r="F66" s="67"/>
      <c r="G66" s="81">
        <f>31-G65</f>
        <v>6.5</v>
      </c>
      <c r="H66" s="97"/>
      <c r="I66" s="92"/>
      <c r="J66" s="296"/>
      <c r="K66" s="74"/>
      <c r="L66" s="75"/>
      <c r="M66" s="75"/>
    </row>
    <row r="67" spans="1:13" ht="17.25" thickBot="1" x14ac:dyDescent="0.4">
      <c r="A67" s="408"/>
      <c r="B67" s="70" t="s">
        <v>149</v>
      </c>
      <c r="C67" s="71">
        <f>SUM(C59:C64)</f>
        <v>3280</v>
      </c>
      <c r="D67" s="71">
        <f>SUM(D59:D64)</f>
        <v>25</v>
      </c>
      <c r="E67" s="71"/>
      <c r="F67" s="71">
        <f>SUM(F59:F64)</f>
        <v>3397.6843000000003</v>
      </c>
      <c r="G67" s="104">
        <f>SUM(G59:G64)</f>
        <v>24.5</v>
      </c>
      <c r="H67" s="105"/>
      <c r="I67" s="73">
        <f>F67/C67</f>
        <v>1.0358793597560976</v>
      </c>
      <c r="J67" s="297"/>
      <c r="K67" s="100"/>
      <c r="L67" s="75"/>
      <c r="M67" s="75"/>
    </row>
    <row r="68" spans="1:13" ht="15.75" x14ac:dyDescent="0.3">
      <c r="A68" s="407" t="s">
        <v>188</v>
      </c>
      <c r="B68" s="106"/>
      <c r="C68" s="76"/>
      <c r="D68" s="84"/>
      <c r="E68" s="52"/>
      <c r="F68" s="57"/>
      <c r="G68" s="93"/>
      <c r="H68" s="99"/>
      <c r="I68" s="107"/>
      <c r="J68" s="295"/>
      <c r="K68" s="38"/>
      <c r="L68" s="38"/>
      <c r="M68" s="38"/>
    </row>
    <row r="69" spans="1:13" ht="16.5" x14ac:dyDescent="0.35">
      <c r="A69" s="407"/>
      <c r="B69" s="65" t="s">
        <v>189</v>
      </c>
      <c r="C69" s="66"/>
      <c r="D69" s="108">
        <f>31-D68</f>
        <v>31</v>
      </c>
      <c r="E69" s="109"/>
      <c r="F69" s="109"/>
      <c r="G69" s="110">
        <f>31-G68</f>
        <v>31</v>
      </c>
      <c r="H69" s="68"/>
      <c r="I69" s="92"/>
      <c r="J69" s="296"/>
      <c r="K69" s="38"/>
      <c r="L69" s="38"/>
      <c r="M69" s="38"/>
    </row>
    <row r="70" spans="1:13" ht="17.25" thickBot="1" x14ac:dyDescent="0.4">
      <c r="A70" s="408"/>
      <c r="B70" s="111" t="s">
        <v>149</v>
      </c>
      <c r="C70" s="82">
        <f>SUM(C68:C69)</f>
        <v>0</v>
      </c>
      <c r="D70" s="82"/>
      <c r="E70" s="82"/>
      <c r="F70" s="82"/>
      <c r="G70" s="82"/>
      <c r="H70" s="112"/>
      <c r="I70" s="113"/>
      <c r="J70" s="297"/>
      <c r="K70" s="38"/>
      <c r="L70" s="38"/>
      <c r="M70" s="38"/>
    </row>
    <row r="71" spans="1:13" ht="15.75" x14ac:dyDescent="0.3">
      <c r="A71" s="407" t="s">
        <v>190</v>
      </c>
      <c r="B71" s="50"/>
      <c r="C71" s="51"/>
      <c r="D71" s="52"/>
      <c r="E71" s="52"/>
      <c r="F71" s="51"/>
      <c r="G71" s="93"/>
      <c r="H71" s="99"/>
      <c r="I71" s="92"/>
      <c r="J71" s="295"/>
      <c r="K71" s="38"/>
      <c r="L71" s="38"/>
      <c r="M71" s="38"/>
    </row>
    <row r="72" spans="1:13" ht="15.75" x14ac:dyDescent="0.3">
      <c r="A72" s="407"/>
      <c r="B72" s="101" t="s">
        <v>191</v>
      </c>
      <c r="C72" s="95">
        <v>289</v>
      </c>
      <c r="D72" s="102">
        <v>17</v>
      </c>
      <c r="E72" s="86">
        <f>C72/D72</f>
        <v>17</v>
      </c>
      <c r="F72" s="95">
        <v>259.19999999999993</v>
      </c>
      <c r="G72" s="103">
        <v>16</v>
      </c>
      <c r="H72" s="96">
        <f>F72/G72</f>
        <v>16.199999999999996</v>
      </c>
      <c r="I72" s="92">
        <f>H72/E72</f>
        <v>0.95294117647058796</v>
      </c>
      <c r="J72" s="296"/>
      <c r="K72" s="38"/>
      <c r="L72" s="38"/>
      <c r="M72" s="38"/>
    </row>
    <row r="73" spans="1:13" ht="15.75" x14ac:dyDescent="0.3">
      <c r="A73" s="407"/>
      <c r="B73" s="101" t="s">
        <v>192</v>
      </c>
      <c r="C73" s="114">
        <f>10*17</f>
        <v>170</v>
      </c>
      <c r="D73" s="102">
        <v>10</v>
      </c>
      <c r="E73" s="86">
        <f>C73/D73</f>
        <v>17</v>
      </c>
      <c r="F73" s="95">
        <v>247</v>
      </c>
      <c r="G73" s="103">
        <v>13</v>
      </c>
      <c r="H73" s="112">
        <f>F73/G73</f>
        <v>19</v>
      </c>
      <c r="I73" s="92">
        <f>H73/E73</f>
        <v>1.1176470588235294</v>
      </c>
      <c r="J73" s="296"/>
      <c r="K73" s="38"/>
      <c r="L73" s="38"/>
      <c r="M73" s="38"/>
    </row>
    <row r="74" spans="1:13" ht="16.5" x14ac:dyDescent="0.35">
      <c r="A74" s="407"/>
      <c r="B74" s="59" t="s">
        <v>146</v>
      </c>
      <c r="C74" s="60"/>
      <c r="D74" s="61">
        <f>SUM(D72:D73)</f>
        <v>27</v>
      </c>
      <c r="E74" s="61"/>
      <c r="F74" s="62"/>
      <c r="G74" s="61">
        <f>SUM(G72:G73)</f>
        <v>29</v>
      </c>
      <c r="H74" s="61"/>
      <c r="I74" s="92"/>
      <c r="J74" s="296"/>
      <c r="K74" s="38"/>
      <c r="L74" s="38"/>
      <c r="M74" s="38"/>
    </row>
    <row r="75" spans="1:13" ht="15.75" x14ac:dyDescent="0.3">
      <c r="A75" s="407"/>
      <c r="B75" s="65" t="s">
        <v>148</v>
      </c>
      <c r="C75" s="66"/>
      <c r="D75" s="68">
        <f>31-D74</f>
        <v>4</v>
      </c>
      <c r="E75" s="67"/>
      <c r="F75" s="67"/>
      <c r="G75" s="68">
        <f>31-G74</f>
        <v>2</v>
      </c>
      <c r="H75" s="97"/>
      <c r="I75" s="92"/>
      <c r="J75" s="296"/>
      <c r="K75" s="38"/>
      <c r="L75" s="38"/>
      <c r="M75" s="38"/>
    </row>
    <row r="76" spans="1:13" ht="17.25" thickBot="1" x14ac:dyDescent="0.4">
      <c r="A76" s="408"/>
      <c r="B76" s="70" t="s">
        <v>149</v>
      </c>
      <c r="C76" s="71">
        <f>SUM(C72:C73)</f>
        <v>459</v>
      </c>
      <c r="D76" s="71">
        <f>D75+D74</f>
        <v>31</v>
      </c>
      <c r="E76" s="71"/>
      <c r="F76" s="71">
        <f>SUM(F72:F73)</f>
        <v>506.19999999999993</v>
      </c>
      <c r="G76" s="71">
        <f>G75+G74</f>
        <v>31</v>
      </c>
      <c r="H76" s="105"/>
      <c r="I76" s="73">
        <f>F76/C76</f>
        <v>1.1028322440087144</v>
      </c>
      <c r="J76" s="297"/>
      <c r="K76" s="38"/>
      <c r="L76" s="38"/>
      <c r="M76" s="38"/>
    </row>
    <row r="77" spans="1:13" ht="19.5" x14ac:dyDescent="0.3">
      <c r="A77" s="234"/>
      <c r="B77" s="101" t="s">
        <v>193</v>
      </c>
      <c r="C77" s="95">
        <v>375</v>
      </c>
      <c r="D77" s="102">
        <v>8</v>
      </c>
      <c r="E77" s="86">
        <f>C77/D77</f>
        <v>46.875</v>
      </c>
      <c r="F77" s="95">
        <v>411.44113000000004</v>
      </c>
      <c r="G77" s="103">
        <v>7</v>
      </c>
      <c r="H77" s="99">
        <f>F77/G77</f>
        <v>58.777304285714294</v>
      </c>
      <c r="I77" s="92">
        <f>H77/E77</f>
        <v>1.2539158247619049</v>
      </c>
      <c r="J77" s="276"/>
      <c r="K77" s="38"/>
      <c r="L77" s="38"/>
      <c r="M77" s="38"/>
    </row>
    <row r="78" spans="1:13" ht="15.75" x14ac:dyDescent="0.3">
      <c r="A78" s="407" t="s">
        <v>194</v>
      </c>
      <c r="B78" s="101" t="s">
        <v>185</v>
      </c>
      <c r="C78" s="95">
        <v>250</v>
      </c>
      <c r="D78" s="102">
        <v>5</v>
      </c>
      <c r="E78" s="86">
        <f>C78/D78</f>
        <v>50</v>
      </c>
      <c r="F78" s="95">
        <v>148.46458799999999</v>
      </c>
      <c r="G78" s="103">
        <v>2</v>
      </c>
      <c r="H78" s="99">
        <f>F78/G78</f>
        <v>74.232293999999996</v>
      </c>
      <c r="I78" s="92">
        <f>H78/E78</f>
        <v>1.48464588</v>
      </c>
      <c r="J78" s="277"/>
      <c r="K78" s="38"/>
      <c r="L78" s="38"/>
      <c r="M78" s="38"/>
    </row>
    <row r="79" spans="1:13" ht="15.75" x14ac:dyDescent="0.3">
      <c r="A79" s="407"/>
      <c r="B79" s="101"/>
      <c r="C79" s="114"/>
      <c r="D79" s="102"/>
      <c r="E79" s="86"/>
      <c r="F79" s="95"/>
      <c r="G79" s="103"/>
      <c r="H79" s="99"/>
      <c r="I79" s="92"/>
      <c r="J79" s="277"/>
      <c r="K79" s="38"/>
      <c r="L79" s="38"/>
      <c r="M79" s="38"/>
    </row>
    <row r="80" spans="1:13" ht="16.5" x14ac:dyDescent="0.35">
      <c r="A80" s="407"/>
      <c r="B80" s="59" t="s">
        <v>146</v>
      </c>
      <c r="C80" s="60"/>
      <c r="D80" s="61">
        <f>SUM(D77:D79)</f>
        <v>13</v>
      </c>
      <c r="E80" s="61"/>
      <c r="F80" s="62"/>
      <c r="G80" s="61">
        <f>SUM(G78:G79)</f>
        <v>2</v>
      </c>
      <c r="H80" s="61"/>
      <c r="I80" s="92"/>
      <c r="J80" s="277"/>
      <c r="K80" s="38"/>
      <c r="L80" s="38"/>
      <c r="M80" s="38"/>
    </row>
    <row r="81" spans="1:13" ht="15.75" x14ac:dyDescent="0.3">
      <c r="A81" s="407"/>
      <c r="B81" s="65" t="s">
        <v>148</v>
      </c>
      <c r="C81" s="66"/>
      <c r="D81" s="68">
        <f>31-D80</f>
        <v>18</v>
      </c>
      <c r="E81" s="67"/>
      <c r="F81" s="67"/>
      <c r="G81" s="81">
        <f>31-G80</f>
        <v>29</v>
      </c>
      <c r="H81" s="97"/>
      <c r="I81" s="92"/>
      <c r="J81" s="277"/>
      <c r="K81" s="38"/>
      <c r="L81" s="38"/>
      <c r="M81" s="38"/>
    </row>
    <row r="82" spans="1:13" ht="17.25" thickBot="1" x14ac:dyDescent="0.4">
      <c r="A82" s="408"/>
      <c r="B82" s="70" t="s">
        <v>149</v>
      </c>
      <c r="C82" s="71">
        <f>SUM(C77:C79)</f>
        <v>625</v>
      </c>
      <c r="D82" s="71">
        <f>D81+D80</f>
        <v>31</v>
      </c>
      <c r="E82" s="71"/>
      <c r="F82" s="71">
        <f>SUM(F77:F79)</f>
        <v>559.90571799999998</v>
      </c>
      <c r="G82" s="71">
        <f>G81+G80</f>
        <v>31</v>
      </c>
      <c r="H82" s="105"/>
      <c r="I82" s="73">
        <f>F82/C82</f>
        <v>0.89584914879999999</v>
      </c>
      <c r="J82" s="278"/>
      <c r="K82" s="38"/>
      <c r="L82" s="38"/>
      <c r="M82" s="38"/>
    </row>
    <row r="83" spans="1:13" x14ac:dyDescent="0.25">
      <c r="A83" s="38"/>
      <c r="B83" s="41"/>
      <c r="C83" s="115"/>
      <c r="D83" s="115"/>
      <c r="E83" s="115"/>
      <c r="F83" s="115"/>
      <c r="G83" s="115"/>
      <c r="H83" s="115"/>
      <c r="I83" s="115"/>
      <c r="J83" s="116"/>
      <c r="K83" s="38"/>
      <c r="L83" s="38"/>
      <c r="M83" s="38"/>
    </row>
    <row r="84" spans="1:13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116"/>
      <c r="K84" s="38"/>
      <c r="L84" s="38"/>
      <c r="M84" s="38"/>
    </row>
    <row r="85" spans="1:13" ht="21" x14ac:dyDescent="0.4">
      <c r="A85" s="37" t="s">
        <v>195</v>
      </c>
      <c r="B85" s="37"/>
      <c r="C85" s="37"/>
      <c r="D85" s="37"/>
      <c r="E85" s="37"/>
      <c r="F85" s="37"/>
      <c r="G85" s="37"/>
      <c r="H85" s="37"/>
      <c r="I85" s="37"/>
      <c r="J85" s="37"/>
      <c r="K85" s="38"/>
      <c r="L85" s="38"/>
      <c r="M85" s="38"/>
    </row>
    <row r="86" spans="1:13" ht="17.25" thickBot="1" x14ac:dyDescent="0.4">
      <c r="A86" s="40"/>
      <c r="B86" s="41"/>
      <c r="C86" s="42"/>
      <c r="D86" s="42"/>
      <c r="E86" s="42"/>
      <c r="F86" s="42"/>
      <c r="G86" s="42"/>
      <c r="H86" s="42"/>
      <c r="I86" s="42"/>
      <c r="J86" s="43"/>
      <c r="K86" s="38"/>
      <c r="L86" s="38"/>
      <c r="M86" s="38"/>
    </row>
    <row r="87" spans="1:13" ht="16.5" x14ac:dyDescent="0.35">
      <c r="A87" s="409" t="s">
        <v>128</v>
      </c>
      <c r="B87" s="44"/>
      <c r="C87" s="45"/>
      <c r="D87" s="45"/>
      <c r="E87" s="45"/>
      <c r="F87" s="45"/>
      <c r="G87" s="411" t="s">
        <v>129</v>
      </c>
      <c r="H87" s="233"/>
      <c r="I87" s="413" t="s">
        <v>130</v>
      </c>
      <c r="J87" s="279" t="s">
        <v>131</v>
      </c>
      <c r="K87" s="38"/>
      <c r="L87" s="38"/>
      <c r="M87" s="38"/>
    </row>
    <row r="88" spans="1:13" ht="66.75" thickBot="1" x14ac:dyDescent="0.3">
      <c r="A88" s="435"/>
      <c r="B88" s="46"/>
      <c r="C88" s="47" t="s">
        <v>132</v>
      </c>
      <c r="D88" s="48" t="s">
        <v>133</v>
      </c>
      <c r="E88" s="48" t="s">
        <v>134</v>
      </c>
      <c r="F88" s="49" t="s">
        <v>135</v>
      </c>
      <c r="G88" s="412"/>
      <c r="H88" s="48" t="s">
        <v>136</v>
      </c>
      <c r="I88" s="436"/>
      <c r="J88" s="280"/>
      <c r="K88" s="38"/>
      <c r="L88" s="38"/>
      <c r="M88" s="38"/>
    </row>
    <row r="89" spans="1:13" ht="30" x14ac:dyDescent="0.3">
      <c r="A89" s="429" t="s">
        <v>137</v>
      </c>
      <c r="B89" s="50" t="s">
        <v>138</v>
      </c>
      <c r="C89" s="51">
        <f>2250+1450</f>
        <v>3700</v>
      </c>
      <c r="D89" s="52">
        <v>12</v>
      </c>
      <c r="E89" s="52">
        <f>C89/D89</f>
        <v>308.33333333333331</v>
      </c>
      <c r="F89" s="51">
        <f>2192.93-151.64</f>
        <v>2041.29</v>
      </c>
      <c r="G89" s="53">
        <v>9</v>
      </c>
      <c r="H89" s="53">
        <f>F89/G89</f>
        <v>226.81</v>
      </c>
      <c r="I89" s="54">
        <f>H89/E89</f>
        <v>0.73560000000000003</v>
      </c>
      <c r="J89" s="281" t="s">
        <v>196</v>
      </c>
      <c r="K89" s="38"/>
      <c r="L89" s="38"/>
      <c r="M89" s="38"/>
    </row>
    <row r="90" spans="1:13" ht="15.75" x14ac:dyDescent="0.3">
      <c r="A90" s="430"/>
      <c r="B90" s="56" t="s">
        <v>140</v>
      </c>
      <c r="C90" s="57"/>
      <c r="D90" s="58"/>
      <c r="E90" s="52"/>
      <c r="F90" s="57"/>
      <c r="G90" s="53"/>
      <c r="H90" s="53"/>
      <c r="I90" s="53"/>
      <c r="J90" s="282"/>
      <c r="K90" s="38"/>
      <c r="L90" s="38"/>
      <c r="M90" s="38"/>
    </row>
    <row r="91" spans="1:13" ht="15.75" x14ac:dyDescent="0.3">
      <c r="A91" s="430"/>
      <c r="B91" s="56" t="s">
        <v>141</v>
      </c>
      <c r="C91" s="57"/>
      <c r="D91" s="58"/>
      <c r="E91" s="52"/>
      <c r="F91" s="57"/>
      <c r="G91" s="53"/>
      <c r="H91" s="53"/>
      <c r="I91" s="53"/>
      <c r="J91" s="282"/>
      <c r="K91" s="38"/>
      <c r="L91" s="38"/>
      <c r="M91" s="38"/>
    </row>
    <row r="92" spans="1:13" ht="15.75" x14ac:dyDescent="0.3">
      <c r="A92" s="430"/>
      <c r="B92" s="56" t="s">
        <v>142</v>
      </c>
      <c r="C92" s="57">
        <v>1915</v>
      </c>
      <c r="D92" s="58">
        <v>7.5</v>
      </c>
      <c r="E92" s="52">
        <f>C92/D92</f>
        <v>255.33333333333334</v>
      </c>
      <c r="F92" s="57">
        <f>1878-231.18</f>
        <v>1646.82</v>
      </c>
      <c r="G92" s="53">
        <v>9</v>
      </c>
      <c r="H92" s="53">
        <f>F92/G92</f>
        <v>182.98</v>
      </c>
      <c r="I92" s="54">
        <f>H92/E92</f>
        <v>0.71663185378590066</v>
      </c>
      <c r="J92" s="282"/>
      <c r="K92" s="38"/>
      <c r="L92" s="38"/>
      <c r="M92" s="38"/>
    </row>
    <row r="93" spans="1:13" ht="15.75" x14ac:dyDescent="0.3">
      <c r="A93" s="430"/>
      <c r="B93" s="56" t="s">
        <v>143</v>
      </c>
      <c r="C93" s="57"/>
      <c r="D93" s="58"/>
      <c r="E93" s="52"/>
      <c r="F93" s="57"/>
      <c r="G93" s="53"/>
      <c r="H93" s="53"/>
      <c r="I93" s="53"/>
      <c r="J93" s="282"/>
      <c r="K93" s="38"/>
      <c r="L93" s="38"/>
      <c r="M93" s="38"/>
    </row>
    <row r="94" spans="1:13" ht="15.75" x14ac:dyDescent="0.3">
      <c r="A94" s="430"/>
      <c r="B94" s="56" t="s">
        <v>144</v>
      </c>
      <c r="C94" s="57"/>
      <c r="D94" s="58"/>
      <c r="E94" s="52"/>
      <c r="F94" s="57"/>
      <c r="G94" s="53"/>
      <c r="H94" s="53"/>
      <c r="I94" s="53"/>
      <c r="J94" s="282"/>
      <c r="K94" s="38"/>
      <c r="L94" s="38"/>
      <c r="M94" s="38"/>
    </row>
    <row r="95" spans="1:13" ht="15.75" x14ac:dyDescent="0.3">
      <c r="A95" s="430"/>
      <c r="B95" s="56" t="s">
        <v>145</v>
      </c>
      <c r="C95" s="57">
        <v>650</v>
      </c>
      <c r="D95" s="58">
        <v>5</v>
      </c>
      <c r="E95" s="52">
        <f>C95/D95</f>
        <v>130</v>
      </c>
      <c r="F95" s="57">
        <f>886.34-115</f>
        <v>771.34</v>
      </c>
      <c r="G95" s="53">
        <v>6.5</v>
      </c>
      <c r="H95" s="53">
        <f>F95/G95</f>
        <v>118.66769230769231</v>
      </c>
      <c r="I95" s="54">
        <f>H95/E95</f>
        <v>0.91282840236686391</v>
      </c>
      <c r="J95" s="282"/>
      <c r="K95" s="38"/>
      <c r="L95" s="38"/>
      <c r="M95" s="38"/>
    </row>
    <row r="96" spans="1:13" ht="15.75" x14ac:dyDescent="0.3">
      <c r="A96" s="430"/>
      <c r="B96" s="56"/>
      <c r="C96" s="57"/>
      <c r="D96" s="58"/>
      <c r="E96" s="52"/>
      <c r="F96" s="57"/>
      <c r="G96" s="53"/>
      <c r="H96" s="53"/>
      <c r="I96" s="53"/>
      <c r="J96" s="282"/>
      <c r="K96" s="38"/>
      <c r="L96" s="38"/>
      <c r="M96" s="38"/>
    </row>
    <row r="97" spans="1:13" ht="16.5" x14ac:dyDescent="0.35">
      <c r="A97" s="431"/>
      <c r="B97" s="59" t="s">
        <v>146</v>
      </c>
      <c r="C97" s="60"/>
      <c r="D97" s="61">
        <f>SUM(D89:D96)</f>
        <v>24.5</v>
      </c>
      <c r="E97" s="62"/>
      <c r="F97" s="62"/>
      <c r="G97" s="63">
        <f>SUM(G89:G96)</f>
        <v>24.5</v>
      </c>
      <c r="H97" s="64"/>
      <c r="I97" s="53"/>
      <c r="J97" s="282"/>
      <c r="K97" s="38"/>
      <c r="L97" s="38"/>
      <c r="M97" s="38"/>
    </row>
    <row r="98" spans="1:13" ht="16.5" x14ac:dyDescent="0.35">
      <c r="A98" s="431"/>
      <c r="B98" s="59" t="s">
        <v>147</v>
      </c>
      <c r="C98" s="60"/>
      <c r="D98" s="61">
        <v>2.5</v>
      </c>
      <c r="E98" s="62"/>
      <c r="F98" s="62"/>
      <c r="G98" s="63">
        <v>3</v>
      </c>
      <c r="H98" s="64"/>
      <c r="I98" s="53"/>
      <c r="J98" s="282"/>
      <c r="K98" s="38"/>
      <c r="L98" s="38"/>
      <c r="M98" s="38"/>
    </row>
    <row r="99" spans="1:13" ht="15.75" x14ac:dyDescent="0.3">
      <c r="A99" s="432"/>
      <c r="B99" s="65" t="s">
        <v>148</v>
      </c>
      <c r="C99" s="66"/>
      <c r="D99" s="67">
        <v>3</v>
      </c>
      <c r="E99" s="67"/>
      <c r="F99" s="67"/>
      <c r="G99" s="68">
        <v>2.5</v>
      </c>
      <c r="H99" s="69"/>
      <c r="I99" s="53"/>
      <c r="J99" s="282"/>
      <c r="K99" s="38"/>
      <c r="L99" s="38"/>
      <c r="M99" s="38"/>
    </row>
    <row r="100" spans="1:13" ht="17.25" thickBot="1" x14ac:dyDescent="0.4">
      <c r="A100" s="433"/>
      <c r="B100" s="70" t="s">
        <v>149</v>
      </c>
      <c r="C100" s="71">
        <f>SUM(C89:C95)</f>
        <v>6265</v>
      </c>
      <c r="D100" s="71">
        <f>D97+D98+D99</f>
        <v>30</v>
      </c>
      <c r="E100" s="71"/>
      <c r="F100" s="72">
        <f>SUM(F89:F96)</f>
        <v>4459.45</v>
      </c>
      <c r="G100" s="71">
        <f>G97+G98+G99</f>
        <v>30</v>
      </c>
      <c r="H100" s="71"/>
      <c r="I100" s="73">
        <f>F100/C100</f>
        <v>0.711803671189146</v>
      </c>
      <c r="J100" s="283"/>
      <c r="K100" s="38"/>
      <c r="L100" s="38"/>
      <c r="M100" s="38"/>
    </row>
    <row r="101" spans="1:13" ht="30" x14ac:dyDescent="0.3">
      <c r="A101" s="421" t="s">
        <v>150</v>
      </c>
      <c r="B101" s="50" t="s">
        <v>151</v>
      </c>
      <c r="C101" s="76">
        <f>155*2+130+11*216</f>
        <v>2816</v>
      </c>
      <c r="D101" s="52">
        <v>14</v>
      </c>
      <c r="E101" s="52">
        <f>C101/D101</f>
        <v>201.14285714285714</v>
      </c>
      <c r="F101" s="51">
        <v>1908.961</v>
      </c>
      <c r="G101" s="52">
        <v>9.5</v>
      </c>
      <c r="H101" s="53">
        <f>F101/G101</f>
        <v>200.94326315789473</v>
      </c>
      <c r="I101" s="91">
        <f>H101/E101</f>
        <v>0.99900770035885167</v>
      </c>
      <c r="J101" s="284" t="s">
        <v>197</v>
      </c>
      <c r="K101" s="38"/>
      <c r="L101" s="38"/>
      <c r="M101" s="38"/>
    </row>
    <row r="102" spans="1:13" ht="15.75" x14ac:dyDescent="0.3">
      <c r="A102" s="422"/>
      <c r="B102" s="50" t="s">
        <v>154</v>
      </c>
      <c r="C102" s="76">
        <v>70</v>
      </c>
      <c r="D102" s="52">
        <v>1</v>
      </c>
      <c r="E102" s="52">
        <f>C102/D102</f>
        <v>70</v>
      </c>
      <c r="F102" s="52">
        <v>174.14699999999999</v>
      </c>
      <c r="G102" s="52">
        <v>3.5</v>
      </c>
      <c r="H102" s="53">
        <f>F102/G102</f>
        <v>49.75628571428571</v>
      </c>
      <c r="I102" s="92">
        <f>H102/E102</f>
        <v>0.71080408163265296</v>
      </c>
      <c r="J102" s="285"/>
      <c r="K102" s="38"/>
      <c r="L102" s="38"/>
      <c r="M102" s="38"/>
    </row>
    <row r="103" spans="1:13" ht="15.75" x14ac:dyDescent="0.3">
      <c r="A103" s="422"/>
      <c r="B103" s="50" t="s">
        <v>155</v>
      </c>
      <c r="C103" s="57">
        <v>300</v>
      </c>
      <c r="D103" s="58">
        <v>3</v>
      </c>
      <c r="E103" s="52">
        <f>C103/D103</f>
        <v>100</v>
      </c>
      <c r="F103" s="57">
        <v>295</v>
      </c>
      <c r="G103" s="58">
        <v>3</v>
      </c>
      <c r="H103" s="53">
        <f>F103/G103</f>
        <v>98.333333333333329</v>
      </c>
      <c r="I103" s="92">
        <f>H103/E103</f>
        <v>0.98333333333333328</v>
      </c>
      <c r="J103" s="285"/>
      <c r="K103" s="38"/>
      <c r="L103" s="38"/>
      <c r="M103" s="38"/>
    </row>
    <row r="104" spans="1:13" ht="15.75" x14ac:dyDescent="0.3">
      <c r="A104" s="422"/>
      <c r="B104" s="78" t="s">
        <v>156</v>
      </c>
      <c r="C104" s="51">
        <f>80+35+50+60</f>
        <v>225</v>
      </c>
      <c r="D104" s="52">
        <v>4</v>
      </c>
      <c r="E104" s="52">
        <f>C104/D104</f>
        <v>56.25</v>
      </c>
      <c r="F104" s="79">
        <f>82.511+115</f>
        <v>197.511</v>
      </c>
      <c r="G104" s="52">
        <f>2+2</f>
        <v>4</v>
      </c>
      <c r="H104" s="53">
        <f>F104/G104</f>
        <v>49.377749999999999</v>
      </c>
      <c r="I104" s="92">
        <f>H104/E104</f>
        <v>0.87782666666666664</v>
      </c>
      <c r="J104" s="285"/>
      <c r="K104" s="38"/>
      <c r="L104" s="38"/>
      <c r="M104" s="38"/>
    </row>
    <row r="105" spans="1:13" ht="15.75" x14ac:dyDescent="0.3">
      <c r="A105" s="422"/>
      <c r="B105" s="78" t="s">
        <v>157</v>
      </c>
      <c r="C105" s="51">
        <v>160</v>
      </c>
      <c r="D105" s="52">
        <v>2</v>
      </c>
      <c r="E105" s="52">
        <f>C105/D105</f>
        <v>80</v>
      </c>
      <c r="F105" s="79">
        <f>84+134</f>
        <v>218</v>
      </c>
      <c r="G105" s="52">
        <v>4</v>
      </c>
      <c r="H105" s="53">
        <f>F105/G105</f>
        <v>54.5</v>
      </c>
      <c r="I105" s="92">
        <f>H105/E105</f>
        <v>0.68125000000000002</v>
      </c>
      <c r="J105" s="285"/>
      <c r="K105" s="38"/>
      <c r="L105" s="38"/>
      <c r="M105" s="38"/>
    </row>
    <row r="106" spans="1:13" ht="15.75" x14ac:dyDescent="0.3">
      <c r="A106" s="422"/>
      <c r="B106" s="78" t="s">
        <v>158</v>
      </c>
      <c r="C106" s="51"/>
      <c r="D106" s="52"/>
      <c r="E106" s="52"/>
      <c r="F106" s="79">
        <v>67.069000000000003</v>
      </c>
      <c r="G106" s="52">
        <v>1.25</v>
      </c>
      <c r="H106" s="86"/>
      <c r="I106" s="99"/>
      <c r="J106" s="285"/>
      <c r="K106" s="38"/>
      <c r="L106" s="38"/>
      <c r="M106" s="38"/>
    </row>
    <row r="107" spans="1:13" ht="15.75" x14ac:dyDescent="0.3">
      <c r="A107" s="422"/>
      <c r="B107" s="78" t="s">
        <v>198</v>
      </c>
      <c r="C107" s="51"/>
      <c r="D107" s="52"/>
      <c r="E107" s="52"/>
      <c r="F107" s="51">
        <v>189</v>
      </c>
      <c r="G107" s="52">
        <v>1.25</v>
      </c>
      <c r="H107" s="86"/>
      <c r="I107" s="92"/>
      <c r="J107" s="285"/>
      <c r="K107" s="38"/>
      <c r="L107" s="38"/>
      <c r="M107" s="38"/>
    </row>
    <row r="108" spans="1:13" ht="16.5" x14ac:dyDescent="0.35">
      <c r="A108" s="422"/>
      <c r="B108" s="59" t="s">
        <v>146</v>
      </c>
      <c r="C108" s="60"/>
      <c r="D108" s="61">
        <f>SUM(D101:D106)</f>
        <v>24</v>
      </c>
      <c r="E108" s="61"/>
      <c r="F108" s="62"/>
      <c r="G108" s="63">
        <f>SUM(G101:G107)</f>
        <v>26.5</v>
      </c>
      <c r="H108" s="64"/>
      <c r="I108" s="99"/>
      <c r="J108" s="286"/>
      <c r="K108" s="38"/>
      <c r="L108" s="38"/>
      <c r="M108" s="38"/>
    </row>
    <row r="109" spans="1:13" ht="15.75" x14ac:dyDescent="0.3">
      <c r="A109" s="422"/>
      <c r="B109" s="65" t="s">
        <v>148</v>
      </c>
      <c r="C109" s="66"/>
      <c r="D109" s="67">
        <v>6</v>
      </c>
      <c r="E109" s="67"/>
      <c r="F109" s="67"/>
      <c r="G109" s="81">
        <v>3.5</v>
      </c>
      <c r="H109" s="81"/>
      <c r="I109" s="99"/>
      <c r="J109" s="286"/>
      <c r="K109" s="38"/>
      <c r="L109" s="38"/>
      <c r="M109" s="38"/>
    </row>
    <row r="110" spans="1:13" ht="17.25" thickBot="1" x14ac:dyDescent="0.4">
      <c r="A110" s="423"/>
      <c r="B110" s="70" t="s">
        <v>149</v>
      </c>
      <c r="C110" s="71">
        <f>SUM(C101:C107)</f>
        <v>3571</v>
      </c>
      <c r="D110" s="71">
        <f>D108+D109</f>
        <v>30</v>
      </c>
      <c r="E110" s="71"/>
      <c r="F110" s="71">
        <f>SUM(F101:F107)</f>
        <v>3049.6880000000001</v>
      </c>
      <c r="G110" s="71">
        <f>G108+G109</f>
        <v>30</v>
      </c>
      <c r="H110" s="82"/>
      <c r="I110" s="73">
        <f>F110/C110</f>
        <v>0.85401512181461781</v>
      </c>
      <c r="J110" s="287"/>
      <c r="K110" s="38"/>
      <c r="L110" s="38"/>
      <c r="M110" s="38"/>
    </row>
    <row r="111" spans="1:13" ht="15.75" x14ac:dyDescent="0.3">
      <c r="A111" s="425" t="s">
        <v>161</v>
      </c>
      <c r="B111" s="50" t="s">
        <v>199</v>
      </c>
      <c r="C111" s="76">
        <v>300</v>
      </c>
      <c r="D111" s="83">
        <v>3</v>
      </c>
      <c r="E111" s="52">
        <f t="shared" ref="E111:E116" si="3">C111/D111</f>
        <v>100</v>
      </c>
      <c r="F111" s="51">
        <v>436</v>
      </c>
      <c r="G111" s="52">
        <v>6</v>
      </c>
      <c r="H111" s="53">
        <f t="shared" ref="H111:H116" si="4">F111/G111</f>
        <v>72.666666666666671</v>
      </c>
      <c r="I111" s="92">
        <f>H111/E111</f>
        <v>0.72666666666666668</v>
      </c>
      <c r="J111" s="288" t="s">
        <v>200</v>
      </c>
      <c r="K111" s="38"/>
      <c r="L111" s="38"/>
      <c r="M111" s="38"/>
    </row>
    <row r="112" spans="1:13" ht="16.5" thickBot="1" x14ac:dyDescent="0.35">
      <c r="A112" s="426"/>
      <c r="B112" s="50" t="s">
        <v>163</v>
      </c>
      <c r="C112" s="76"/>
      <c r="D112" s="84"/>
      <c r="E112" s="52"/>
      <c r="F112" s="57">
        <v>87</v>
      </c>
      <c r="G112" s="52">
        <v>1</v>
      </c>
      <c r="H112" s="53">
        <f t="shared" si="4"/>
        <v>87</v>
      </c>
      <c r="I112" s="92"/>
      <c r="J112" s="289"/>
      <c r="K112" s="38"/>
      <c r="L112" s="38"/>
      <c r="M112" s="38"/>
    </row>
    <row r="113" spans="1:13" ht="16.5" thickBot="1" x14ac:dyDescent="0.35">
      <c r="A113" s="426"/>
      <c r="B113" s="50" t="s">
        <v>164</v>
      </c>
      <c r="C113" s="76">
        <f>80*3+20+30</f>
        <v>290</v>
      </c>
      <c r="D113" s="85">
        <v>5</v>
      </c>
      <c r="E113" s="52">
        <f t="shared" si="3"/>
        <v>58</v>
      </c>
      <c r="F113" s="57">
        <v>181</v>
      </c>
      <c r="G113" s="52">
        <v>3</v>
      </c>
      <c r="H113" s="53">
        <f t="shared" si="4"/>
        <v>60.333333333333336</v>
      </c>
      <c r="I113" s="92">
        <f>H113/E113</f>
        <v>1.0402298850574714</v>
      </c>
      <c r="J113" s="289"/>
      <c r="K113" s="38"/>
      <c r="L113" s="38"/>
      <c r="M113" s="38"/>
    </row>
    <row r="114" spans="1:13" ht="15.75" x14ac:dyDescent="0.3">
      <c r="A114" s="426"/>
      <c r="B114" s="50" t="s">
        <v>201</v>
      </c>
      <c r="C114" s="76">
        <v>165</v>
      </c>
      <c r="D114" s="83">
        <v>2</v>
      </c>
      <c r="E114" s="52">
        <f t="shared" si="3"/>
        <v>82.5</v>
      </c>
      <c r="F114" s="57">
        <v>166.32</v>
      </c>
      <c r="G114" s="52">
        <v>2</v>
      </c>
      <c r="H114" s="53">
        <f t="shared" si="4"/>
        <v>83.16</v>
      </c>
      <c r="I114" s="92">
        <f>H114/E114</f>
        <v>1.008</v>
      </c>
      <c r="J114" s="289"/>
      <c r="K114" s="38"/>
      <c r="L114" s="38"/>
      <c r="M114" s="38"/>
    </row>
    <row r="115" spans="1:13" ht="15.75" x14ac:dyDescent="0.3">
      <c r="A115" s="426"/>
      <c r="B115" s="50" t="s">
        <v>202</v>
      </c>
      <c r="C115" s="76"/>
      <c r="D115" s="84"/>
      <c r="E115" s="52"/>
      <c r="F115" s="51">
        <v>305.25099999999998</v>
      </c>
      <c r="G115" s="52">
        <v>2.5</v>
      </c>
      <c r="H115" s="53">
        <f t="shared" si="4"/>
        <v>122.10039999999999</v>
      </c>
      <c r="I115" s="92"/>
      <c r="J115" s="289"/>
      <c r="K115" s="38"/>
      <c r="L115" s="38"/>
      <c r="M115" s="38"/>
    </row>
    <row r="116" spans="1:13" ht="15.75" x14ac:dyDescent="0.3">
      <c r="A116" s="426"/>
      <c r="B116" s="50" t="s">
        <v>167</v>
      </c>
      <c r="C116" s="76">
        <f>75*4</f>
        <v>300</v>
      </c>
      <c r="D116" s="84">
        <v>4</v>
      </c>
      <c r="E116" s="52">
        <f t="shared" si="3"/>
        <v>75</v>
      </c>
      <c r="F116" s="57">
        <v>282.70499999999998</v>
      </c>
      <c r="G116" s="52">
        <v>4</v>
      </c>
      <c r="H116" s="53">
        <f t="shared" si="4"/>
        <v>70.676249999999996</v>
      </c>
      <c r="I116" s="92">
        <f>H116/E116</f>
        <v>0.94234999999999991</v>
      </c>
      <c r="J116" s="289"/>
      <c r="K116" s="38"/>
      <c r="L116" s="38"/>
      <c r="M116" s="38"/>
    </row>
    <row r="117" spans="1:13" ht="15.75" x14ac:dyDescent="0.3">
      <c r="A117" s="426"/>
      <c r="B117" s="50" t="s">
        <v>168</v>
      </c>
      <c r="C117" s="76"/>
      <c r="D117" s="84"/>
      <c r="E117" s="52"/>
      <c r="F117" s="57"/>
      <c r="G117" s="52"/>
      <c r="H117" s="86"/>
      <c r="I117" s="92"/>
      <c r="J117" s="289"/>
      <c r="K117" s="38"/>
      <c r="L117" s="38"/>
      <c r="M117" s="38"/>
    </row>
    <row r="118" spans="1:13" ht="15.75" x14ac:dyDescent="0.3">
      <c r="A118" s="426"/>
      <c r="B118" s="50" t="s">
        <v>203</v>
      </c>
      <c r="C118" s="76"/>
      <c r="D118" s="84"/>
      <c r="E118" s="52"/>
      <c r="F118" s="57">
        <v>125</v>
      </c>
      <c r="G118" s="52">
        <v>1.5</v>
      </c>
      <c r="H118" s="86"/>
      <c r="I118" s="92"/>
      <c r="J118" s="289"/>
      <c r="K118" s="38"/>
      <c r="L118" s="38"/>
      <c r="M118" s="38"/>
    </row>
    <row r="119" spans="1:13" ht="15.75" x14ac:dyDescent="0.3">
      <c r="A119" s="426"/>
      <c r="B119" s="50"/>
      <c r="C119" s="76"/>
      <c r="D119" s="84"/>
      <c r="E119" s="84"/>
      <c r="F119" s="57">
        <v>0</v>
      </c>
      <c r="G119" s="52"/>
      <c r="H119" s="86"/>
      <c r="I119" s="92"/>
      <c r="J119" s="289"/>
      <c r="K119" s="38"/>
      <c r="L119" s="38"/>
      <c r="M119" s="38"/>
    </row>
    <row r="120" spans="1:13" ht="16.5" x14ac:dyDescent="0.35">
      <c r="A120" s="426"/>
      <c r="B120" s="59" t="s">
        <v>146</v>
      </c>
      <c r="C120" s="60"/>
      <c r="D120" s="61">
        <f>SUM(D111:D118)</f>
        <v>14</v>
      </c>
      <c r="E120" s="61"/>
      <c r="F120" s="62"/>
      <c r="G120" s="63">
        <f>SUM(G111:G118)</f>
        <v>20</v>
      </c>
      <c r="H120" s="64"/>
      <c r="I120" s="92"/>
      <c r="J120" s="289"/>
      <c r="K120" s="38"/>
      <c r="L120" s="38"/>
      <c r="M120" s="38"/>
    </row>
    <row r="121" spans="1:13" ht="15.75" x14ac:dyDescent="0.3">
      <c r="A121" s="427"/>
      <c r="B121" s="65" t="s">
        <v>148</v>
      </c>
      <c r="C121" s="66"/>
      <c r="D121" s="67">
        <v>16</v>
      </c>
      <c r="E121" s="67"/>
      <c r="F121" s="67"/>
      <c r="G121" s="67">
        <f>30-G120</f>
        <v>10</v>
      </c>
      <c r="H121" s="87"/>
      <c r="I121" s="92"/>
      <c r="J121" s="290"/>
      <c r="K121" s="38"/>
      <c r="L121" s="38"/>
      <c r="M121" s="38"/>
    </row>
    <row r="122" spans="1:13" ht="17.25" thickBot="1" x14ac:dyDescent="0.4">
      <c r="A122" s="428"/>
      <c r="B122" s="70" t="s">
        <v>149</v>
      </c>
      <c r="C122" s="71">
        <f>SUM(C111:C118)</f>
        <v>1055</v>
      </c>
      <c r="D122" s="71">
        <f>D120+D121</f>
        <v>30</v>
      </c>
      <c r="E122" s="71">
        <f>SUM(E111:E118)</f>
        <v>315.5</v>
      </c>
      <c r="F122" s="71">
        <f>SUM(F111:F118)</f>
        <v>1583.2759999999998</v>
      </c>
      <c r="G122" s="71">
        <f>G121+G120</f>
        <v>30</v>
      </c>
      <c r="H122" s="82"/>
      <c r="I122" s="73">
        <f>F122/C122</f>
        <v>1.5007355450236965</v>
      </c>
      <c r="J122" s="291"/>
      <c r="K122" s="38"/>
      <c r="L122" s="38"/>
      <c r="M122" s="38"/>
    </row>
    <row r="123" spans="1:13" ht="15.75" x14ac:dyDescent="0.3">
      <c r="A123" s="425" t="s">
        <v>169</v>
      </c>
      <c r="B123" s="88" t="s">
        <v>170</v>
      </c>
      <c r="C123" s="89"/>
      <c r="D123" s="52"/>
      <c r="E123" s="52"/>
      <c r="F123" s="51"/>
      <c r="G123" s="52"/>
      <c r="H123" s="96"/>
      <c r="I123" s="91"/>
      <c r="J123" s="288"/>
      <c r="K123" s="38"/>
      <c r="L123" s="38"/>
      <c r="M123" s="38"/>
    </row>
    <row r="124" spans="1:13" ht="15.75" x14ac:dyDescent="0.3">
      <c r="A124" s="426"/>
      <c r="B124" s="80" t="s">
        <v>172</v>
      </c>
      <c r="C124" s="76"/>
      <c r="D124" s="52"/>
      <c r="E124" s="52"/>
      <c r="F124" s="57">
        <v>188.565</v>
      </c>
      <c r="G124" s="52">
        <v>8.5</v>
      </c>
      <c r="H124" s="53">
        <f>F124/G124</f>
        <v>22.184117647058823</v>
      </c>
      <c r="I124" s="92"/>
      <c r="J124" s="289"/>
      <c r="K124" s="38"/>
      <c r="L124" s="38"/>
      <c r="M124" s="38"/>
    </row>
    <row r="125" spans="1:13" ht="15.75" x14ac:dyDescent="0.3">
      <c r="A125" s="426"/>
      <c r="B125" s="80" t="s">
        <v>159</v>
      </c>
      <c r="C125" s="76">
        <v>610</v>
      </c>
      <c r="D125" s="52">
        <v>10.5</v>
      </c>
      <c r="E125" s="52">
        <f>C125/D125</f>
        <v>58.095238095238095</v>
      </c>
      <c r="F125" s="57">
        <v>994.77299999999991</v>
      </c>
      <c r="G125" s="52">
        <v>11</v>
      </c>
      <c r="H125" s="53">
        <f>F125/G125</f>
        <v>90.433909090909083</v>
      </c>
      <c r="I125" s="92">
        <f>H125/E125</f>
        <v>1.5566492548435169</v>
      </c>
      <c r="J125" s="289"/>
      <c r="K125" s="38"/>
      <c r="L125" s="38"/>
      <c r="M125" s="38"/>
    </row>
    <row r="126" spans="1:13" ht="15.75" x14ac:dyDescent="0.3">
      <c r="A126" s="426"/>
      <c r="B126" s="80" t="s">
        <v>175</v>
      </c>
      <c r="C126" s="76">
        <v>140</v>
      </c>
      <c r="D126" s="52">
        <v>3</v>
      </c>
      <c r="E126" s="52">
        <f>C126/D126</f>
        <v>46.666666666666664</v>
      </c>
      <c r="F126" s="57">
        <v>121</v>
      </c>
      <c r="G126" s="52">
        <v>3</v>
      </c>
      <c r="H126" s="53">
        <f>F126/G126</f>
        <v>40.333333333333336</v>
      </c>
      <c r="I126" s="92">
        <f>H126/E126</f>
        <v>0.86428571428571443</v>
      </c>
      <c r="J126" s="289"/>
      <c r="K126" s="38"/>
      <c r="L126" s="38"/>
      <c r="M126" s="38"/>
    </row>
    <row r="127" spans="1:13" ht="15.75" x14ac:dyDescent="0.3">
      <c r="A127" s="426"/>
      <c r="B127" s="80" t="s">
        <v>158</v>
      </c>
      <c r="C127" s="76">
        <f>95*3</f>
        <v>285</v>
      </c>
      <c r="D127" s="52">
        <v>3</v>
      </c>
      <c r="E127" s="52">
        <f>C127/D127</f>
        <v>95</v>
      </c>
      <c r="F127" s="57"/>
      <c r="G127" s="52"/>
      <c r="H127" s="99"/>
      <c r="I127" s="92"/>
      <c r="J127" s="289"/>
      <c r="K127" s="38"/>
      <c r="L127" s="38"/>
      <c r="M127" s="38"/>
    </row>
    <row r="128" spans="1:13" ht="16.5" x14ac:dyDescent="0.35">
      <c r="A128" s="427"/>
      <c r="B128" s="59" t="s">
        <v>146</v>
      </c>
      <c r="C128" s="60"/>
      <c r="D128" s="61">
        <f>SUM(D123:D126)</f>
        <v>13.5</v>
      </c>
      <c r="E128" s="61"/>
      <c r="F128" s="62"/>
      <c r="G128" s="63">
        <f>SUM(G123:G127)</f>
        <v>22.5</v>
      </c>
      <c r="H128" s="64"/>
      <c r="I128" s="92"/>
      <c r="J128" s="289"/>
      <c r="K128" s="38"/>
      <c r="L128" s="38"/>
      <c r="M128" s="38"/>
    </row>
    <row r="129" spans="1:13" ht="15.75" x14ac:dyDescent="0.3">
      <c r="A129" s="427"/>
      <c r="B129" s="65" t="s">
        <v>148</v>
      </c>
      <c r="C129" s="66"/>
      <c r="D129" s="68">
        <f>30-D128</f>
        <v>16.5</v>
      </c>
      <c r="E129" s="67"/>
      <c r="F129" s="67"/>
      <c r="G129" s="81">
        <f>30-G128</f>
        <v>7.5</v>
      </c>
      <c r="H129" s="87"/>
      <c r="I129" s="92"/>
      <c r="J129" s="289"/>
      <c r="K129" s="38"/>
      <c r="L129" s="38"/>
      <c r="M129" s="38"/>
    </row>
    <row r="130" spans="1:13" ht="17.25" thickBot="1" x14ac:dyDescent="0.4">
      <c r="A130" s="428"/>
      <c r="B130" s="70" t="s">
        <v>149</v>
      </c>
      <c r="C130" s="71">
        <f>SUM(C123:C127)</f>
        <v>1035</v>
      </c>
      <c r="D130" s="71">
        <f>D128+D129</f>
        <v>30</v>
      </c>
      <c r="E130" s="71"/>
      <c r="F130" s="71">
        <f>SUM(F123:F127)</f>
        <v>1304.338</v>
      </c>
      <c r="G130" s="71">
        <f>G128+G129</f>
        <v>30</v>
      </c>
      <c r="H130" s="58"/>
      <c r="I130" s="73">
        <f>F130/C130</f>
        <v>1.2602299516908213</v>
      </c>
      <c r="J130" s="291"/>
      <c r="K130" s="38"/>
      <c r="L130" s="38"/>
      <c r="M130" s="38"/>
    </row>
    <row r="131" spans="1:13" ht="15.75" x14ac:dyDescent="0.3">
      <c r="A131" s="406" t="s">
        <v>176</v>
      </c>
      <c r="B131" s="80" t="s">
        <v>177</v>
      </c>
      <c r="C131" s="76">
        <f>228*2</f>
        <v>456</v>
      </c>
      <c r="D131" s="52">
        <v>8</v>
      </c>
      <c r="E131" s="52">
        <f>C131/D131</f>
        <v>57</v>
      </c>
      <c r="F131" s="51">
        <v>360</v>
      </c>
      <c r="G131" s="93">
        <v>7</v>
      </c>
      <c r="H131" s="53">
        <f>F131/G131</f>
        <v>51.428571428571431</v>
      </c>
      <c r="I131" s="92">
        <f>H131/E131</f>
        <v>0.90225563909774442</v>
      </c>
      <c r="J131" s="292"/>
      <c r="K131" s="38"/>
      <c r="L131" s="38"/>
      <c r="M131" s="38"/>
    </row>
    <row r="132" spans="1:13" ht="15.75" x14ac:dyDescent="0.3">
      <c r="A132" s="407"/>
      <c r="B132" s="80" t="s">
        <v>179</v>
      </c>
      <c r="C132" s="76">
        <v>400</v>
      </c>
      <c r="D132" s="84">
        <v>4</v>
      </c>
      <c r="E132" s="52">
        <f>C132/D132</f>
        <v>100</v>
      </c>
      <c r="F132" s="51">
        <v>395.51249999999999</v>
      </c>
      <c r="G132" s="93">
        <v>4</v>
      </c>
      <c r="H132" s="53">
        <f>F132/G132</f>
        <v>98.878124999999997</v>
      </c>
      <c r="I132" s="92">
        <f>H132/E132</f>
        <v>0.98878124999999994</v>
      </c>
      <c r="J132" s="293"/>
      <c r="K132" s="38"/>
      <c r="L132" s="38"/>
      <c r="M132" s="38"/>
    </row>
    <row r="133" spans="1:13" ht="15.75" x14ac:dyDescent="0.3">
      <c r="A133" s="407"/>
      <c r="B133" s="80" t="s">
        <v>204</v>
      </c>
      <c r="C133" s="76">
        <v>500</v>
      </c>
      <c r="D133" s="52">
        <v>6</v>
      </c>
      <c r="E133" s="52">
        <f>C133/D133</f>
        <v>83.333333333333329</v>
      </c>
      <c r="F133" s="51">
        <v>335.8125</v>
      </c>
      <c r="G133" s="93">
        <v>5</v>
      </c>
      <c r="H133" s="53">
        <f>F133/G133</f>
        <v>67.162499999999994</v>
      </c>
      <c r="I133" s="92">
        <f>H133/E133</f>
        <v>0.80594999999999994</v>
      </c>
      <c r="J133" s="293"/>
      <c r="K133" s="38"/>
      <c r="L133" s="38"/>
      <c r="M133" s="38"/>
    </row>
    <row r="134" spans="1:13" ht="15.75" x14ac:dyDescent="0.3">
      <c r="A134" s="407"/>
      <c r="B134" s="80" t="s">
        <v>181</v>
      </c>
      <c r="C134" s="51">
        <v>554</v>
      </c>
      <c r="D134" s="52">
        <v>7</v>
      </c>
      <c r="E134" s="52">
        <f>C134/D134</f>
        <v>79.142857142857139</v>
      </c>
      <c r="F134" s="51">
        <v>582.07499999999993</v>
      </c>
      <c r="G134" s="93">
        <v>7.5</v>
      </c>
      <c r="H134" s="53">
        <f>F134/G134</f>
        <v>77.609999999999985</v>
      </c>
      <c r="I134" s="92">
        <f>H134/E134</f>
        <v>0.98063176895306847</v>
      </c>
      <c r="J134" s="293"/>
      <c r="K134" s="38"/>
      <c r="L134" s="38"/>
      <c r="M134" s="38"/>
    </row>
    <row r="135" spans="1:13" ht="15.75" x14ac:dyDescent="0.3">
      <c r="A135" s="407"/>
      <c r="B135" s="121"/>
      <c r="C135" s="94"/>
      <c r="D135" s="86"/>
      <c r="E135" s="86"/>
      <c r="F135" s="95"/>
      <c r="G135" s="96"/>
      <c r="H135" s="53"/>
      <c r="I135" s="92"/>
      <c r="J135" s="293"/>
      <c r="K135" s="38"/>
      <c r="L135" s="38"/>
      <c r="M135" s="38"/>
    </row>
    <row r="136" spans="1:13" ht="16.5" x14ac:dyDescent="0.35">
      <c r="A136" s="407"/>
      <c r="B136" s="59" t="s">
        <v>146</v>
      </c>
      <c r="C136" s="60"/>
      <c r="D136" s="61">
        <f>SUM(D131:D135)</f>
        <v>25</v>
      </c>
      <c r="E136" s="61"/>
      <c r="F136" s="62"/>
      <c r="G136" s="61">
        <f>SUM(G131:G135)</f>
        <v>23.5</v>
      </c>
      <c r="H136" s="61"/>
      <c r="I136" s="92"/>
      <c r="J136" s="293"/>
      <c r="K136" s="38"/>
      <c r="L136" s="38"/>
      <c r="M136" s="38"/>
    </row>
    <row r="137" spans="1:13" ht="15.75" x14ac:dyDescent="0.3">
      <c r="A137" s="407"/>
      <c r="B137" s="65" t="s">
        <v>148</v>
      </c>
      <c r="C137" s="66"/>
      <c r="D137" s="68">
        <f>30-D136</f>
        <v>5</v>
      </c>
      <c r="E137" s="67"/>
      <c r="F137" s="67"/>
      <c r="G137" s="81">
        <f>30-G136</f>
        <v>6.5</v>
      </c>
      <c r="H137" s="97"/>
      <c r="I137" s="92"/>
      <c r="J137" s="293"/>
      <c r="K137" s="38"/>
      <c r="L137" s="38"/>
      <c r="M137" s="38"/>
    </row>
    <row r="138" spans="1:13" ht="17.25" thickBot="1" x14ac:dyDescent="0.4">
      <c r="A138" s="408"/>
      <c r="B138" s="70" t="s">
        <v>149</v>
      </c>
      <c r="C138" s="71">
        <f>SUM(C131:C134)</f>
        <v>1910</v>
      </c>
      <c r="D138" s="71">
        <f>D137+D136</f>
        <v>30</v>
      </c>
      <c r="E138" s="98"/>
      <c r="F138" s="71">
        <f>SUM(F131:F134)</f>
        <v>1673.4</v>
      </c>
      <c r="G138" s="71">
        <f>G137+G136</f>
        <v>30</v>
      </c>
      <c r="H138" s="99"/>
      <c r="I138" s="73">
        <f>F138/C138</f>
        <v>0.8761256544502618</v>
      </c>
      <c r="J138" s="294"/>
      <c r="K138" s="38"/>
      <c r="L138" s="38"/>
      <c r="M138" s="38"/>
    </row>
    <row r="139" spans="1:13" ht="15.75" x14ac:dyDescent="0.3">
      <c r="A139" s="406" t="s">
        <v>183</v>
      </c>
      <c r="B139" s="50" t="s">
        <v>77</v>
      </c>
      <c r="C139" s="51">
        <f>600+600</f>
        <v>1200</v>
      </c>
      <c r="D139" s="52">
        <v>8</v>
      </c>
      <c r="E139" s="52">
        <f>C139/D139</f>
        <v>150</v>
      </c>
      <c r="F139" s="51">
        <v>1276</v>
      </c>
      <c r="G139" s="93">
        <v>9</v>
      </c>
      <c r="H139" s="96">
        <f>F139/G139</f>
        <v>141.77777777777777</v>
      </c>
      <c r="I139" s="92">
        <f>H139/E139</f>
        <v>0.94518518518518513</v>
      </c>
      <c r="J139" s="295"/>
      <c r="K139" s="38"/>
      <c r="L139" s="38"/>
      <c r="M139" s="38"/>
    </row>
    <row r="140" spans="1:13" ht="15.75" x14ac:dyDescent="0.3">
      <c r="A140" s="407"/>
      <c r="B140" s="50" t="s">
        <v>205</v>
      </c>
      <c r="C140" s="51">
        <v>600</v>
      </c>
      <c r="D140" s="52">
        <v>4.5</v>
      </c>
      <c r="E140" s="52">
        <f>C140/D140</f>
        <v>133.33333333333334</v>
      </c>
      <c r="F140" s="57">
        <v>747.22500000000002</v>
      </c>
      <c r="G140" s="93">
        <v>5.5</v>
      </c>
      <c r="H140" s="99">
        <f>F140/G140</f>
        <v>135.85909090909092</v>
      </c>
      <c r="I140" s="92">
        <f>H140/E140</f>
        <v>1.0189431818181818</v>
      </c>
      <c r="J140" s="296"/>
      <c r="K140" s="38"/>
      <c r="L140" s="38"/>
      <c r="M140" s="38"/>
    </row>
    <row r="141" spans="1:13" ht="15.75" x14ac:dyDescent="0.3">
      <c r="A141" s="407"/>
      <c r="B141" s="50" t="s">
        <v>186</v>
      </c>
      <c r="C141" s="51">
        <v>400</v>
      </c>
      <c r="D141" s="52">
        <v>4</v>
      </c>
      <c r="E141" s="52">
        <f>C141/D141</f>
        <v>100</v>
      </c>
      <c r="F141" s="51">
        <v>347</v>
      </c>
      <c r="G141" s="93">
        <v>3.5</v>
      </c>
      <c r="H141" s="99">
        <f>F141/G141</f>
        <v>99.142857142857139</v>
      </c>
      <c r="I141" s="92">
        <f>H141/E141</f>
        <v>0.99142857142857144</v>
      </c>
      <c r="J141" s="296"/>
      <c r="K141" s="38"/>
      <c r="L141" s="38"/>
      <c r="M141" s="38"/>
    </row>
    <row r="142" spans="1:13" ht="15.75" x14ac:dyDescent="0.3">
      <c r="A142" s="407"/>
      <c r="B142" s="50" t="s">
        <v>187</v>
      </c>
      <c r="C142" s="51">
        <v>550</v>
      </c>
      <c r="D142" s="52">
        <v>4</v>
      </c>
      <c r="E142" s="52">
        <f>C142/D142</f>
        <v>137.5</v>
      </c>
      <c r="F142" s="51">
        <v>480</v>
      </c>
      <c r="G142" s="93">
        <f>F142/E142</f>
        <v>3.4909090909090907</v>
      </c>
      <c r="H142" s="99">
        <f>F142/G142</f>
        <v>137.5</v>
      </c>
      <c r="I142" s="92">
        <f>H142/E142</f>
        <v>1</v>
      </c>
      <c r="J142" s="296"/>
      <c r="K142" s="38"/>
      <c r="L142" s="38"/>
      <c r="M142" s="38"/>
    </row>
    <row r="143" spans="1:13" ht="15.75" x14ac:dyDescent="0.3">
      <c r="A143" s="407"/>
      <c r="B143" s="101" t="s">
        <v>79</v>
      </c>
      <c r="C143" s="95">
        <v>500</v>
      </c>
      <c r="D143" s="102">
        <v>3.5</v>
      </c>
      <c r="E143" s="86">
        <f>C143/D143</f>
        <v>142.85714285714286</v>
      </c>
      <c r="F143" s="95">
        <v>1082.0720000000001</v>
      </c>
      <c r="G143" s="103">
        <v>7</v>
      </c>
      <c r="H143" s="99">
        <f>F143/G143</f>
        <v>154.5817142857143</v>
      </c>
      <c r="I143" s="92">
        <f>H143/E143</f>
        <v>1.0820720000000001</v>
      </c>
      <c r="J143" s="296"/>
      <c r="K143" s="38"/>
      <c r="L143" s="38"/>
      <c r="M143" s="38"/>
    </row>
    <row r="144" spans="1:13" ht="16.5" x14ac:dyDescent="0.35">
      <c r="A144" s="407"/>
      <c r="B144" s="59" t="s">
        <v>146</v>
      </c>
      <c r="C144" s="60"/>
      <c r="D144" s="61">
        <f>SUM(D139:D143)</f>
        <v>24</v>
      </c>
      <c r="E144" s="61"/>
      <c r="F144" s="62"/>
      <c r="G144" s="61">
        <f>SUM(G139:G143)</f>
        <v>28.490909090909092</v>
      </c>
      <c r="H144" s="61"/>
      <c r="I144" s="92"/>
      <c r="J144" s="296"/>
      <c r="K144" s="38"/>
      <c r="L144" s="38"/>
      <c r="M144" s="38"/>
    </row>
    <row r="145" spans="1:13" ht="15.75" x14ac:dyDescent="0.3">
      <c r="A145" s="407"/>
      <c r="B145" s="65" t="s">
        <v>148</v>
      </c>
      <c r="C145" s="66"/>
      <c r="D145" s="68">
        <f>30-D144</f>
        <v>6</v>
      </c>
      <c r="E145" s="67"/>
      <c r="F145" s="67"/>
      <c r="G145" s="81">
        <f>30-G144</f>
        <v>1.5090909090909079</v>
      </c>
      <c r="H145" s="97"/>
      <c r="I145" s="92"/>
      <c r="J145" s="296"/>
      <c r="K145" s="38"/>
      <c r="L145" s="38"/>
      <c r="M145" s="38"/>
    </row>
    <row r="146" spans="1:13" ht="17.25" thickBot="1" x14ac:dyDescent="0.4">
      <c r="A146" s="408"/>
      <c r="B146" s="70" t="s">
        <v>149</v>
      </c>
      <c r="C146" s="71">
        <f>SUM(C139:C143)</f>
        <v>3250</v>
      </c>
      <c r="D146" s="71">
        <f>SUM(D139:D143)</f>
        <v>24</v>
      </c>
      <c r="E146" s="71"/>
      <c r="F146" s="71">
        <f>SUM(F139:F143)</f>
        <v>3932.297</v>
      </c>
      <c r="G146" s="104">
        <f>SUM(G139:G143)</f>
        <v>28.490909090909092</v>
      </c>
      <c r="H146" s="105"/>
      <c r="I146" s="73">
        <f>F146/C146</f>
        <v>1.2099375384615385</v>
      </c>
      <c r="J146" s="297"/>
      <c r="K146" s="38"/>
      <c r="L146" s="38"/>
      <c r="M146" s="38"/>
    </row>
    <row r="147" spans="1:13" ht="15.75" x14ac:dyDescent="0.3">
      <c r="A147" s="407" t="s">
        <v>188</v>
      </c>
      <c r="B147" s="106"/>
      <c r="C147" s="76"/>
      <c r="D147" s="84"/>
      <c r="E147" s="52"/>
      <c r="F147" s="57"/>
      <c r="G147" s="93"/>
      <c r="H147" s="99"/>
      <c r="I147" s="107"/>
      <c r="J147" s="295"/>
      <c r="K147" s="38"/>
      <c r="L147" s="38"/>
      <c r="M147" s="38"/>
    </row>
    <row r="148" spans="1:13" ht="16.5" x14ac:dyDescent="0.35">
      <c r="A148" s="407"/>
      <c r="B148" s="65" t="s">
        <v>189</v>
      </c>
      <c r="C148" s="66"/>
      <c r="D148" s="108">
        <f>30-D147</f>
        <v>30</v>
      </c>
      <c r="E148" s="109"/>
      <c r="F148" s="109"/>
      <c r="G148" s="110">
        <f>30-G147</f>
        <v>30</v>
      </c>
      <c r="H148" s="68"/>
      <c r="I148" s="92"/>
      <c r="J148" s="296"/>
      <c r="K148" s="38"/>
      <c r="L148" s="38"/>
      <c r="M148" s="38"/>
    </row>
    <row r="149" spans="1:13" ht="17.25" thickBot="1" x14ac:dyDescent="0.4">
      <c r="A149" s="408"/>
      <c r="B149" s="111" t="s">
        <v>149</v>
      </c>
      <c r="C149" s="82">
        <f>SUM(C147:C148)</f>
        <v>0</v>
      </c>
      <c r="D149" s="82"/>
      <c r="E149" s="82"/>
      <c r="F149" s="82"/>
      <c r="G149" s="82"/>
      <c r="H149" s="112"/>
      <c r="I149" s="113"/>
      <c r="J149" s="297"/>
      <c r="K149" s="38"/>
      <c r="L149" s="38"/>
      <c r="M149" s="38"/>
    </row>
    <row r="150" spans="1:13" ht="15.75" x14ac:dyDescent="0.3">
      <c r="A150" s="407" t="s">
        <v>190</v>
      </c>
      <c r="B150" s="50"/>
      <c r="C150" s="51"/>
      <c r="D150" s="52"/>
      <c r="E150" s="52"/>
      <c r="F150" s="51"/>
      <c r="G150" s="93"/>
      <c r="H150" s="99"/>
      <c r="I150" s="92"/>
      <c r="J150" s="295"/>
      <c r="K150" s="38"/>
      <c r="L150" s="38"/>
      <c r="M150" s="38"/>
    </row>
    <row r="151" spans="1:13" ht="15.75" x14ac:dyDescent="0.3">
      <c r="A151" s="407"/>
      <c r="B151" s="101" t="s">
        <v>206</v>
      </c>
      <c r="C151" s="95">
        <v>255</v>
      </c>
      <c r="D151" s="102">
        <v>15</v>
      </c>
      <c r="E151" s="86">
        <f>C151/D151</f>
        <v>17</v>
      </c>
      <c r="F151" s="95">
        <v>259</v>
      </c>
      <c r="G151" s="103">
        <v>16</v>
      </c>
      <c r="H151" s="99">
        <f>F151/G151</f>
        <v>16.1875</v>
      </c>
      <c r="I151" s="92">
        <f>H151/E151</f>
        <v>0.95220588235294112</v>
      </c>
      <c r="J151" s="296"/>
      <c r="K151" s="38"/>
      <c r="L151" s="38"/>
      <c r="M151" s="38"/>
    </row>
    <row r="152" spans="1:13" ht="15.75" x14ac:dyDescent="0.3">
      <c r="A152" s="407"/>
      <c r="B152" s="101" t="s">
        <v>207</v>
      </c>
      <c r="C152" s="114"/>
      <c r="D152" s="102"/>
      <c r="E152" s="86"/>
      <c r="F152" s="95">
        <v>81</v>
      </c>
      <c r="G152" s="103">
        <v>5</v>
      </c>
      <c r="H152" s="99">
        <f>F152/G152</f>
        <v>16.2</v>
      </c>
      <c r="I152" s="92"/>
      <c r="J152" s="296"/>
      <c r="K152" s="38"/>
      <c r="L152" s="38"/>
      <c r="M152" s="38"/>
    </row>
    <row r="153" spans="1:13" ht="16.5" x14ac:dyDescent="0.35">
      <c r="A153" s="407"/>
      <c r="B153" s="59" t="s">
        <v>146</v>
      </c>
      <c r="C153" s="60"/>
      <c r="D153" s="61">
        <f>SUM(D151:D152)</f>
        <v>15</v>
      </c>
      <c r="E153" s="61"/>
      <c r="F153" s="62"/>
      <c r="G153" s="61">
        <f>SUM(G151:G152)</f>
        <v>21</v>
      </c>
      <c r="H153" s="61"/>
      <c r="I153" s="92"/>
      <c r="J153" s="296"/>
      <c r="K153" s="38"/>
      <c r="L153" s="38"/>
      <c r="M153" s="38"/>
    </row>
    <row r="154" spans="1:13" ht="15.75" x14ac:dyDescent="0.3">
      <c r="A154" s="407"/>
      <c r="B154" s="65" t="s">
        <v>148</v>
      </c>
      <c r="C154" s="66"/>
      <c r="D154" s="68">
        <f>30-D153</f>
        <v>15</v>
      </c>
      <c r="E154" s="67"/>
      <c r="F154" s="67"/>
      <c r="G154" s="81">
        <f>30-G153</f>
        <v>9</v>
      </c>
      <c r="H154" s="97"/>
      <c r="I154" s="92"/>
      <c r="J154" s="296"/>
      <c r="K154" s="38"/>
      <c r="L154" s="38"/>
      <c r="M154" s="38"/>
    </row>
    <row r="155" spans="1:13" ht="17.25" thickBot="1" x14ac:dyDescent="0.4">
      <c r="A155" s="408"/>
      <c r="B155" s="70" t="s">
        <v>149</v>
      </c>
      <c r="C155" s="71">
        <f>SUM(C151:C152)</f>
        <v>255</v>
      </c>
      <c r="D155" s="71">
        <f>D154+D153</f>
        <v>30</v>
      </c>
      <c r="E155" s="71"/>
      <c r="F155" s="71">
        <f>SUM(F151:F152)</f>
        <v>340</v>
      </c>
      <c r="G155" s="71">
        <f>G154+G153</f>
        <v>30</v>
      </c>
      <c r="H155" s="105"/>
      <c r="I155" s="73">
        <f>F155/C155</f>
        <v>1.3333333333333333</v>
      </c>
      <c r="J155" s="297"/>
      <c r="K155" s="38"/>
      <c r="L155" s="38"/>
      <c r="M155" s="38"/>
    </row>
    <row r="156" spans="1:13" ht="19.5" x14ac:dyDescent="0.35">
      <c r="A156" s="234"/>
      <c r="B156" s="101" t="s">
        <v>185</v>
      </c>
      <c r="C156" s="95">
        <v>300</v>
      </c>
      <c r="D156" s="102">
        <v>6</v>
      </c>
      <c r="E156" s="86">
        <f>C156/D156</f>
        <v>50</v>
      </c>
      <c r="F156" s="95">
        <v>86</v>
      </c>
      <c r="G156" s="122">
        <v>2</v>
      </c>
      <c r="H156" s="99">
        <f>F156/G156</f>
        <v>43</v>
      </c>
      <c r="I156" s="92">
        <f>H156/E156</f>
        <v>0.86</v>
      </c>
      <c r="J156" s="276"/>
      <c r="K156" s="38"/>
      <c r="L156" s="38"/>
      <c r="M156" s="38"/>
    </row>
    <row r="157" spans="1:13" ht="15.75" x14ac:dyDescent="0.3">
      <c r="A157" s="407" t="s">
        <v>194</v>
      </c>
      <c r="B157" s="101" t="s">
        <v>208</v>
      </c>
      <c r="C157" s="95">
        <v>200</v>
      </c>
      <c r="D157" s="102">
        <v>4</v>
      </c>
      <c r="E157" s="86">
        <f>C157/D157</f>
        <v>50</v>
      </c>
      <c r="F157" s="95">
        <v>352.73199999999997</v>
      </c>
      <c r="G157" s="103">
        <v>7</v>
      </c>
      <c r="H157" s="99">
        <f>F157/G157</f>
        <v>50.39028571428571</v>
      </c>
      <c r="I157" s="92">
        <f>H157/E157</f>
        <v>1.0078057142857142</v>
      </c>
      <c r="J157" s="277"/>
      <c r="K157" s="38"/>
      <c r="L157" s="38"/>
      <c r="M157" s="38"/>
    </row>
    <row r="158" spans="1:13" ht="15.75" x14ac:dyDescent="0.3">
      <c r="A158" s="407"/>
      <c r="B158" s="101"/>
      <c r="C158" s="114"/>
      <c r="D158" s="102"/>
      <c r="E158" s="86"/>
      <c r="F158" s="95"/>
      <c r="G158" s="103"/>
      <c r="H158" s="99"/>
      <c r="I158" s="92"/>
      <c r="J158" s="277"/>
      <c r="K158" s="38"/>
      <c r="L158" s="38"/>
      <c r="M158" s="38"/>
    </row>
    <row r="159" spans="1:13" ht="16.5" x14ac:dyDescent="0.35">
      <c r="A159" s="407"/>
      <c r="B159" s="59" t="s">
        <v>146</v>
      </c>
      <c r="C159" s="60"/>
      <c r="D159" s="61">
        <f>SUM(D156:D158)</f>
        <v>10</v>
      </c>
      <c r="E159" s="61"/>
      <c r="F159" s="62"/>
      <c r="G159" s="61">
        <f>SUM(G157:G158)</f>
        <v>7</v>
      </c>
      <c r="H159" s="61"/>
      <c r="I159" s="92"/>
      <c r="J159" s="277"/>
      <c r="K159" s="38"/>
      <c r="L159" s="38"/>
      <c r="M159" s="38"/>
    </row>
    <row r="160" spans="1:13" ht="15.75" x14ac:dyDescent="0.3">
      <c r="A160" s="407"/>
      <c r="B160" s="65" t="s">
        <v>148</v>
      </c>
      <c r="C160" s="66"/>
      <c r="D160" s="68">
        <f>30-D159</f>
        <v>20</v>
      </c>
      <c r="E160" s="67"/>
      <c r="F160" s="67"/>
      <c r="G160" s="81">
        <f>30-G159</f>
        <v>23</v>
      </c>
      <c r="H160" s="97"/>
      <c r="I160" s="92"/>
      <c r="J160" s="277"/>
      <c r="K160" s="38"/>
      <c r="L160" s="38"/>
      <c r="M160" s="38"/>
    </row>
    <row r="161" spans="1:13" ht="17.25" thickBot="1" x14ac:dyDescent="0.4">
      <c r="A161" s="408"/>
      <c r="B161" s="70" t="s">
        <v>149</v>
      </c>
      <c r="C161" s="71">
        <f>SUM(C156:C158)</f>
        <v>500</v>
      </c>
      <c r="D161" s="71">
        <f>D160+D159</f>
        <v>30</v>
      </c>
      <c r="E161" s="71"/>
      <c r="F161" s="71">
        <f>SUM(F157:F158)</f>
        <v>352.73199999999997</v>
      </c>
      <c r="G161" s="71">
        <f>G160+G159</f>
        <v>30</v>
      </c>
      <c r="H161" s="105"/>
      <c r="I161" s="73">
        <f>F161/C161</f>
        <v>0.70546399999999998</v>
      </c>
      <c r="J161" s="278"/>
      <c r="K161" s="38"/>
      <c r="L161" s="38"/>
      <c r="M161" s="38"/>
    </row>
    <row r="162" spans="1:13" x14ac:dyDescent="0.25">
      <c r="A162" s="39"/>
      <c r="B162" s="119"/>
      <c r="C162" s="120"/>
      <c r="D162" s="117"/>
      <c r="E162" s="117"/>
      <c r="F162" s="120"/>
      <c r="G162" s="117"/>
      <c r="H162" s="117"/>
      <c r="I162" s="117"/>
      <c r="J162" s="118"/>
      <c r="K162" s="38"/>
      <c r="L162" s="38"/>
      <c r="M162" s="38"/>
    </row>
    <row r="163" spans="1:13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118"/>
      <c r="K163" s="38"/>
      <c r="L163" s="38"/>
      <c r="M163" s="38"/>
    </row>
    <row r="164" spans="1:13" ht="21" x14ac:dyDescent="0.4">
      <c r="A164" s="37" t="s">
        <v>209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8"/>
      <c r="L164" s="38"/>
      <c r="M164" s="38"/>
    </row>
    <row r="165" spans="1:13" ht="17.25" thickBot="1" x14ac:dyDescent="0.4">
      <c r="A165" s="40"/>
      <c r="B165" s="41"/>
      <c r="C165" s="42"/>
      <c r="D165" s="42"/>
      <c r="E165" s="42"/>
      <c r="F165" s="42"/>
      <c r="G165" s="42"/>
      <c r="H165" s="42"/>
      <c r="I165" s="42"/>
      <c r="J165" s="43"/>
      <c r="K165" s="38"/>
      <c r="L165" s="38"/>
      <c r="M165" s="38"/>
    </row>
    <row r="166" spans="1:13" ht="16.5" x14ac:dyDescent="0.35">
      <c r="A166" s="409" t="s">
        <v>128</v>
      </c>
      <c r="B166" s="44"/>
      <c r="C166" s="45"/>
      <c r="D166" s="45"/>
      <c r="E166" s="45"/>
      <c r="F166" s="45"/>
      <c r="G166" s="411" t="s">
        <v>129</v>
      </c>
      <c r="H166" s="233"/>
      <c r="I166" s="413" t="s">
        <v>130</v>
      </c>
      <c r="J166" s="279" t="s">
        <v>131</v>
      </c>
      <c r="K166" s="38"/>
      <c r="L166" s="38"/>
      <c r="M166" s="38"/>
    </row>
    <row r="167" spans="1:13" ht="66.75" thickBot="1" x14ac:dyDescent="0.3">
      <c r="A167" s="435"/>
      <c r="B167" s="46"/>
      <c r="C167" s="47" t="s">
        <v>132</v>
      </c>
      <c r="D167" s="48" t="s">
        <v>133</v>
      </c>
      <c r="E167" s="48" t="s">
        <v>134</v>
      </c>
      <c r="F167" s="49" t="s">
        <v>135</v>
      </c>
      <c r="G167" s="412"/>
      <c r="H167" s="48" t="s">
        <v>136</v>
      </c>
      <c r="I167" s="436"/>
      <c r="J167" s="280"/>
      <c r="K167" s="38"/>
      <c r="L167" s="38"/>
      <c r="M167" s="38"/>
    </row>
    <row r="168" spans="1:13" ht="15.75" x14ac:dyDescent="0.3">
      <c r="A168" s="429" t="s">
        <v>137</v>
      </c>
      <c r="B168" s="50" t="s">
        <v>138</v>
      </c>
      <c r="C168" s="51">
        <v>3300</v>
      </c>
      <c r="D168" s="123">
        <f>4+7</f>
        <v>11</v>
      </c>
      <c r="E168" s="52">
        <f>C168/D168</f>
        <v>300</v>
      </c>
      <c r="F168" s="51">
        <v>2213.0149999999999</v>
      </c>
      <c r="G168" s="53">
        <v>7</v>
      </c>
      <c r="H168" s="53">
        <f>F168/G168</f>
        <v>316.14499999999998</v>
      </c>
      <c r="I168" s="54">
        <f>H168/E168</f>
        <v>1.0538166666666666</v>
      </c>
      <c r="J168" s="281" t="s">
        <v>210</v>
      </c>
      <c r="K168" s="38"/>
      <c r="L168" s="38"/>
      <c r="M168" s="38"/>
    </row>
    <row r="169" spans="1:13" ht="15.75" x14ac:dyDescent="0.3">
      <c r="A169" s="430"/>
      <c r="B169" s="56" t="s">
        <v>140</v>
      </c>
      <c r="C169" s="57">
        <v>1300</v>
      </c>
      <c r="D169" s="53">
        <v>6</v>
      </c>
      <c r="E169" s="52">
        <f>C169/D169</f>
        <v>216.66666666666666</v>
      </c>
      <c r="F169" s="57">
        <v>1534.8700000000001</v>
      </c>
      <c r="G169" s="53">
        <v>7</v>
      </c>
      <c r="H169" s="53">
        <f>F169/G169</f>
        <v>219.26714285714289</v>
      </c>
      <c r="I169" s="54">
        <f>H169/E169</f>
        <v>1.012002197802198</v>
      </c>
      <c r="J169" s="282"/>
      <c r="K169" s="38"/>
      <c r="L169" s="38"/>
      <c r="M169" s="38"/>
    </row>
    <row r="170" spans="1:13" ht="15.75" x14ac:dyDescent="0.3">
      <c r="A170" s="430"/>
      <c r="B170" s="56" t="s">
        <v>141</v>
      </c>
      <c r="C170" s="57"/>
      <c r="D170" s="58"/>
      <c r="E170" s="57"/>
      <c r="F170" s="57"/>
      <c r="G170" s="53"/>
      <c r="H170" s="53"/>
      <c r="I170" s="53"/>
      <c r="J170" s="282"/>
      <c r="K170" s="38"/>
      <c r="L170" s="38"/>
      <c r="M170" s="38"/>
    </row>
    <row r="171" spans="1:13" ht="15.75" x14ac:dyDescent="0.3">
      <c r="A171" s="430"/>
      <c r="B171" s="56" t="s">
        <v>142</v>
      </c>
      <c r="C171" s="57">
        <v>1948</v>
      </c>
      <c r="D171" s="58">
        <v>9</v>
      </c>
      <c r="E171" s="52">
        <f>C171/D171</f>
        <v>216.44444444444446</v>
      </c>
      <c r="F171" s="57">
        <v>2613.9300000000003</v>
      </c>
      <c r="G171" s="53">
        <v>11</v>
      </c>
      <c r="H171" s="53">
        <f>F171/G171</f>
        <v>237.63000000000002</v>
      </c>
      <c r="I171" s="54">
        <f>H171/E171</f>
        <v>1.0978798767967146</v>
      </c>
      <c r="J171" s="282"/>
      <c r="K171" s="38"/>
      <c r="L171" s="38"/>
      <c r="M171" s="38"/>
    </row>
    <row r="172" spans="1:13" ht="15.75" x14ac:dyDescent="0.3">
      <c r="A172" s="430"/>
      <c r="B172" s="56" t="s">
        <v>143</v>
      </c>
      <c r="C172" s="57"/>
      <c r="D172" s="58"/>
      <c r="E172" s="52"/>
      <c r="F172" s="57"/>
      <c r="G172" s="53"/>
      <c r="H172" s="53"/>
      <c r="I172" s="53"/>
      <c r="J172" s="282"/>
      <c r="K172" s="38"/>
      <c r="L172" s="38"/>
      <c r="M172" s="38"/>
    </row>
    <row r="173" spans="1:13" ht="15.75" x14ac:dyDescent="0.3">
      <c r="A173" s="430"/>
      <c r="B173" s="56" t="s">
        <v>144</v>
      </c>
      <c r="C173" s="57"/>
      <c r="D173" s="58"/>
      <c r="E173" s="52"/>
      <c r="F173" s="57"/>
      <c r="G173" s="53"/>
      <c r="H173" s="53"/>
      <c r="I173" s="53"/>
      <c r="J173" s="282"/>
      <c r="K173" s="38"/>
      <c r="L173" s="38"/>
      <c r="M173" s="38"/>
    </row>
    <row r="174" spans="1:13" ht="15.75" x14ac:dyDescent="0.3">
      <c r="A174" s="430"/>
      <c r="B174" s="56" t="s">
        <v>145</v>
      </c>
      <c r="C174" s="57"/>
      <c r="D174" s="58"/>
      <c r="E174" s="52"/>
      <c r="F174" s="57"/>
      <c r="G174" s="53"/>
      <c r="H174" s="53"/>
      <c r="I174" s="54"/>
      <c r="J174" s="282"/>
      <c r="K174" s="38"/>
      <c r="L174" s="38"/>
      <c r="M174" s="38"/>
    </row>
    <row r="175" spans="1:13" ht="15.75" x14ac:dyDescent="0.3">
      <c r="A175" s="430"/>
      <c r="B175" s="56"/>
      <c r="C175" s="57"/>
      <c r="D175" s="58"/>
      <c r="E175" s="52"/>
      <c r="F175" s="57"/>
      <c r="G175" s="53"/>
      <c r="H175" s="53"/>
      <c r="I175" s="53"/>
      <c r="J175" s="282"/>
      <c r="K175" s="38"/>
      <c r="L175" s="38"/>
      <c r="M175" s="38"/>
    </row>
    <row r="176" spans="1:13" ht="16.5" x14ac:dyDescent="0.35">
      <c r="A176" s="431"/>
      <c r="B176" s="59" t="s">
        <v>146</v>
      </c>
      <c r="C176" s="60"/>
      <c r="D176" s="61">
        <f>SUM(D168:D175)</f>
        <v>26</v>
      </c>
      <c r="E176" s="61"/>
      <c r="F176" s="62"/>
      <c r="G176" s="63">
        <f>SUM(G168:G175)</f>
        <v>25</v>
      </c>
      <c r="H176" s="64"/>
      <c r="I176" s="53"/>
      <c r="J176" s="282"/>
      <c r="K176" s="38"/>
      <c r="L176" s="38"/>
      <c r="M176" s="38"/>
    </row>
    <row r="177" spans="1:13" ht="16.5" x14ac:dyDescent="0.35">
      <c r="A177" s="431"/>
      <c r="B177" s="59" t="s">
        <v>147</v>
      </c>
      <c r="C177" s="60"/>
      <c r="D177" s="61">
        <v>0</v>
      </c>
      <c r="E177" s="62"/>
      <c r="F177" s="62"/>
      <c r="G177" s="63">
        <v>3</v>
      </c>
      <c r="H177" s="64"/>
      <c r="I177" s="53"/>
      <c r="J177" s="282"/>
      <c r="K177" s="38"/>
      <c r="L177" s="38"/>
      <c r="M177" s="38"/>
    </row>
    <row r="178" spans="1:13" ht="15.75" x14ac:dyDescent="0.3">
      <c r="A178" s="432"/>
      <c r="B178" s="65" t="s">
        <v>148</v>
      </c>
      <c r="C178" s="66"/>
      <c r="D178" s="67">
        <v>5</v>
      </c>
      <c r="E178" s="67"/>
      <c r="F178" s="67"/>
      <c r="G178" s="68">
        <v>3</v>
      </c>
      <c r="H178" s="69"/>
      <c r="I178" s="53"/>
      <c r="J178" s="282"/>
      <c r="K178" s="38"/>
      <c r="L178" s="38"/>
      <c r="M178" s="38"/>
    </row>
    <row r="179" spans="1:13" ht="17.25" thickBot="1" x14ac:dyDescent="0.4">
      <c r="A179" s="433"/>
      <c r="B179" s="70" t="s">
        <v>149</v>
      </c>
      <c r="C179" s="71">
        <f>SUM(C168:C174)</f>
        <v>6548</v>
      </c>
      <c r="D179" s="71">
        <f>D176+D177+D178</f>
        <v>31</v>
      </c>
      <c r="E179" s="71">
        <f>E176+E177+E178</f>
        <v>0</v>
      </c>
      <c r="F179" s="72">
        <f>SUM(F168:F175)</f>
        <v>6361.8150000000005</v>
      </c>
      <c r="G179" s="71">
        <f>G176+G177+G178</f>
        <v>31</v>
      </c>
      <c r="H179" s="71"/>
      <c r="I179" s="73">
        <f>F179/C179</f>
        <v>0.97156612706169831</v>
      </c>
      <c r="J179" s="283"/>
      <c r="K179" s="38"/>
      <c r="L179" s="38"/>
      <c r="M179" s="38"/>
    </row>
    <row r="180" spans="1:13" ht="15.75" x14ac:dyDescent="0.3">
      <c r="A180" s="421" t="s">
        <v>150</v>
      </c>
      <c r="B180" s="50" t="s">
        <v>211</v>
      </c>
      <c r="C180" s="76">
        <f>2239+324</f>
        <v>2563</v>
      </c>
      <c r="D180" s="52">
        <v>11</v>
      </c>
      <c r="E180" s="52">
        <f>C180/D180</f>
        <v>233</v>
      </c>
      <c r="F180" s="51">
        <f>3100.527+822.87</f>
        <v>3923.3969999999999</v>
      </c>
      <c r="G180" s="52">
        <f>11+2</f>
        <v>13</v>
      </c>
      <c r="H180" s="53">
        <f>F180/G180</f>
        <v>301.79976923076924</v>
      </c>
      <c r="I180" s="91">
        <f>H180/E180</f>
        <v>1.2952779795311984</v>
      </c>
      <c r="J180" s="284" t="s">
        <v>212</v>
      </c>
      <c r="K180" s="38"/>
      <c r="L180" s="38"/>
      <c r="M180" s="38"/>
    </row>
    <row r="181" spans="1:13" ht="15.75" x14ac:dyDescent="0.3">
      <c r="A181" s="422"/>
      <c r="B181" s="50" t="s">
        <v>154</v>
      </c>
      <c r="C181" s="76"/>
      <c r="D181" s="52"/>
      <c r="E181" s="52"/>
      <c r="F181" s="52"/>
      <c r="G181" s="52"/>
      <c r="H181" s="53"/>
      <c r="I181" s="92"/>
      <c r="J181" s="285"/>
      <c r="K181" s="38"/>
      <c r="L181" s="38"/>
      <c r="M181" s="38"/>
    </row>
    <row r="182" spans="1:13" ht="15.75" x14ac:dyDescent="0.3">
      <c r="A182" s="422"/>
      <c r="B182" s="50" t="s">
        <v>155</v>
      </c>
      <c r="C182" s="57"/>
      <c r="D182" s="58"/>
      <c r="E182" s="52"/>
      <c r="F182" s="57">
        <v>359.15999999999997</v>
      </c>
      <c r="G182" s="52">
        <v>3</v>
      </c>
      <c r="H182" s="53">
        <f>F182/G182</f>
        <v>119.71999999999998</v>
      </c>
      <c r="I182" s="91"/>
      <c r="J182" s="285"/>
      <c r="K182" s="38"/>
      <c r="L182" s="38"/>
      <c r="M182" s="38"/>
    </row>
    <row r="183" spans="1:13" ht="15.75" x14ac:dyDescent="0.3">
      <c r="A183" s="422"/>
      <c r="B183" s="78" t="s">
        <v>156</v>
      </c>
      <c r="C183" s="51">
        <v>210</v>
      </c>
      <c r="D183" s="52">
        <v>4</v>
      </c>
      <c r="E183" s="52">
        <f>C183/D183</f>
        <v>52.5</v>
      </c>
      <c r="F183" s="79"/>
      <c r="G183" s="52"/>
      <c r="H183" s="53"/>
      <c r="I183" s="92">
        <f>H183/E183</f>
        <v>0</v>
      </c>
      <c r="J183" s="285"/>
      <c r="K183" s="38"/>
      <c r="L183" s="38"/>
      <c r="M183" s="38"/>
    </row>
    <row r="184" spans="1:13" ht="15.75" x14ac:dyDescent="0.3">
      <c r="A184" s="422"/>
      <c r="B184" s="78" t="s">
        <v>213</v>
      </c>
      <c r="C184" s="51">
        <v>570</v>
      </c>
      <c r="D184" s="52">
        <v>5</v>
      </c>
      <c r="E184" s="52">
        <f>C184/D184</f>
        <v>114</v>
      </c>
      <c r="F184" s="51">
        <v>1083.4839999999999</v>
      </c>
      <c r="G184" s="52">
        <v>8</v>
      </c>
      <c r="H184" s="53">
        <f>F184/G184</f>
        <v>135.43549999999999</v>
      </c>
      <c r="I184" s="92">
        <f>H184/E184</f>
        <v>1.1880307017543859</v>
      </c>
      <c r="J184" s="285"/>
      <c r="K184" s="38"/>
      <c r="L184" s="38"/>
      <c r="M184" s="38"/>
    </row>
    <row r="185" spans="1:13" ht="15.75" x14ac:dyDescent="0.3">
      <c r="A185" s="422"/>
      <c r="B185" s="78" t="s">
        <v>214</v>
      </c>
      <c r="C185" s="51">
        <v>280</v>
      </c>
      <c r="D185" s="52">
        <v>3</v>
      </c>
      <c r="E185" s="52">
        <f>C185/D185</f>
        <v>93.333333333333329</v>
      </c>
      <c r="F185" s="79">
        <v>295</v>
      </c>
      <c r="G185" s="52">
        <v>2</v>
      </c>
      <c r="H185" s="53">
        <f>F185/G185</f>
        <v>147.5</v>
      </c>
      <c r="I185" s="92">
        <f>H185/E185</f>
        <v>1.580357142857143</v>
      </c>
      <c r="J185" s="285"/>
      <c r="K185" s="38"/>
      <c r="L185" s="38"/>
      <c r="M185" s="38"/>
    </row>
    <row r="186" spans="1:13" ht="15.75" x14ac:dyDescent="0.3">
      <c r="A186" s="422"/>
      <c r="B186" s="78" t="s">
        <v>157</v>
      </c>
      <c r="C186" s="51">
        <v>140</v>
      </c>
      <c r="D186" s="52">
        <v>2</v>
      </c>
      <c r="E186" s="52">
        <f>C186/D186</f>
        <v>70</v>
      </c>
      <c r="F186" s="79"/>
      <c r="G186" s="52"/>
      <c r="H186" s="53"/>
      <c r="I186" s="92">
        <f>H186/E186</f>
        <v>0</v>
      </c>
      <c r="J186" s="285"/>
      <c r="K186" s="38"/>
      <c r="L186" s="38"/>
      <c r="M186" s="38"/>
    </row>
    <row r="187" spans="1:13" ht="15.75" x14ac:dyDescent="0.3">
      <c r="A187" s="422"/>
      <c r="B187" s="78" t="s">
        <v>158</v>
      </c>
      <c r="C187" s="51">
        <v>100</v>
      </c>
      <c r="D187" s="52">
        <v>1</v>
      </c>
      <c r="E187" s="52">
        <f>C187/D187</f>
        <v>100</v>
      </c>
      <c r="F187" s="79">
        <v>221</v>
      </c>
      <c r="G187" s="52">
        <v>2.2999999999999998</v>
      </c>
      <c r="H187" s="53">
        <f>F187/G187</f>
        <v>96.08695652173914</v>
      </c>
      <c r="I187" s="92">
        <f>H187/E187</f>
        <v>0.96086956521739142</v>
      </c>
      <c r="J187" s="285"/>
      <c r="K187" s="38"/>
      <c r="L187" s="38"/>
      <c r="M187" s="38"/>
    </row>
    <row r="188" spans="1:13" ht="15.75" x14ac:dyDescent="0.3">
      <c r="A188" s="422"/>
      <c r="B188" s="78" t="s">
        <v>198</v>
      </c>
      <c r="C188" s="51"/>
      <c r="D188" s="52"/>
      <c r="E188" s="52"/>
      <c r="F188" s="51"/>
      <c r="G188" s="52"/>
      <c r="H188" s="86"/>
      <c r="I188" s="92"/>
      <c r="J188" s="285"/>
      <c r="K188" s="38"/>
      <c r="L188" s="38"/>
      <c r="M188" s="38"/>
    </row>
    <row r="189" spans="1:13" ht="16.5" x14ac:dyDescent="0.35">
      <c r="A189" s="422"/>
      <c r="B189" s="59" t="s">
        <v>146</v>
      </c>
      <c r="C189" s="60"/>
      <c r="D189" s="61">
        <f>SUM(D180:D187)</f>
        <v>26</v>
      </c>
      <c r="E189" s="61"/>
      <c r="F189" s="62"/>
      <c r="G189" s="63">
        <f>SUM(G180:G188)</f>
        <v>28.3</v>
      </c>
      <c r="H189" s="64"/>
      <c r="I189" s="99"/>
      <c r="J189" s="286"/>
      <c r="K189" s="38"/>
      <c r="L189" s="38"/>
      <c r="M189" s="38"/>
    </row>
    <row r="190" spans="1:13" ht="15.75" x14ac:dyDescent="0.3">
      <c r="A190" s="422"/>
      <c r="B190" s="65" t="s">
        <v>148</v>
      </c>
      <c r="C190" s="66"/>
      <c r="D190" s="67">
        <v>5</v>
      </c>
      <c r="E190" s="67"/>
      <c r="F190" s="67"/>
      <c r="G190" s="81">
        <f>31-G189</f>
        <v>2.6999999999999993</v>
      </c>
      <c r="H190" s="81"/>
      <c r="I190" s="99"/>
      <c r="J190" s="286"/>
      <c r="K190" s="38"/>
      <c r="L190" s="38"/>
      <c r="M190" s="38"/>
    </row>
    <row r="191" spans="1:13" ht="17.25" thickBot="1" x14ac:dyDescent="0.4">
      <c r="A191" s="423"/>
      <c r="B191" s="70" t="s">
        <v>149</v>
      </c>
      <c r="C191" s="71">
        <f>SUM(C180:C188)</f>
        <v>3863</v>
      </c>
      <c r="D191" s="71">
        <f>D189+D190</f>
        <v>31</v>
      </c>
      <c r="E191" s="71"/>
      <c r="F191" s="71">
        <f>SUM(F180:F188)</f>
        <v>5882.0409999999993</v>
      </c>
      <c r="G191" s="71">
        <f>G189+G190</f>
        <v>31</v>
      </c>
      <c r="H191" s="82"/>
      <c r="I191" s="73">
        <f>F191/C191</f>
        <v>1.5226614030546206</v>
      </c>
      <c r="J191" s="287"/>
      <c r="K191" s="38"/>
      <c r="L191" s="38"/>
      <c r="M191" s="38"/>
    </row>
    <row r="192" spans="1:13" ht="15.75" x14ac:dyDescent="0.3">
      <c r="A192" s="425" t="s">
        <v>161</v>
      </c>
      <c r="B192" s="50" t="s">
        <v>199</v>
      </c>
      <c r="C192" s="76">
        <v>940</v>
      </c>
      <c r="D192" s="83">
        <v>12</v>
      </c>
      <c r="E192" s="52">
        <f t="shared" ref="E192:E198" si="5">C192/D192</f>
        <v>78.333333333333329</v>
      </c>
      <c r="F192" s="51">
        <v>848.1</v>
      </c>
      <c r="G192" s="52">
        <v>11</v>
      </c>
      <c r="H192" s="53">
        <f t="shared" ref="H192:H198" si="6">F192/G192</f>
        <v>77.100000000000009</v>
      </c>
      <c r="I192" s="92">
        <f>H192/E192</f>
        <v>0.98425531914893638</v>
      </c>
      <c r="J192" s="288"/>
      <c r="K192" s="38"/>
      <c r="L192" s="38"/>
      <c r="M192" s="38"/>
    </row>
    <row r="193" spans="1:13" ht="15.75" x14ac:dyDescent="0.3">
      <c r="A193" s="434"/>
      <c r="B193" s="50" t="s">
        <v>215</v>
      </c>
      <c r="C193" s="76">
        <v>240</v>
      </c>
      <c r="D193" s="52">
        <v>2</v>
      </c>
      <c r="E193" s="52">
        <f t="shared" si="5"/>
        <v>120</v>
      </c>
      <c r="F193" s="51">
        <v>267.82</v>
      </c>
      <c r="G193" s="52">
        <v>2</v>
      </c>
      <c r="H193" s="53">
        <f t="shared" si="6"/>
        <v>133.91</v>
      </c>
      <c r="I193" s="92">
        <f>H193/E193</f>
        <v>1.1159166666666667</v>
      </c>
      <c r="J193" s="289"/>
      <c r="K193" s="38"/>
      <c r="L193" s="38"/>
      <c r="M193" s="38"/>
    </row>
    <row r="194" spans="1:13" ht="15.75" x14ac:dyDescent="0.3">
      <c r="A194" s="426"/>
      <c r="B194" s="50" t="s">
        <v>216</v>
      </c>
      <c r="C194" s="76">
        <v>150</v>
      </c>
      <c r="D194" s="84">
        <v>1</v>
      </c>
      <c r="E194" s="52"/>
      <c r="F194" s="57"/>
      <c r="G194" s="52"/>
      <c r="H194" s="53"/>
      <c r="I194" s="92"/>
      <c r="J194" s="289"/>
      <c r="K194" s="38"/>
      <c r="L194" s="38"/>
      <c r="M194" s="38"/>
    </row>
    <row r="195" spans="1:13" ht="16.5" thickBot="1" x14ac:dyDescent="0.35">
      <c r="A195" s="426"/>
      <c r="B195" s="50" t="s">
        <v>217</v>
      </c>
      <c r="C195" s="76"/>
      <c r="D195" s="84"/>
      <c r="E195" s="52"/>
      <c r="F195" s="57">
        <v>168</v>
      </c>
      <c r="G195" s="52">
        <v>1.5</v>
      </c>
      <c r="H195" s="53">
        <f t="shared" si="6"/>
        <v>112</v>
      </c>
      <c r="I195" s="92"/>
      <c r="J195" s="289"/>
      <c r="K195" s="38"/>
      <c r="L195" s="38"/>
      <c r="M195" s="38"/>
    </row>
    <row r="196" spans="1:13" ht="15.75" x14ac:dyDescent="0.3">
      <c r="A196" s="426"/>
      <c r="B196" s="50" t="s">
        <v>218</v>
      </c>
      <c r="C196" s="76">
        <v>490</v>
      </c>
      <c r="D196" s="83">
        <v>4</v>
      </c>
      <c r="E196" s="52">
        <f t="shared" si="5"/>
        <v>122.5</v>
      </c>
      <c r="F196" s="57">
        <f>102.023+312+312</f>
        <v>726.02300000000002</v>
      </c>
      <c r="G196" s="52">
        <v>5</v>
      </c>
      <c r="H196" s="53">
        <f t="shared" si="6"/>
        <v>145.2046</v>
      </c>
      <c r="I196" s="92">
        <f>H196/E196</f>
        <v>1.1853436734693878</v>
      </c>
      <c r="J196" s="289"/>
      <c r="K196" s="38"/>
      <c r="L196" s="38"/>
      <c r="M196" s="38"/>
    </row>
    <row r="197" spans="1:13" ht="15.75" x14ac:dyDescent="0.3">
      <c r="A197" s="426"/>
      <c r="B197" s="50" t="s">
        <v>202</v>
      </c>
      <c r="C197" s="76"/>
      <c r="D197" s="84"/>
      <c r="E197" s="52"/>
      <c r="F197" s="51"/>
      <c r="G197" s="52"/>
      <c r="H197" s="53"/>
      <c r="I197" s="92"/>
      <c r="J197" s="289"/>
      <c r="K197" s="38"/>
      <c r="L197" s="38"/>
      <c r="M197" s="38"/>
    </row>
    <row r="198" spans="1:13" ht="15.75" x14ac:dyDescent="0.3">
      <c r="A198" s="426"/>
      <c r="B198" s="50" t="s">
        <v>167</v>
      </c>
      <c r="C198" s="76">
        <v>300</v>
      </c>
      <c r="D198" s="84">
        <v>4</v>
      </c>
      <c r="E198" s="52">
        <f t="shared" si="5"/>
        <v>75</v>
      </c>
      <c r="F198" s="57">
        <v>333.75699999999995</v>
      </c>
      <c r="G198" s="52">
        <v>4.5</v>
      </c>
      <c r="H198" s="53">
        <f t="shared" si="6"/>
        <v>74.168222222222212</v>
      </c>
      <c r="I198" s="92">
        <f>H198/E198</f>
        <v>0.98890962962962947</v>
      </c>
      <c r="J198" s="289"/>
      <c r="K198" s="38"/>
      <c r="L198" s="38"/>
      <c r="M198" s="38"/>
    </row>
    <row r="199" spans="1:13" ht="15.75" x14ac:dyDescent="0.3">
      <c r="A199" s="426"/>
      <c r="B199" s="50" t="s">
        <v>168</v>
      </c>
      <c r="C199" s="76"/>
      <c r="D199" s="84"/>
      <c r="E199" s="52"/>
      <c r="F199" s="57"/>
      <c r="G199" s="52"/>
      <c r="H199" s="86"/>
      <c r="I199" s="92"/>
      <c r="J199" s="289"/>
      <c r="K199" s="38"/>
      <c r="L199" s="38"/>
      <c r="M199" s="38"/>
    </row>
    <row r="200" spans="1:13" ht="15.75" x14ac:dyDescent="0.3">
      <c r="A200" s="426"/>
      <c r="B200" s="50"/>
      <c r="C200" s="76"/>
      <c r="D200" s="84"/>
      <c r="E200" s="52"/>
      <c r="F200" s="57"/>
      <c r="G200" s="52"/>
      <c r="H200" s="86"/>
      <c r="I200" s="92"/>
      <c r="J200" s="289"/>
      <c r="K200" s="38"/>
      <c r="L200" s="38"/>
      <c r="M200" s="38"/>
    </row>
    <row r="201" spans="1:13" ht="15.75" x14ac:dyDescent="0.3">
      <c r="A201" s="426"/>
      <c r="B201" s="50"/>
      <c r="C201" s="76"/>
      <c r="D201" s="84"/>
      <c r="E201" s="84"/>
      <c r="F201" s="57">
        <v>0</v>
      </c>
      <c r="G201" s="52"/>
      <c r="H201" s="86"/>
      <c r="I201" s="92"/>
      <c r="J201" s="289"/>
      <c r="K201" s="38"/>
      <c r="L201" s="38"/>
      <c r="M201" s="38"/>
    </row>
    <row r="202" spans="1:13" ht="16.5" x14ac:dyDescent="0.35">
      <c r="A202" s="426"/>
      <c r="B202" s="59" t="s">
        <v>146</v>
      </c>
      <c r="C202" s="60"/>
      <c r="D202" s="61">
        <f>SUM(D192:D200)</f>
        <v>23</v>
      </c>
      <c r="E202" s="61"/>
      <c r="F202" s="62"/>
      <c r="G202" s="63">
        <f>SUM(G192:G200)</f>
        <v>24</v>
      </c>
      <c r="H202" s="64"/>
      <c r="I202" s="92"/>
      <c r="J202" s="289"/>
      <c r="K202" s="38"/>
      <c r="L202" s="38"/>
      <c r="M202" s="38"/>
    </row>
    <row r="203" spans="1:13" ht="15.75" x14ac:dyDescent="0.3">
      <c r="A203" s="427"/>
      <c r="B203" s="65" t="s">
        <v>148</v>
      </c>
      <c r="C203" s="66"/>
      <c r="D203" s="67">
        <v>8</v>
      </c>
      <c r="E203" s="67"/>
      <c r="F203" s="67"/>
      <c r="G203" s="67">
        <f>31-G202</f>
        <v>7</v>
      </c>
      <c r="H203" s="87"/>
      <c r="I203" s="92"/>
      <c r="J203" s="290"/>
      <c r="K203" s="38"/>
      <c r="L203" s="38"/>
      <c r="M203" s="38"/>
    </row>
    <row r="204" spans="1:13" ht="17.25" thickBot="1" x14ac:dyDescent="0.4">
      <c r="A204" s="428"/>
      <c r="B204" s="70" t="s">
        <v>149</v>
      </c>
      <c r="C204" s="71">
        <f>SUM(C192:C200)</f>
        <v>2120</v>
      </c>
      <c r="D204" s="71">
        <f>D202+D203</f>
        <v>31</v>
      </c>
      <c r="E204" s="71">
        <f>SUM(E192:E200)</f>
        <v>395.83333333333331</v>
      </c>
      <c r="F204" s="71">
        <f>SUM(F192:F200)</f>
        <v>2343.7000000000003</v>
      </c>
      <c r="G204" s="71">
        <f>G203+G202</f>
        <v>31</v>
      </c>
      <c r="H204" s="82"/>
      <c r="I204" s="73">
        <f>F204/C204</f>
        <v>1.1055188679245285</v>
      </c>
      <c r="J204" s="291"/>
      <c r="K204" s="38"/>
      <c r="L204" s="38"/>
      <c r="M204" s="38"/>
    </row>
    <row r="205" spans="1:13" ht="15.75" x14ac:dyDescent="0.3">
      <c r="A205" s="425" t="s">
        <v>169</v>
      </c>
      <c r="B205" s="88" t="s">
        <v>170</v>
      </c>
      <c r="C205" s="89"/>
      <c r="D205" s="52"/>
      <c r="E205" s="52"/>
      <c r="F205" s="51"/>
      <c r="G205" s="52"/>
      <c r="H205" s="96"/>
      <c r="I205" s="91"/>
      <c r="J205" s="288" t="s">
        <v>219</v>
      </c>
      <c r="K205" s="38"/>
      <c r="L205" s="38"/>
      <c r="M205" s="38"/>
    </row>
    <row r="206" spans="1:13" ht="15.75" x14ac:dyDescent="0.3">
      <c r="A206" s="426"/>
      <c r="B206" s="80" t="s">
        <v>48</v>
      </c>
      <c r="C206" s="76"/>
      <c r="D206" s="52"/>
      <c r="E206" s="52"/>
      <c r="F206" s="57">
        <v>87.249000000000009</v>
      </c>
      <c r="G206" s="52">
        <v>1.5</v>
      </c>
      <c r="H206" s="53">
        <f>F206/G206</f>
        <v>58.166000000000004</v>
      </c>
      <c r="I206" s="92"/>
      <c r="J206" s="289"/>
      <c r="K206" s="38"/>
      <c r="L206" s="38"/>
      <c r="M206" s="38"/>
    </row>
    <row r="207" spans="1:13" ht="15.75" x14ac:dyDescent="0.3">
      <c r="A207" s="426"/>
      <c r="B207" s="80" t="s">
        <v>159</v>
      </c>
      <c r="C207" s="76">
        <v>770</v>
      </c>
      <c r="D207" s="52">
        <v>10</v>
      </c>
      <c r="E207" s="52">
        <f>C207/D207</f>
        <v>77</v>
      </c>
      <c r="F207" s="57"/>
      <c r="G207" s="52"/>
      <c r="H207" s="53"/>
      <c r="I207" s="53"/>
      <c r="J207" s="289"/>
      <c r="K207" s="38"/>
      <c r="L207" s="38"/>
      <c r="M207" s="38"/>
    </row>
    <row r="208" spans="1:13" ht="15.75" x14ac:dyDescent="0.3">
      <c r="A208" s="426"/>
      <c r="B208" s="80" t="s">
        <v>220</v>
      </c>
      <c r="C208" s="76"/>
      <c r="D208" s="52"/>
      <c r="E208" s="52"/>
      <c r="F208" s="57">
        <v>304.49</v>
      </c>
      <c r="G208" s="52">
        <v>3.5</v>
      </c>
      <c r="H208" s="53"/>
      <c r="I208" s="53"/>
      <c r="J208" s="289"/>
      <c r="K208" s="38"/>
      <c r="L208" s="38"/>
      <c r="M208" s="38"/>
    </row>
    <row r="209" spans="1:13" ht="15.75" x14ac:dyDescent="0.3">
      <c r="A209" s="426"/>
      <c r="B209" s="80" t="s">
        <v>221</v>
      </c>
      <c r="C209" s="76"/>
      <c r="D209" s="52"/>
      <c r="E209" s="52"/>
      <c r="F209" s="57">
        <v>172.483</v>
      </c>
      <c r="G209" s="52">
        <v>2</v>
      </c>
      <c r="H209" s="53">
        <f>F209/G209</f>
        <v>86.241500000000002</v>
      </c>
      <c r="I209" s="53"/>
      <c r="J209" s="289"/>
      <c r="K209" s="38"/>
      <c r="L209" s="38"/>
      <c r="M209" s="38"/>
    </row>
    <row r="210" spans="1:13" ht="15.75" x14ac:dyDescent="0.3">
      <c r="A210" s="426"/>
      <c r="B210" s="80" t="s">
        <v>175</v>
      </c>
      <c r="C210" s="76"/>
      <c r="D210" s="52"/>
      <c r="E210" s="52"/>
      <c r="F210" s="57">
        <v>115</v>
      </c>
      <c r="G210" s="52"/>
      <c r="H210" s="53"/>
      <c r="I210" s="92"/>
      <c r="J210" s="289"/>
      <c r="K210" s="38"/>
      <c r="L210" s="38"/>
      <c r="M210" s="38"/>
    </row>
    <row r="211" spans="1:13" ht="15.75" x14ac:dyDescent="0.3">
      <c r="A211" s="426"/>
      <c r="B211" s="80" t="s">
        <v>222</v>
      </c>
      <c r="C211" s="76"/>
      <c r="D211" s="52"/>
      <c r="E211" s="52"/>
      <c r="F211" s="57">
        <v>127</v>
      </c>
      <c r="G211" s="52">
        <v>3.5</v>
      </c>
      <c r="H211" s="53"/>
      <c r="I211" s="92"/>
      <c r="J211" s="289"/>
      <c r="K211" s="38"/>
      <c r="L211" s="38"/>
      <c r="M211" s="38"/>
    </row>
    <row r="212" spans="1:13" ht="15.75" x14ac:dyDescent="0.3">
      <c r="A212" s="426"/>
      <c r="B212" s="80" t="s">
        <v>223</v>
      </c>
      <c r="C212" s="76">
        <v>175</v>
      </c>
      <c r="D212" s="52">
        <v>3</v>
      </c>
      <c r="E212" s="52">
        <f>C212/D212</f>
        <v>58.333333333333336</v>
      </c>
      <c r="F212" s="57">
        <f>175+217.666+166</f>
        <v>558.66599999999994</v>
      </c>
      <c r="G212" s="52">
        <v>7.5</v>
      </c>
      <c r="H212" s="53">
        <f>F212/G212</f>
        <v>74.488799999999998</v>
      </c>
      <c r="I212" s="92">
        <f>H212/E212</f>
        <v>1.2769508571428569</v>
      </c>
      <c r="J212" s="289"/>
      <c r="K212" s="38"/>
      <c r="L212" s="38"/>
      <c r="M212" s="38"/>
    </row>
    <row r="213" spans="1:13" ht="16.5" x14ac:dyDescent="0.35">
      <c r="A213" s="427"/>
      <c r="B213" s="59" t="s">
        <v>146</v>
      </c>
      <c r="C213" s="60"/>
      <c r="D213" s="61">
        <f>SUM(D205:D210)</f>
        <v>10</v>
      </c>
      <c r="E213" s="61"/>
      <c r="F213" s="62"/>
      <c r="G213" s="63">
        <f>SUM(G205:G212)</f>
        <v>18</v>
      </c>
      <c r="H213" s="64"/>
      <c r="I213" s="92"/>
      <c r="J213" s="289"/>
      <c r="K213" s="38"/>
      <c r="L213" s="38"/>
      <c r="M213" s="38"/>
    </row>
    <row r="214" spans="1:13" ht="15.75" x14ac:dyDescent="0.3">
      <c r="A214" s="427"/>
      <c r="B214" s="65" t="s">
        <v>148</v>
      </c>
      <c r="C214" s="66"/>
      <c r="D214" s="68">
        <f>31-D213</f>
        <v>21</v>
      </c>
      <c r="E214" s="67"/>
      <c r="F214" s="67"/>
      <c r="G214" s="81">
        <f>31-G213</f>
        <v>13</v>
      </c>
      <c r="H214" s="87"/>
      <c r="I214" s="92"/>
      <c r="J214" s="289"/>
      <c r="K214" s="38"/>
      <c r="L214" s="38"/>
      <c r="M214" s="38"/>
    </row>
    <row r="215" spans="1:13" ht="17.25" thickBot="1" x14ac:dyDescent="0.4">
      <c r="A215" s="428"/>
      <c r="B215" s="70" t="s">
        <v>149</v>
      </c>
      <c r="C215" s="71">
        <f>SUM(C205:C212)</f>
        <v>945</v>
      </c>
      <c r="D215" s="71">
        <f>D213+D214</f>
        <v>31</v>
      </c>
      <c r="E215" s="71"/>
      <c r="F215" s="71">
        <f>SUM(F205:F212)</f>
        <v>1364.8879999999999</v>
      </c>
      <c r="G215" s="71">
        <f>G213+G214</f>
        <v>31</v>
      </c>
      <c r="H215" s="58"/>
      <c r="I215" s="73">
        <f>F215/C215</f>
        <v>1.4443259259259258</v>
      </c>
      <c r="J215" s="291"/>
      <c r="K215" s="38"/>
      <c r="L215" s="38"/>
      <c r="M215" s="38"/>
    </row>
    <row r="216" spans="1:13" ht="15.75" x14ac:dyDescent="0.3">
      <c r="A216" s="406" t="s">
        <v>176</v>
      </c>
      <c r="B216" s="80" t="s">
        <v>177</v>
      </c>
      <c r="C216" s="76">
        <v>589</v>
      </c>
      <c r="D216" s="52">
        <v>8</v>
      </c>
      <c r="E216" s="52">
        <f>C216/D216</f>
        <v>73.625</v>
      </c>
      <c r="F216" s="51">
        <v>313.42500000000001</v>
      </c>
      <c r="G216" s="93">
        <v>5</v>
      </c>
      <c r="H216" s="53">
        <f>F216/G216</f>
        <v>62.685000000000002</v>
      </c>
      <c r="I216" s="92">
        <f>H216/E216</f>
        <v>0.85140916808149414</v>
      </c>
      <c r="J216" s="292"/>
      <c r="K216" s="38"/>
      <c r="L216" s="38"/>
      <c r="M216" s="38"/>
    </row>
    <row r="217" spans="1:13" ht="15.75" x14ac:dyDescent="0.3">
      <c r="A217" s="407"/>
      <c r="B217" s="80" t="s">
        <v>224</v>
      </c>
      <c r="C217" s="76">
        <v>720</v>
      </c>
      <c r="D217" s="84">
        <v>8</v>
      </c>
      <c r="E217" s="52">
        <f>C217/D217</f>
        <v>90</v>
      </c>
      <c r="F217" s="51">
        <f>619.3875+14.93</f>
        <v>634.3175</v>
      </c>
      <c r="G217" s="93">
        <v>6</v>
      </c>
      <c r="H217" s="53">
        <f>F217/G217</f>
        <v>105.71958333333333</v>
      </c>
      <c r="I217" s="92">
        <f>H217/E217</f>
        <v>1.1746620370370371</v>
      </c>
      <c r="J217" s="293"/>
      <c r="K217" s="38"/>
      <c r="L217" s="38"/>
      <c r="M217" s="38"/>
    </row>
    <row r="218" spans="1:13" ht="15.75" x14ac:dyDescent="0.3">
      <c r="A218" s="407"/>
      <c r="B218" s="80" t="s">
        <v>204</v>
      </c>
      <c r="C218" s="76"/>
      <c r="D218" s="52"/>
      <c r="E218" s="52"/>
      <c r="F218" s="51">
        <v>244</v>
      </c>
      <c r="G218" s="93">
        <v>4</v>
      </c>
      <c r="H218" s="53">
        <f>F218/G218</f>
        <v>61</v>
      </c>
      <c r="I218" s="92"/>
      <c r="J218" s="293"/>
      <c r="K218" s="38"/>
      <c r="L218" s="38"/>
      <c r="M218" s="38"/>
    </row>
    <row r="219" spans="1:13" ht="15.75" x14ac:dyDescent="0.3">
      <c r="A219" s="407"/>
      <c r="B219" s="80" t="s">
        <v>181</v>
      </c>
      <c r="C219" s="51">
        <v>544</v>
      </c>
      <c r="D219" s="52">
        <v>7</v>
      </c>
      <c r="E219" s="52">
        <f>C219/D219</f>
        <v>77.714285714285708</v>
      </c>
      <c r="F219" s="51">
        <v>671.625</v>
      </c>
      <c r="G219" s="93">
        <v>9</v>
      </c>
      <c r="H219" s="53">
        <f>F219/G219</f>
        <v>74.625</v>
      </c>
      <c r="I219" s="92">
        <f>H219/E219</f>
        <v>0.96024816176470595</v>
      </c>
      <c r="J219" s="293"/>
      <c r="K219" s="38"/>
      <c r="L219" s="38"/>
      <c r="M219" s="38"/>
    </row>
    <row r="220" spans="1:13" ht="15.75" x14ac:dyDescent="0.3">
      <c r="A220" s="407"/>
      <c r="B220" s="121" t="s">
        <v>225</v>
      </c>
      <c r="C220" s="94"/>
      <c r="D220" s="86"/>
      <c r="E220" s="86"/>
      <c r="F220" s="95">
        <v>120</v>
      </c>
      <c r="G220" s="96">
        <v>2</v>
      </c>
      <c r="H220" s="53">
        <f>F220/G220</f>
        <v>60</v>
      </c>
      <c r="I220" s="92"/>
      <c r="J220" s="293"/>
      <c r="K220" s="38"/>
      <c r="L220" s="38"/>
      <c r="M220" s="38"/>
    </row>
    <row r="221" spans="1:13" ht="16.5" x14ac:dyDescent="0.35">
      <c r="A221" s="407"/>
      <c r="B221" s="59" t="s">
        <v>146</v>
      </c>
      <c r="C221" s="60"/>
      <c r="D221" s="61">
        <f>SUM(D216:D220)</f>
        <v>23</v>
      </c>
      <c r="E221" s="61"/>
      <c r="F221" s="62"/>
      <c r="G221" s="61">
        <f>SUM(G216:G220)</f>
        <v>26</v>
      </c>
      <c r="H221" s="61"/>
      <c r="I221" s="92"/>
      <c r="J221" s="293"/>
      <c r="K221" s="38"/>
      <c r="L221" s="38"/>
      <c r="M221" s="38"/>
    </row>
    <row r="222" spans="1:13" ht="15.75" x14ac:dyDescent="0.3">
      <c r="A222" s="407"/>
      <c r="B222" s="65" t="s">
        <v>148</v>
      </c>
      <c r="C222" s="66"/>
      <c r="D222" s="68">
        <v>8</v>
      </c>
      <c r="E222" s="67"/>
      <c r="F222" s="67"/>
      <c r="G222" s="81">
        <f>31-G221</f>
        <v>5</v>
      </c>
      <c r="H222" s="97"/>
      <c r="I222" s="92"/>
      <c r="J222" s="293"/>
      <c r="K222" s="38"/>
      <c r="L222" s="38"/>
      <c r="M222" s="38"/>
    </row>
    <row r="223" spans="1:13" ht="17.25" thickBot="1" x14ac:dyDescent="0.4">
      <c r="A223" s="408"/>
      <c r="B223" s="70" t="s">
        <v>149</v>
      </c>
      <c r="C223" s="71">
        <f>SUM(C216:C219)</f>
        <v>1853</v>
      </c>
      <c r="D223" s="71">
        <f>D222+D221</f>
        <v>31</v>
      </c>
      <c r="E223" s="98"/>
      <c r="F223" s="71">
        <f>SUM(F216:F220)</f>
        <v>1983.3675000000001</v>
      </c>
      <c r="G223" s="71">
        <f>G222+G221</f>
        <v>31</v>
      </c>
      <c r="H223" s="99"/>
      <c r="I223" s="73">
        <f>F223/C223</f>
        <v>1.0703548300053967</v>
      </c>
      <c r="J223" s="294"/>
      <c r="K223" s="38"/>
      <c r="L223" s="38"/>
      <c r="M223" s="38"/>
    </row>
    <row r="224" spans="1:13" ht="15.75" x14ac:dyDescent="0.3">
      <c r="A224" s="406" t="s">
        <v>183</v>
      </c>
      <c r="B224" s="50" t="s">
        <v>77</v>
      </c>
      <c r="C224" s="51">
        <v>2020</v>
      </c>
      <c r="D224" s="52">
        <v>12</v>
      </c>
      <c r="E224" s="52">
        <f>C224/D224</f>
        <v>168.33333333333334</v>
      </c>
      <c r="F224" s="51">
        <v>2902.2979999999993</v>
      </c>
      <c r="G224" s="93">
        <v>17.5</v>
      </c>
      <c r="H224" s="96">
        <f>F224/G224</f>
        <v>165.84559999999996</v>
      </c>
      <c r="I224" s="92">
        <f>H224/E224</f>
        <v>0.98522138613861354</v>
      </c>
      <c r="J224" s="295"/>
      <c r="K224" s="38"/>
      <c r="L224" s="38"/>
      <c r="M224" s="38"/>
    </row>
    <row r="225" spans="1:13" ht="15.75" x14ac:dyDescent="0.3">
      <c r="A225" s="407"/>
      <c r="B225" s="50" t="s">
        <v>205</v>
      </c>
      <c r="C225" s="51"/>
      <c r="D225" s="52"/>
      <c r="E225" s="52"/>
      <c r="F225" s="57"/>
      <c r="G225" s="93"/>
      <c r="H225" s="99"/>
      <c r="I225" s="92"/>
      <c r="J225" s="296"/>
      <c r="K225" s="38"/>
      <c r="L225" s="38"/>
      <c r="M225" s="38"/>
    </row>
    <row r="226" spans="1:13" ht="15.75" x14ac:dyDescent="0.3">
      <c r="A226" s="407"/>
      <c r="B226" s="50" t="s">
        <v>186</v>
      </c>
      <c r="C226" s="51">
        <v>350</v>
      </c>
      <c r="D226" s="52">
        <v>4</v>
      </c>
      <c r="E226" s="52">
        <f>C226/D226</f>
        <v>87.5</v>
      </c>
      <c r="F226" s="51">
        <v>278.74</v>
      </c>
      <c r="G226" s="93">
        <v>3</v>
      </c>
      <c r="H226" s="99">
        <f>F226/G226</f>
        <v>92.913333333333341</v>
      </c>
      <c r="I226" s="92">
        <f>H226/E226</f>
        <v>1.0618666666666667</v>
      </c>
      <c r="J226" s="296"/>
      <c r="K226" s="38"/>
      <c r="L226" s="38"/>
      <c r="M226" s="38"/>
    </row>
    <row r="227" spans="1:13" ht="15.75" x14ac:dyDescent="0.3">
      <c r="A227" s="407"/>
      <c r="B227" s="50" t="s">
        <v>226</v>
      </c>
      <c r="C227" s="51">
        <v>800</v>
      </c>
      <c r="D227" s="52">
        <v>6</v>
      </c>
      <c r="E227" s="52">
        <f>C227/D227</f>
        <v>133.33333333333334</v>
      </c>
      <c r="F227" s="51">
        <f>591+302.843</f>
        <v>893.84300000000007</v>
      </c>
      <c r="G227" s="93">
        <v>7</v>
      </c>
      <c r="H227" s="99">
        <f>F227/G227</f>
        <v>127.69185714285716</v>
      </c>
      <c r="I227" s="92">
        <f>H227/E227</f>
        <v>0.95768892857142862</v>
      </c>
      <c r="J227" s="296"/>
      <c r="K227" s="38"/>
      <c r="L227" s="38"/>
      <c r="M227" s="38"/>
    </row>
    <row r="228" spans="1:13" ht="15.75" x14ac:dyDescent="0.3">
      <c r="A228" s="407"/>
      <c r="B228" s="101" t="s">
        <v>79</v>
      </c>
      <c r="C228" s="95"/>
      <c r="D228" s="102"/>
      <c r="E228" s="86"/>
      <c r="F228" s="95"/>
      <c r="G228" s="103"/>
      <c r="H228" s="99"/>
      <c r="I228" s="92"/>
      <c r="J228" s="296"/>
      <c r="K228" s="38"/>
      <c r="L228" s="38"/>
      <c r="M228" s="38"/>
    </row>
    <row r="229" spans="1:13" ht="16.5" x14ac:dyDescent="0.35">
      <c r="A229" s="407"/>
      <c r="B229" s="59" t="s">
        <v>146</v>
      </c>
      <c r="C229" s="60"/>
      <c r="D229" s="61">
        <f>SUM(D224:D228)</f>
        <v>22</v>
      </c>
      <c r="E229" s="61"/>
      <c r="F229" s="62"/>
      <c r="G229" s="61">
        <f>SUM(G224:G228)</f>
        <v>27.5</v>
      </c>
      <c r="H229" s="61"/>
      <c r="I229" s="92"/>
      <c r="J229" s="296"/>
      <c r="K229" s="38"/>
      <c r="L229" s="38"/>
      <c r="M229" s="38"/>
    </row>
    <row r="230" spans="1:13" ht="15.75" x14ac:dyDescent="0.3">
      <c r="A230" s="407"/>
      <c r="B230" s="65" t="s">
        <v>148</v>
      </c>
      <c r="C230" s="66"/>
      <c r="D230" s="68">
        <v>9</v>
      </c>
      <c r="E230" s="67"/>
      <c r="F230" s="67"/>
      <c r="G230" s="81">
        <f>31-G229</f>
        <v>3.5</v>
      </c>
      <c r="H230" s="97"/>
      <c r="I230" s="92"/>
      <c r="J230" s="296"/>
      <c r="K230" s="38"/>
      <c r="L230" s="38"/>
      <c r="M230" s="38"/>
    </row>
    <row r="231" spans="1:13" ht="17.25" thickBot="1" x14ac:dyDescent="0.4">
      <c r="A231" s="408"/>
      <c r="B231" s="70" t="s">
        <v>149</v>
      </c>
      <c r="C231" s="71">
        <f>SUM(C224:C228)</f>
        <v>3170</v>
      </c>
      <c r="D231" s="71">
        <f>D229+D230</f>
        <v>31</v>
      </c>
      <c r="E231" s="71"/>
      <c r="F231" s="71">
        <f>SUM(F224:F228)</f>
        <v>4074.8809999999994</v>
      </c>
      <c r="G231" s="104">
        <f>G230+G229</f>
        <v>31</v>
      </c>
      <c r="H231" s="105"/>
      <c r="I231" s="73">
        <f>F231/C231</f>
        <v>1.2854514195583595</v>
      </c>
      <c r="J231" s="297"/>
      <c r="K231" s="38"/>
      <c r="L231" s="38"/>
      <c r="M231" s="38"/>
    </row>
    <row r="232" spans="1:13" ht="15.75" x14ac:dyDescent="0.3">
      <c r="A232" s="407" t="s">
        <v>188</v>
      </c>
      <c r="B232" s="106" t="s">
        <v>77</v>
      </c>
      <c r="C232" s="76">
        <v>1100</v>
      </c>
      <c r="D232" s="84">
        <v>4.5</v>
      </c>
      <c r="E232" s="52">
        <f>C232/D232</f>
        <v>244.44444444444446</v>
      </c>
      <c r="F232" s="57"/>
      <c r="G232" s="93"/>
      <c r="H232" s="99"/>
      <c r="I232" s="107"/>
      <c r="J232" s="295" t="s">
        <v>227</v>
      </c>
      <c r="K232" s="38"/>
      <c r="L232" s="38"/>
      <c r="M232" s="38"/>
    </row>
    <row r="233" spans="1:13" ht="16.5" x14ac:dyDescent="0.35">
      <c r="A233" s="407"/>
      <c r="B233" s="65" t="s">
        <v>189</v>
      </c>
      <c r="C233" s="66"/>
      <c r="D233" s="108">
        <f>31-D232</f>
        <v>26.5</v>
      </c>
      <c r="E233" s="109"/>
      <c r="F233" s="109"/>
      <c r="G233" s="110">
        <f>31-G232</f>
        <v>31</v>
      </c>
      <c r="H233" s="68"/>
      <c r="I233" s="92"/>
      <c r="J233" s="296"/>
      <c r="K233" s="38"/>
      <c r="L233" s="38"/>
      <c r="M233" s="38"/>
    </row>
    <row r="234" spans="1:13" ht="17.25" thickBot="1" x14ac:dyDescent="0.4">
      <c r="A234" s="408"/>
      <c r="B234" s="111" t="s">
        <v>149</v>
      </c>
      <c r="C234" s="82">
        <f>SUM(C232:C233)</f>
        <v>1100</v>
      </c>
      <c r="D234" s="82"/>
      <c r="E234" s="82"/>
      <c r="F234" s="82"/>
      <c r="G234" s="82"/>
      <c r="H234" s="112"/>
      <c r="I234" s="113"/>
      <c r="J234" s="297"/>
      <c r="K234" s="38"/>
      <c r="L234" s="38"/>
      <c r="M234" s="38"/>
    </row>
    <row r="235" spans="1:13" ht="15.75" x14ac:dyDescent="0.3">
      <c r="A235" s="407" t="s">
        <v>190</v>
      </c>
      <c r="B235" s="50"/>
      <c r="C235" s="51"/>
      <c r="D235" s="52"/>
      <c r="E235" s="52"/>
      <c r="F235" s="51"/>
      <c r="G235" s="93"/>
      <c r="H235" s="99"/>
      <c r="I235" s="92"/>
      <c r="J235" s="295"/>
      <c r="K235" s="38"/>
      <c r="L235" s="38"/>
      <c r="M235" s="38"/>
    </row>
    <row r="236" spans="1:13" ht="15.75" x14ac:dyDescent="0.3">
      <c r="A236" s="407"/>
      <c r="B236" s="101" t="s">
        <v>206</v>
      </c>
      <c r="C236" s="95">
        <v>102</v>
      </c>
      <c r="D236" s="102">
        <v>6</v>
      </c>
      <c r="E236" s="86">
        <f>C236/D236</f>
        <v>17</v>
      </c>
      <c r="F236" s="95"/>
      <c r="G236" s="103"/>
      <c r="H236" s="99"/>
      <c r="I236" s="92"/>
      <c r="J236" s="296"/>
      <c r="K236" s="38"/>
      <c r="L236" s="38"/>
      <c r="M236" s="38"/>
    </row>
    <row r="237" spans="1:13" ht="15.75" x14ac:dyDescent="0.3">
      <c r="A237" s="407"/>
      <c r="B237" s="101" t="s">
        <v>207</v>
      </c>
      <c r="C237" s="114"/>
      <c r="D237" s="102"/>
      <c r="E237" s="86"/>
      <c r="F237" s="95"/>
      <c r="G237" s="103"/>
      <c r="H237" s="99"/>
      <c r="I237" s="92"/>
      <c r="J237" s="296"/>
      <c r="K237" s="38"/>
      <c r="L237" s="38"/>
      <c r="M237" s="38"/>
    </row>
    <row r="238" spans="1:13" ht="16.5" x14ac:dyDescent="0.35">
      <c r="A238" s="407"/>
      <c r="B238" s="59" t="s">
        <v>146</v>
      </c>
      <c r="C238" s="60"/>
      <c r="D238" s="61">
        <f>SUM(D236:D237)</f>
        <v>6</v>
      </c>
      <c r="E238" s="61"/>
      <c r="F238" s="62"/>
      <c r="G238" s="61">
        <f>SUM(G236:G237)</f>
        <v>0</v>
      </c>
      <c r="H238" s="61"/>
      <c r="I238" s="92"/>
      <c r="J238" s="296"/>
      <c r="K238" s="38"/>
      <c r="L238" s="38"/>
      <c r="M238" s="38"/>
    </row>
    <row r="239" spans="1:13" ht="15.75" x14ac:dyDescent="0.3">
      <c r="A239" s="407"/>
      <c r="B239" s="65" t="s">
        <v>148</v>
      </c>
      <c r="C239" s="66"/>
      <c r="D239" s="68">
        <f>31-D238</f>
        <v>25</v>
      </c>
      <c r="E239" s="67"/>
      <c r="F239" s="67"/>
      <c r="G239" s="81">
        <f>31-G238</f>
        <v>31</v>
      </c>
      <c r="H239" s="97"/>
      <c r="I239" s="92"/>
      <c r="J239" s="296"/>
      <c r="K239" s="38"/>
      <c r="L239" s="38"/>
      <c r="M239" s="38"/>
    </row>
    <row r="240" spans="1:13" ht="17.25" thickBot="1" x14ac:dyDescent="0.4">
      <c r="A240" s="408"/>
      <c r="B240" s="70" t="s">
        <v>149</v>
      </c>
      <c r="C240" s="71">
        <f>SUM(C236:C237)</f>
        <v>102</v>
      </c>
      <c r="D240" s="71">
        <f>D239+D238</f>
        <v>31</v>
      </c>
      <c r="E240" s="71"/>
      <c r="F240" s="71">
        <f>SUM(F236:F237)</f>
        <v>0</v>
      </c>
      <c r="G240" s="71">
        <f>G239+G238</f>
        <v>31</v>
      </c>
      <c r="H240" s="105"/>
      <c r="I240" s="73">
        <f>F240/C240</f>
        <v>0</v>
      </c>
      <c r="J240" s="297"/>
      <c r="K240" s="38"/>
      <c r="L240" s="38"/>
      <c r="M240" s="38"/>
    </row>
    <row r="241" spans="1:13" ht="19.5" x14ac:dyDescent="0.3">
      <c r="A241" s="234"/>
      <c r="B241" s="101" t="s">
        <v>185</v>
      </c>
      <c r="C241" s="95">
        <v>350</v>
      </c>
      <c r="D241" s="102">
        <v>7</v>
      </c>
      <c r="E241" s="86">
        <f>C241/D241</f>
        <v>50</v>
      </c>
      <c r="F241" s="95">
        <f>188.138224+78.4</f>
        <v>266.53822400000001</v>
      </c>
      <c r="G241" s="103">
        <v>5</v>
      </c>
      <c r="H241" s="99">
        <f>F241/G241</f>
        <v>53.307644800000006</v>
      </c>
      <c r="I241" s="92">
        <f>H241/E241</f>
        <v>1.0661528960000002</v>
      </c>
      <c r="J241" s="276"/>
      <c r="K241" s="38"/>
      <c r="L241" s="38"/>
      <c r="M241" s="38"/>
    </row>
    <row r="242" spans="1:13" ht="15.75" x14ac:dyDescent="0.3">
      <c r="A242" s="407" t="s">
        <v>194</v>
      </c>
      <c r="B242" s="101" t="s">
        <v>208</v>
      </c>
      <c r="C242" s="95">
        <v>200</v>
      </c>
      <c r="D242" s="102">
        <v>4</v>
      </c>
      <c r="E242" s="86">
        <f>C242/D242</f>
        <v>50</v>
      </c>
      <c r="F242" s="95">
        <v>158.851</v>
      </c>
      <c r="G242" s="103">
        <v>2.5</v>
      </c>
      <c r="H242" s="99">
        <f>F242/G242</f>
        <v>63.540399999999998</v>
      </c>
      <c r="I242" s="92">
        <f>H242/E242</f>
        <v>1.2708079999999999</v>
      </c>
      <c r="J242" s="277"/>
      <c r="K242" s="38"/>
      <c r="L242" s="38"/>
      <c r="M242" s="38"/>
    </row>
    <row r="243" spans="1:13" ht="15.75" x14ac:dyDescent="0.3">
      <c r="A243" s="407"/>
      <c r="B243" s="101" t="s">
        <v>221</v>
      </c>
      <c r="C243" s="114">
        <v>300</v>
      </c>
      <c r="D243" s="102">
        <v>6</v>
      </c>
      <c r="E243" s="86">
        <f>C243/D243</f>
        <v>50</v>
      </c>
      <c r="F243" s="95">
        <v>273</v>
      </c>
      <c r="G243" s="103">
        <v>3</v>
      </c>
      <c r="H243" s="99">
        <f>F243/G243</f>
        <v>91</v>
      </c>
      <c r="I243" s="92"/>
      <c r="J243" s="277"/>
      <c r="K243" s="38"/>
      <c r="L243" s="38"/>
      <c r="M243" s="38"/>
    </row>
    <row r="244" spans="1:13" ht="16.5" x14ac:dyDescent="0.35">
      <c r="A244" s="407"/>
      <c r="B244" s="59" t="s">
        <v>146</v>
      </c>
      <c r="C244" s="60"/>
      <c r="D244" s="61">
        <f>SUM(D241:D243)</f>
        <v>17</v>
      </c>
      <c r="E244" s="61"/>
      <c r="F244" s="62"/>
      <c r="G244" s="61">
        <f>SUM(G242:G243)</f>
        <v>5.5</v>
      </c>
      <c r="H244" s="61"/>
      <c r="I244" s="92"/>
      <c r="J244" s="277"/>
      <c r="K244" s="38"/>
      <c r="L244" s="38"/>
      <c r="M244" s="38"/>
    </row>
    <row r="245" spans="1:13" ht="15.75" x14ac:dyDescent="0.3">
      <c r="A245" s="407"/>
      <c r="B245" s="65" t="s">
        <v>148</v>
      </c>
      <c r="C245" s="66"/>
      <c r="D245" s="68">
        <v>14</v>
      </c>
      <c r="E245" s="67"/>
      <c r="F245" s="67"/>
      <c r="G245" s="81">
        <f>31-G244</f>
        <v>25.5</v>
      </c>
      <c r="H245" s="97"/>
      <c r="I245" s="92"/>
      <c r="J245" s="277"/>
      <c r="K245" s="38"/>
      <c r="L245" s="38"/>
      <c r="M245" s="38"/>
    </row>
    <row r="246" spans="1:13" ht="17.25" thickBot="1" x14ac:dyDescent="0.4">
      <c r="A246" s="408"/>
      <c r="B246" s="70" t="s">
        <v>149</v>
      </c>
      <c r="C246" s="71">
        <f>SUM(C241:C243)</f>
        <v>850</v>
      </c>
      <c r="D246" s="71">
        <f>D245+D244</f>
        <v>31</v>
      </c>
      <c r="E246" s="71"/>
      <c r="F246" s="71">
        <f>SUM(F241:F243)</f>
        <v>698.38922400000001</v>
      </c>
      <c r="G246" s="71">
        <f>G245+G244</f>
        <v>31</v>
      </c>
      <c r="H246" s="105"/>
      <c r="I246" s="73">
        <f>F246/C246</f>
        <v>0.82163438117647059</v>
      </c>
      <c r="J246" s="278"/>
      <c r="K246" s="38"/>
      <c r="L246" s="38"/>
      <c r="M246" s="38"/>
    </row>
    <row r="247" spans="1:13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118"/>
      <c r="K247" s="38"/>
      <c r="L247" s="38"/>
      <c r="M247" s="38"/>
    </row>
    <row r="248" spans="1:13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118"/>
      <c r="K248" s="38"/>
      <c r="L248" s="38"/>
      <c r="M248" s="38"/>
    </row>
    <row r="249" spans="1:13" ht="21" x14ac:dyDescent="0.4">
      <c r="A249" s="37" t="s">
        <v>228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8"/>
      <c r="L249" s="38"/>
      <c r="M249" s="38"/>
    </row>
    <row r="250" spans="1:13" ht="17.25" thickBot="1" x14ac:dyDescent="0.4">
      <c r="A250" s="40"/>
      <c r="B250" s="41"/>
      <c r="C250" s="42"/>
      <c r="D250" s="42"/>
      <c r="E250" s="42"/>
      <c r="F250" s="42"/>
      <c r="G250" s="42"/>
      <c r="H250" s="42"/>
      <c r="I250" s="42"/>
      <c r="J250" s="43"/>
      <c r="K250" s="38"/>
      <c r="L250" s="38"/>
      <c r="M250" s="38"/>
    </row>
    <row r="251" spans="1:13" ht="16.5" x14ac:dyDescent="0.35">
      <c r="A251" s="409" t="s">
        <v>128</v>
      </c>
      <c r="B251" s="44"/>
      <c r="C251" s="45"/>
      <c r="D251" s="45"/>
      <c r="E251" s="45"/>
      <c r="F251" s="45"/>
      <c r="G251" s="411" t="s">
        <v>129</v>
      </c>
      <c r="H251" s="233"/>
      <c r="I251" s="413" t="s">
        <v>130</v>
      </c>
      <c r="J251" s="279" t="s">
        <v>131</v>
      </c>
      <c r="K251" s="38"/>
      <c r="L251" s="38"/>
      <c r="M251" s="38"/>
    </row>
    <row r="252" spans="1:13" ht="66.75" thickBot="1" x14ac:dyDescent="0.3">
      <c r="A252" s="435"/>
      <c r="B252" s="46"/>
      <c r="C252" s="47" t="s">
        <v>132</v>
      </c>
      <c r="D252" s="48" t="s">
        <v>133</v>
      </c>
      <c r="E252" s="48" t="s">
        <v>134</v>
      </c>
      <c r="F252" s="49" t="s">
        <v>135</v>
      </c>
      <c r="G252" s="412"/>
      <c r="H252" s="48" t="s">
        <v>136</v>
      </c>
      <c r="I252" s="436"/>
      <c r="J252" s="280"/>
      <c r="K252" s="38"/>
      <c r="L252" s="38"/>
      <c r="M252" s="38"/>
    </row>
    <row r="253" spans="1:13" ht="15.75" x14ac:dyDescent="0.3">
      <c r="A253" s="429" t="s">
        <v>137</v>
      </c>
      <c r="B253" s="50" t="s">
        <v>138</v>
      </c>
      <c r="C253" s="51">
        <f>2400+1730</f>
        <v>4130</v>
      </c>
      <c r="D253" s="123">
        <v>13</v>
      </c>
      <c r="E253" s="52">
        <f>C253/D253</f>
        <v>317.69230769230768</v>
      </c>
      <c r="F253" s="51">
        <v>3326.5899999999997</v>
      </c>
      <c r="G253" s="53">
        <v>10</v>
      </c>
      <c r="H253" s="53">
        <f>F253/G253</f>
        <v>332.65899999999999</v>
      </c>
      <c r="I253" s="54">
        <f>H253/E253</f>
        <v>1.0471106537530266</v>
      </c>
      <c r="J253" s="281" t="s">
        <v>229</v>
      </c>
      <c r="K253" s="38"/>
      <c r="L253" s="38"/>
      <c r="M253" s="38"/>
    </row>
    <row r="254" spans="1:13" ht="15.75" x14ac:dyDescent="0.3">
      <c r="A254" s="430"/>
      <c r="B254" s="56" t="s">
        <v>140</v>
      </c>
      <c r="C254" s="57"/>
      <c r="D254" s="53"/>
      <c r="E254" s="52"/>
      <c r="F254" s="57"/>
      <c r="G254" s="53"/>
      <c r="H254" s="53"/>
      <c r="I254" s="54"/>
      <c r="J254" s="282"/>
      <c r="K254" s="38"/>
      <c r="L254" s="38"/>
      <c r="M254" s="38"/>
    </row>
    <row r="255" spans="1:13" ht="15.75" x14ac:dyDescent="0.3">
      <c r="A255" s="430"/>
      <c r="B255" s="56" t="s">
        <v>141</v>
      </c>
      <c r="C255" s="57"/>
      <c r="D255" s="58"/>
      <c r="E255" s="57"/>
      <c r="F255" s="57"/>
      <c r="G255" s="53"/>
      <c r="H255" s="53"/>
      <c r="I255" s="53"/>
      <c r="J255" s="282"/>
      <c r="K255" s="38"/>
      <c r="L255" s="38"/>
      <c r="M255" s="38"/>
    </row>
    <row r="256" spans="1:13" ht="15.75" x14ac:dyDescent="0.3">
      <c r="A256" s="430"/>
      <c r="B256" s="56" t="s">
        <v>142</v>
      </c>
      <c r="C256" s="57">
        <v>2820</v>
      </c>
      <c r="D256" s="58">
        <v>12</v>
      </c>
      <c r="E256" s="52">
        <f>C256/D256</f>
        <v>235</v>
      </c>
      <c r="F256" s="57">
        <v>3566.69</v>
      </c>
      <c r="G256" s="53">
        <v>15</v>
      </c>
      <c r="H256" s="53">
        <f>F256/G256</f>
        <v>237.77933333333334</v>
      </c>
      <c r="I256" s="54">
        <f>H256/E256</f>
        <v>1.01182695035461</v>
      </c>
      <c r="J256" s="282"/>
      <c r="K256" s="38"/>
      <c r="L256" s="38"/>
      <c r="M256" s="38"/>
    </row>
    <row r="257" spans="1:13" ht="15.75" x14ac:dyDescent="0.3">
      <c r="A257" s="430"/>
      <c r="B257" s="56" t="s">
        <v>143</v>
      </c>
      <c r="C257" s="57">
        <v>450</v>
      </c>
      <c r="D257" s="58">
        <v>3</v>
      </c>
      <c r="E257" s="52">
        <f>C257/D257</f>
        <v>150</v>
      </c>
      <c r="F257" s="57">
        <v>459.02</v>
      </c>
      <c r="G257" s="53">
        <v>3</v>
      </c>
      <c r="H257" s="53">
        <f>F257/G257</f>
        <v>153.00666666666666</v>
      </c>
      <c r="I257" s="54">
        <f>H257/E257</f>
        <v>1.0200444444444443</v>
      </c>
      <c r="J257" s="282"/>
      <c r="K257" s="38"/>
      <c r="L257" s="38"/>
      <c r="M257" s="38"/>
    </row>
    <row r="258" spans="1:13" ht="15.75" x14ac:dyDescent="0.3">
      <c r="A258" s="430"/>
      <c r="B258" s="56" t="s">
        <v>144</v>
      </c>
      <c r="C258" s="57"/>
      <c r="D258" s="58"/>
      <c r="E258" s="52"/>
      <c r="F258" s="57"/>
      <c r="G258" s="53"/>
      <c r="H258" s="53"/>
      <c r="I258" s="53"/>
      <c r="J258" s="282"/>
      <c r="K258" s="38"/>
      <c r="L258" s="38"/>
      <c r="M258" s="38"/>
    </row>
    <row r="259" spans="1:13" ht="15.75" x14ac:dyDescent="0.3">
      <c r="A259" s="430"/>
      <c r="B259" s="56" t="s">
        <v>145</v>
      </c>
      <c r="C259" s="57"/>
      <c r="D259" s="58"/>
      <c r="E259" s="52"/>
      <c r="F259" s="57"/>
      <c r="G259" s="53"/>
      <c r="H259" s="53"/>
      <c r="I259" s="54"/>
      <c r="J259" s="282"/>
      <c r="K259" s="38"/>
      <c r="L259" s="38"/>
      <c r="M259" s="38"/>
    </row>
    <row r="260" spans="1:13" ht="15.75" x14ac:dyDescent="0.3">
      <c r="A260" s="430"/>
      <c r="B260" s="56"/>
      <c r="C260" s="57"/>
      <c r="D260" s="58"/>
      <c r="E260" s="52"/>
      <c r="F260" s="57"/>
      <c r="G260" s="53"/>
      <c r="H260" s="53"/>
      <c r="I260" s="53"/>
      <c r="J260" s="282"/>
      <c r="K260" s="38"/>
      <c r="L260" s="38"/>
      <c r="M260" s="38"/>
    </row>
    <row r="261" spans="1:13" ht="16.5" x14ac:dyDescent="0.35">
      <c r="A261" s="431"/>
      <c r="B261" s="59" t="s">
        <v>146</v>
      </c>
      <c r="C261" s="60"/>
      <c r="D261" s="61">
        <f>SUM(D253:D260)</f>
        <v>28</v>
      </c>
      <c r="E261" s="61"/>
      <c r="F261" s="62"/>
      <c r="G261" s="63">
        <f>SUM(G253:G260)</f>
        <v>28</v>
      </c>
      <c r="H261" s="64"/>
      <c r="I261" s="53"/>
      <c r="J261" s="282"/>
      <c r="K261" s="38"/>
      <c r="L261" s="38"/>
      <c r="M261" s="38"/>
    </row>
    <row r="262" spans="1:13" ht="16.5" x14ac:dyDescent="0.35">
      <c r="A262" s="431"/>
      <c r="B262" s="59" t="s">
        <v>147</v>
      </c>
      <c r="C262" s="60"/>
      <c r="D262" s="61">
        <v>0</v>
      </c>
      <c r="E262" s="62"/>
      <c r="F262" s="62"/>
      <c r="G262" s="63"/>
      <c r="H262" s="64"/>
      <c r="I262" s="53"/>
      <c r="J262" s="282"/>
      <c r="K262" s="38"/>
      <c r="L262" s="38"/>
      <c r="M262" s="38"/>
    </row>
    <row r="263" spans="1:13" ht="15.75" x14ac:dyDescent="0.3">
      <c r="A263" s="432"/>
      <c r="B263" s="65" t="s">
        <v>148</v>
      </c>
      <c r="C263" s="66"/>
      <c r="D263" s="67">
        <v>3</v>
      </c>
      <c r="E263" s="67"/>
      <c r="F263" s="67"/>
      <c r="G263" s="68">
        <v>3</v>
      </c>
      <c r="H263" s="69"/>
      <c r="I263" s="53"/>
      <c r="J263" s="282"/>
      <c r="K263" s="38"/>
      <c r="L263" s="38"/>
      <c r="M263" s="38"/>
    </row>
    <row r="264" spans="1:13" ht="17.25" thickBot="1" x14ac:dyDescent="0.4">
      <c r="A264" s="433"/>
      <c r="B264" s="70" t="s">
        <v>149</v>
      </c>
      <c r="C264" s="71">
        <f>SUM(C253:C259)</f>
        <v>7400</v>
      </c>
      <c r="D264" s="71">
        <f>D261+D262+D263</f>
        <v>31</v>
      </c>
      <c r="E264" s="71">
        <f>E261+E262+E263</f>
        <v>0</v>
      </c>
      <c r="F264" s="72">
        <f>SUM(F253:F260)</f>
        <v>7352.2999999999993</v>
      </c>
      <c r="G264" s="71">
        <f>G261+G262+G263</f>
        <v>31</v>
      </c>
      <c r="H264" s="71"/>
      <c r="I264" s="73">
        <f>F264/C264</f>
        <v>0.99355405405405395</v>
      </c>
      <c r="J264" s="283"/>
      <c r="K264" s="38"/>
      <c r="L264" s="38"/>
      <c r="M264" s="38"/>
    </row>
    <row r="265" spans="1:13" ht="15.75" x14ac:dyDescent="0.3">
      <c r="A265" s="421" t="s">
        <v>150</v>
      </c>
      <c r="B265" s="50" t="s">
        <v>211</v>
      </c>
      <c r="C265" s="76">
        <v>1904</v>
      </c>
      <c r="D265" s="52">
        <v>7</v>
      </c>
      <c r="E265" s="52">
        <f>C265/D265</f>
        <v>272</v>
      </c>
      <c r="F265" s="51">
        <f>1793.788+497.7</f>
        <v>2291.4879999999998</v>
      </c>
      <c r="G265" s="52">
        <v>8.5</v>
      </c>
      <c r="H265" s="53">
        <f>F265/G265</f>
        <v>269.58682352941173</v>
      </c>
      <c r="I265" s="91">
        <f>H265/E265</f>
        <v>0.99112802768166075</v>
      </c>
      <c r="J265" s="284"/>
      <c r="K265" s="38"/>
      <c r="L265" s="38"/>
      <c r="M265" s="38"/>
    </row>
    <row r="266" spans="1:13" ht="15.75" x14ac:dyDescent="0.3">
      <c r="A266" s="422"/>
      <c r="B266" s="50" t="s">
        <v>154</v>
      </c>
      <c r="C266" s="76">
        <v>140</v>
      </c>
      <c r="D266" s="52">
        <v>1.5</v>
      </c>
      <c r="E266" s="52">
        <f>C266/D266</f>
        <v>93.333333333333329</v>
      </c>
      <c r="F266" s="52">
        <v>304.26499999999999</v>
      </c>
      <c r="G266" s="52">
        <v>3</v>
      </c>
      <c r="H266" s="53">
        <f>F266/G266</f>
        <v>101.42166666666667</v>
      </c>
      <c r="I266" s="92"/>
      <c r="J266" s="285"/>
      <c r="K266" s="38"/>
      <c r="L266" s="38"/>
      <c r="M266" s="38"/>
    </row>
    <row r="267" spans="1:13" ht="15.75" x14ac:dyDescent="0.3">
      <c r="A267" s="422"/>
      <c r="B267" s="50" t="s">
        <v>155</v>
      </c>
      <c r="C267" s="57">
        <v>300</v>
      </c>
      <c r="D267" s="58">
        <v>3</v>
      </c>
      <c r="E267" s="52">
        <f>C267/D267</f>
        <v>100</v>
      </c>
      <c r="F267" s="57">
        <f>323.82</f>
        <v>323.82</v>
      </c>
      <c r="G267" s="52">
        <v>3</v>
      </c>
      <c r="H267" s="53">
        <f>F267/G267</f>
        <v>107.94</v>
      </c>
      <c r="I267" s="91"/>
      <c r="J267" s="285"/>
      <c r="K267" s="38"/>
      <c r="L267" s="38"/>
      <c r="M267" s="38"/>
    </row>
    <row r="268" spans="1:13" ht="15.75" x14ac:dyDescent="0.3">
      <c r="A268" s="422"/>
      <c r="B268" s="78" t="s">
        <v>156</v>
      </c>
      <c r="C268" s="51">
        <v>235</v>
      </c>
      <c r="D268" s="52">
        <v>4</v>
      </c>
      <c r="E268" s="52">
        <f>C268/D268</f>
        <v>58.75</v>
      </c>
      <c r="F268" s="79">
        <f>65.583+52+288+238</f>
        <v>643.58299999999997</v>
      </c>
      <c r="G268" s="52">
        <v>8</v>
      </c>
      <c r="H268" s="53">
        <f>F268/G268</f>
        <v>80.447874999999996</v>
      </c>
      <c r="I268" s="92">
        <f>H268/E268</f>
        <v>1.3693255319148936</v>
      </c>
      <c r="J268" s="285"/>
      <c r="K268" s="38"/>
      <c r="L268" s="38"/>
      <c r="M268" s="38"/>
    </row>
    <row r="269" spans="1:13" ht="15.75" x14ac:dyDescent="0.3">
      <c r="A269" s="422"/>
      <c r="B269" s="78" t="s">
        <v>213</v>
      </c>
      <c r="C269" s="51">
        <v>570</v>
      </c>
      <c r="D269" s="52">
        <v>5</v>
      </c>
      <c r="E269" s="52">
        <f>C269/D269</f>
        <v>114</v>
      </c>
      <c r="F269" s="51"/>
      <c r="G269" s="52"/>
      <c r="H269" s="53"/>
      <c r="I269" s="92">
        <f>H269/E269</f>
        <v>0</v>
      </c>
      <c r="J269" s="285"/>
      <c r="K269" s="38"/>
      <c r="L269" s="38"/>
      <c r="M269" s="38"/>
    </row>
    <row r="270" spans="1:13" ht="15.75" x14ac:dyDescent="0.3">
      <c r="A270" s="422"/>
      <c r="B270" s="78" t="s">
        <v>214</v>
      </c>
      <c r="C270" s="51"/>
      <c r="D270" s="52"/>
      <c r="E270" s="52"/>
      <c r="F270" s="79"/>
      <c r="G270" s="52"/>
      <c r="H270" s="53"/>
      <c r="I270" s="92"/>
      <c r="J270" s="285"/>
      <c r="K270" s="38"/>
      <c r="L270" s="38"/>
      <c r="M270" s="38"/>
    </row>
    <row r="271" spans="1:13" ht="15.75" x14ac:dyDescent="0.3">
      <c r="A271" s="422"/>
      <c r="B271" s="78" t="s">
        <v>157</v>
      </c>
      <c r="C271" s="51">
        <v>170</v>
      </c>
      <c r="D271" s="52">
        <v>3</v>
      </c>
      <c r="E271" s="52">
        <f>C271/D271</f>
        <v>56.666666666666664</v>
      </c>
      <c r="F271" s="79"/>
      <c r="G271" s="52"/>
      <c r="H271" s="53"/>
      <c r="I271" s="92">
        <f>H271/E271</f>
        <v>0</v>
      </c>
      <c r="J271" s="285"/>
      <c r="K271" s="38"/>
      <c r="L271" s="38"/>
      <c r="M271" s="38"/>
    </row>
    <row r="272" spans="1:13" ht="15.75" x14ac:dyDescent="0.3">
      <c r="A272" s="422"/>
      <c r="B272" s="78" t="s">
        <v>158</v>
      </c>
      <c r="C272" s="51"/>
      <c r="D272" s="52"/>
      <c r="E272" s="52"/>
      <c r="F272" s="79"/>
      <c r="G272" s="52"/>
      <c r="H272" s="53"/>
      <c r="I272" s="92"/>
      <c r="J272" s="285"/>
      <c r="K272" s="38"/>
      <c r="L272" s="38"/>
      <c r="M272" s="38"/>
    </row>
    <row r="273" spans="1:13" ht="15.75" x14ac:dyDescent="0.3">
      <c r="A273" s="422"/>
      <c r="B273" s="78" t="s">
        <v>230</v>
      </c>
      <c r="C273" s="51"/>
      <c r="D273" s="52"/>
      <c r="E273" s="52"/>
      <c r="F273" s="51">
        <v>226</v>
      </c>
      <c r="G273" s="52">
        <v>3</v>
      </c>
      <c r="H273" s="53">
        <f>F273/G273</f>
        <v>75.333333333333329</v>
      </c>
      <c r="I273" s="92"/>
      <c r="J273" s="285"/>
      <c r="K273" s="38"/>
      <c r="L273" s="38"/>
      <c r="M273" s="38"/>
    </row>
    <row r="274" spans="1:13" ht="16.5" x14ac:dyDescent="0.35">
      <c r="A274" s="422"/>
      <c r="B274" s="59" t="s">
        <v>146</v>
      </c>
      <c r="C274" s="60"/>
      <c r="D274" s="61">
        <f>SUM(D265:D272)</f>
        <v>23.5</v>
      </c>
      <c r="E274" s="61"/>
      <c r="F274" s="62"/>
      <c r="G274" s="63">
        <f>SUM(G265:G273)</f>
        <v>25.5</v>
      </c>
      <c r="H274" s="64"/>
      <c r="I274" s="99"/>
      <c r="J274" s="286"/>
      <c r="K274" s="38"/>
      <c r="L274" s="38"/>
      <c r="M274" s="38"/>
    </row>
    <row r="275" spans="1:13" ht="15.75" x14ac:dyDescent="0.3">
      <c r="A275" s="422"/>
      <c r="B275" s="65" t="s">
        <v>148</v>
      </c>
      <c r="C275" s="66"/>
      <c r="D275" s="67">
        <v>7</v>
      </c>
      <c r="E275" s="67"/>
      <c r="F275" s="67"/>
      <c r="G275" s="81">
        <f>31-G274</f>
        <v>5.5</v>
      </c>
      <c r="H275" s="81"/>
      <c r="I275" s="99"/>
      <c r="J275" s="286"/>
      <c r="K275" s="38"/>
      <c r="L275" s="38"/>
      <c r="M275" s="38"/>
    </row>
    <row r="276" spans="1:13" ht="17.25" thickBot="1" x14ac:dyDescent="0.4">
      <c r="A276" s="423"/>
      <c r="B276" s="70" t="s">
        <v>149</v>
      </c>
      <c r="C276" s="71">
        <f>SUM(C265:C273)</f>
        <v>3319</v>
      </c>
      <c r="D276" s="71">
        <f>D274+D275</f>
        <v>30.5</v>
      </c>
      <c r="E276" s="71"/>
      <c r="F276" s="71">
        <f>SUM(F265:F273)</f>
        <v>3789.1559999999999</v>
      </c>
      <c r="G276" s="71">
        <f>G274+G275</f>
        <v>31</v>
      </c>
      <c r="H276" s="82"/>
      <c r="I276" s="73">
        <f>F276/C276</f>
        <v>1.1416559204579693</v>
      </c>
      <c r="J276" s="287"/>
      <c r="K276" s="38"/>
      <c r="L276" s="38"/>
      <c r="M276" s="38"/>
    </row>
    <row r="277" spans="1:13" ht="15.75" x14ac:dyDescent="0.3">
      <c r="A277" s="425" t="s">
        <v>161</v>
      </c>
      <c r="B277" s="50" t="s">
        <v>199</v>
      </c>
      <c r="C277" s="76">
        <f>756+302</f>
        <v>1058</v>
      </c>
      <c r="D277" s="83">
        <v>13</v>
      </c>
      <c r="E277" s="52">
        <f t="shared" ref="E277:E282" si="7">C277/D277</f>
        <v>81.384615384615387</v>
      </c>
      <c r="F277" s="51">
        <v>1066.4259999999999</v>
      </c>
      <c r="G277" s="52">
        <v>13</v>
      </c>
      <c r="H277" s="53">
        <f t="shared" ref="H277:H285" si="8">F277/G277</f>
        <v>82.032769230769219</v>
      </c>
      <c r="I277" s="92">
        <f>H277/E277</f>
        <v>1.0079640831758032</v>
      </c>
      <c r="J277" s="288"/>
      <c r="K277" s="38"/>
      <c r="L277" s="38"/>
      <c r="M277" s="38"/>
    </row>
    <row r="278" spans="1:13" ht="15.75" x14ac:dyDescent="0.3">
      <c r="A278" s="434"/>
      <c r="B278" s="50" t="s">
        <v>215</v>
      </c>
      <c r="C278" s="76"/>
      <c r="D278" s="52"/>
      <c r="E278" s="52"/>
      <c r="F278" s="51"/>
      <c r="G278" s="52"/>
      <c r="H278" s="53"/>
      <c r="I278" s="92"/>
      <c r="J278" s="289"/>
      <c r="K278" s="38"/>
      <c r="L278" s="38"/>
      <c r="M278" s="38"/>
    </row>
    <row r="279" spans="1:13" ht="15.75" x14ac:dyDescent="0.3">
      <c r="A279" s="426"/>
      <c r="B279" s="50" t="s">
        <v>216</v>
      </c>
      <c r="C279" s="76"/>
      <c r="D279" s="84"/>
      <c r="E279" s="52"/>
      <c r="F279" s="57"/>
      <c r="G279" s="52"/>
      <c r="H279" s="53"/>
      <c r="I279" s="92"/>
      <c r="J279" s="289"/>
      <c r="K279" s="38"/>
      <c r="L279" s="38"/>
      <c r="M279" s="38"/>
    </row>
    <row r="280" spans="1:13" ht="16.5" thickBot="1" x14ac:dyDescent="0.35">
      <c r="A280" s="426"/>
      <c r="B280" s="50" t="s">
        <v>231</v>
      </c>
      <c r="C280" s="76">
        <v>255</v>
      </c>
      <c r="D280" s="84">
        <v>3</v>
      </c>
      <c r="E280" s="52">
        <f t="shared" si="7"/>
        <v>85</v>
      </c>
      <c r="F280" s="57">
        <v>183.77699999999999</v>
      </c>
      <c r="G280" s="52">
        <v>2.5</v>
      </c>
      <c r="H280" s="53">
        <f t="shared" si="8"/>
        <v>73.510799999999989</v>
      </c>
      <c r="I280" s="92"/>
      <c r="J280" s="289"/>
      <c r="K280" s="38"/>
      <c r="L280" s="38"/>
      <c r="M280" s="38"/>
    </row>
    <row r="281" spans="1:13" ht="15.75" x14ac:dyDescent="0.3">
      <c r="A281" s="426"/>
      <c r="B281" s="50" t="s">
        <v>218</v>
      </c>
      <c r="C281" s="76">
        <v>724</v>
      </c>
      <c r="D281" s="83">
        <v>7</v>
      </c>
      <c r="E281" s="52">
        <f t="shared" si="7"/>
        <v>103.42857142857143</v>
      </c>
      <c r="F281" s="57">
        <f>209.433+386</f>
        <v>595.43299999999999</v>
      </c>
      <c r="G281" s="52">
        <v>5.5</v>
      </c>
      <c r="H281" s="53">
        <f t="shared" si="8"/>
        <v>108.26054545454545</v>
      </c>
      <c r="I281" s="92">
        <f>H281/E281</f>
        <v>1.0467179809141134</v>
      </c>
      <c r="J281" s="289"/>
      <c r="K281" s="38"/>
      <c r="L281" s="38"/>
      <c r="M281" s="38"/>
    </row>
    <row r="282" spans="1:13" ht="15.75" x14ac:dyDescent="0.3">
      <c r="A282" s="426"/>
      <c r="B282" s="50" t="s">
        <v>232</v>
      </c>
      <c r="C282" s="76">
        <v>180</v>
      </c>
      <c r="D282" s="84">
        <v>2</v>
      </c>
      <c r="E282" s="52">
        <f t="shared" si="7"/>
        <v>90</v>
      </c>
      <c r="F282" s="51"/>
      <c r="G282" s="52"/>
      <c r="H282" s="53"/>
      <c r="I282" s="92"/>
      <c r="J282" s="289"/>
      <c r="K282" s="38"/>
      <c r="L282" s="38"/>
      <c r="M282" s="38"/>
    </row>
    <row r="283" spans="1:13" ht="15.75" x14ac:dyDescent="0.3">
      <c r="A283" s="426"/>
      <c r="B283" s="50" t="s">
        <v>167</v>
      </c>
      <c r="C283" s="76"/>
      <c r="D283" s="84"/>
      <c r="E283" s="52"/>
      <c r="F283" s="57">
        <v>360.59</v>
      </c>
      <c r="G283" s="52">
        <v>5</v>
      </c>
      <c r="H283" s="53">
        <f t="shared" si="8"/>
        <v>72.117999999999995</v>
      </c>
      <c r="I283" s="92"/>
      <c r="J283" s="289"/>
      <c r="K283" s="38"/>
      <c r="L283" s="38"/>
      <c r="M283" s="38"/>
    </row>
    <row r="284" spans="1:13" ht="15.75" x14ac:dyDescent="0.3">
      <c r="A284" s="426"/>
      <c r="B284" s="50" t="s">
        <v>168</v>
      </c>
      <c r="C284" s="76"/>
      <c r="D284" s="84"/>
      <c r="E284" s="52"/>
      <c r="F284" s="57"/>
      <c r="G284" s="52"/>
      <c r="H284" s="86"/>
      <c r="I284" s="92"/>
      <c r="J284" s="289"/>
      <c r="K284" s="38"/>
      <c r="L284" s="38"/>
      <c r="M284" s="38"/>
    </row>
    <row r="285" spans="1:13" ht="15.75" x14ac:dyDescent="0.3">
      <c r="A285" s="426"/>
      <c r="B285" s="50" t="s">
        <v>217</v>
      </c>
      <c r="C285" s="76"/>
      <c r="D285" s="84"/>
      <c r="E285" s="52"/>
      <c r="F285" s="57">
        <v>93</v>
      </c>
      <c r="G285" s="52">
        <v>1</v>
      </c>
      <c r="H285" s="53">
        <f t="shared" si="8"/>
        <v>93</v>
      </c>
      <c r="I285" s="92"/>
      <c r="J285" s="289"/>
      <c r="K285" s="38"/>
      <c r="L285" s="38"/>
      <c r="M285" s="38"/>
    </row>
    <row r="286" spans="1:13" ht="15.75" x14ac:dyDescent="0.3">
      <c r="A286" s="426"/>
      <c r="B286" s="50"/>
      <c r="C286" s="76"/>
      <c r="D286" s="84"/>
      <c r="E286" s="84"/>
      <c r="F286" s="57">
        <v>0</v>
      </c>
      <c r="G286" s="52"/>
      <c r="H286" s="86"/>
      <c r="I286" s="92"/>
      <c r="J286" s="289"/>
      <c r="K286" s="38"/>
      <c r="L286" s="38"/>
      <c r="M286" s="38"/>
    </row>
    <row r="287" spans="1:13" ht="16.5" x14ac:dyDescent="0.35">
      <c r="A287" s="426"/>
      <c r="B287" s="59" t="s">
        <v>146</v>
      </c>
      <c r="C287" s="60"/>
      <c r="D287" s="61">
        <f>SUM(D277:D285)</f>
        <v>25</v>
      </c>
      <c r="E287" s="61"/>
      <c r="F287" s="62"/>
      <c r="G287" s="63">
        <f>SUM(G277:G285)</f>
        <v>27</v>
      </c>
      <c r="H287" s="64"/>
      <c r="I287" s="92"/>
      <c r="J287" s="289"/>
      <c r="K287" s="38"/>
      <c r="L287" s="38"/>
      <c r="M287" s="38"/>
    </row>
    <row r="288" spans="1:13" ht="15.75" x14ac:dyDescent="0.3">
      <c r="A288" s="427"/>
      <c r="B288" s="65" t="s">
        <v>148</v>
      </c>
      <c r="C288" s="66"/>
      <c r="D288" s="67">
        <v>6</v>
      </c>
      <c r="E288" s="67"/>
      <c r="F288" s="67"/>
      <c r="G288" s="67">
        <f>31-G287</f>
        <v>4</v>
      </c>
      <c r="H288" s="87"/>
      <c r="I288" s="92"/>
      <c r="J288" s="290"/>
      <c r="K288" s="38"/>
      <c r="L288" s="38"/>
      <c r="M288" s="38"/>
    </row>
    <row r="289" spans="1:13" ht="17.25" thickBot="1" x14ac:dyDescent="0.4">
      <c r="A289" s="428"/>
      <c r="B289" s="70" t="s">
        <v>149</v>
      </c>
      <c r="C289" s="71">
        <f>SUM(C277:C285)</f>
        <v>2217</v>
      </c>
      <c r="D289" s="71">
        <f>D287+D288</f>
        <v>31</v>
      </c>
      <c r="E289" s="71">
        <f>SUM(E277:E285)</f>
        <v>359.8131868131868</v>
      </c>
      <c r="F289" s="71">
        <f>SUM(F277:F285)</f>
        <v>2299.2260000000001</v>
      </c>
      <c r="G289" s="71">
        <f>G288+G287</f>
        <v>31</v>
      </c>
      <c r="H289" s="82"/>
      <c r="I289" s="73">
        <f>F289/C289</f>
        <v>1.0370888588182228</v>
      </c>
      <c r="J289" s="291"/>
      <c r="K289" s="38"/>
      <c r="L289" s="38"/>
      <c r="M289" s="38"/>
    </row>
    <row r="290" spans="1:13" ht="15.75" x14ac:dyDescent="0.3">
      <c r="A290" s="425" t="s">
        <v>169</v>
      </c>
      <c r="B290" s="88" t="s">
        <v>170</v>
      </c>
      <c r="C290" s="89">
        <v>260</v>
      </c>
      <c r="D290" s="52">
        <v>5</v>
      </c>
      <c r="E290" s="52">
        <f>C290/D290</f>
        <v>52</v>
      </c>
      <c r="F290" s="51">
        <v>411.9</v>
      </c>
      <c r="G290" s="52">
        <v>7</v>
      </c>
      <c r="H290" s="53">
        <f>F290/G290</f>
        <v>58.842857142857142</v>
      </c>
      <c r="I290" s="91"/>
      <c r="J290" s="288"/>
      <c r="K290" s="38"/>
      <c r="L290" s="38"/>
      <c r="M290" s="38"/>
    </row>
    <row r="291" spans="1:13" ht="15.75" x14ac:dyDescent="0.3">
      <c r="A291" s="426"/>
      <c r="B291" s="80" t="s">
        <v>48</v>
      </c>
      <c r="C291" s="76"/>
      <c r="D291" s="52"/>
      <c r="E291" s="52"/>
      <c r="F291" s="57"/>
      <c r="G291" s="52"/>
      <c r="H291" s="53"/>
      <c r="I291" s="92"/>
      <c r="J291" s="289"/>
      <c r="K291" s="38"/>
      <c r="L291" s="38"/>
      <c r="M291" s="38"/>
    </row>
    <row r="292" spans="1:13" ht="15.75" x14ac:dyDescent="0.3">
      <c r="A292" s="426"/>
      <c r="B292" s="80" t="s">
        <v>159</v>
      </c>
      <c r="C292" s="76">
        <v>420</v>
      </c>
      <c r="D292" s="52">
        <v>6</v>
      </c>
      <c r="E292" s="52">
        <f>C292/D292</f>
        <v>70</v>
      </c>
      <c r="F292" s="57">
        <v>565.46900000000005</v>
      </c>
      <c r="G292" s="52">
        <v>7</v>
      </c>
      <c r="H292" s="53">
        <f>F292/G292</f>
        <v>80.781285714285715</v>
      </c>
      <c r="I292" s="53"/>
      <c r="J292" s="289"/>
      <c r="K292" s="38"/>
      <c r="L292" s="38"/>
      <c r="M292" s="38"/>
    </row>
    <row r="293" spans="1:13" ht="15.75" x14ac:dyDescent="0.3">
      <c r="A293" s="426"/>
      <c r="B293" s="80" t="s">
        <v>220</v>
      </c>
      <c r="C293" s="76"/>
      <c r="D293" s="52"/>
      <c r="E293" s="52"/>
      <c r="F293" s="57"/>
      <c r="G293" s="52"/>
      <c r="H293" s="53"/>
      <c r="I293" s="53"/>
      <c r="J293" s="289"/>
      <c r="K293" s="38"/>
      <c r="L293" s="38"/>
      <c r="M293" s="38"/>
    </row>
    <row r="294" spans="1:13" ht="15.75" x14ac:dyDescent="0.3">
      <c r="A294" s="426"/>
      <c r="B294" s="80" t="s">
        <v>221</v>
      </c>
      <c r="C294" s="76"/>
      <c r="D294" s="52"/>
      <c r="E294" s="52"/>
      <c r="F294" s="57"/>
      <c r="G294" s="52"/>
      <c r="H294" s="53"/>
      <c r="I294" s="53"/>
      <c r="J294" s="289"/>
      <c r="K294" s="38"/>
      <c r="L294" s="38"/>
      <c r="M294" s="38"/>
    </row>
    <row r="295" spans="1:13" ht="15.75" x14ac:dyDescent="0.3">
      <c r="A295" s="426"/>
      <c r="B295" s="80" t="s">
        <v>175</v>
      </c>
      <c r="C295" s="76"/>
      <c r="D295" s="52"/>
      <c r="E295" s="52"/>
      <c r="F295" s="57"/>
      <c r="G295" s="52"/>
      <c r="H295" s="53"/>
      <c r="I295" s="92"/>
      <c r="J295" s="289"/>
      <c r="K295" s="38"/>
      <c r="L295" s="38"/>
      <c r="M295" s="38"/>
    </row>
    <row r="296" spans="1:13" ht="15.75" x14ac:dyDescent="0.3">
      <c r="A296" s="426"/>
      <c r="B296" s="80" t="s">
        <v>222</v>
      </c>
      <c r="C296" s="76"/>
      <c r="D296" s="52"/>
      <c r="E296" s="52"/>
      <c r="F296" s="57"/>
      <c r="G296" s="52"/>
      <c r="H296" s="53"/>
      <c r="I296" s="92"/>
      <c r="J296" s="289"/>
      <c r="K296" s="38"/>
      <c r="L296" s="38"/>
      <c r="M296" s="38"/>
    </row>
    <row r="297" spans="1:13" ht="15.75" x14ac:dyDescent="0.3">
      <c r="A297" s="426"/>
      <c r="B297" s="80" t="s">
        <v>223</v>
      </c>
      <c r="C297" s="76"/>
      <c r="D297" s="52"/>
      <c r="E297" s="52"/>
      <c r="F297" s="57"/>
      <c r="G297" s="52"/>
      <c r="H297" s="53"/>
      <c r="I297" s="92"/>
      <c r="J297" s="289"/>
      <c r="K297" s="38"/>
      <c r="L297" s="38"/>
      <c r="M297" s="38"/>
    </row>
    <row r="298" spans="1:13" ht="16.5" x14ac:dyDescent="0.35">
      <c r="A298" s="427"/>
      <c r="B298" s="59" t="s">
        <v>146</v>
      </c>
      <c r="C298" s="60"/>
      <c r="D298" s="61">
        <f>SUM(D290:D295)</f>
        <v>11</v>
      </c>
      <c r="E298" s="61"/>
      <c r="F298" s="62"/>
      <c r="G298" s="63">
        <f>SUM(G290:G297)</f>
        <v>14</v>
      </c>
      <c r="H298" s="64"/>
      <c r="I298" s="92"/>
      <c r="J298" s="289"/>
      <c r="K298" s="38"/>
      <c r="L298" s="38"/>
      <c r="M298" s="38"/>
    </row>
    <row r="299" spans="1:13" ht="15.75" x14ac:dyDescent="0.3">
      <c r="A299" s="427"/>
      <c r="B299" s="65" t="s">
        <v>148</v>
      </c>
      <c r="C299" s="66"/>
      <c r="D299" s="68">
        <f>31-D298</f>
        <v>20</v>
      </c>
      <c r="E299" s="67"/>
      <c r="F299" s="67"/>
      <c r="G299" s="81">
        <f>31-G298</f>
        <v>17</v>
      </c>
      <c r="H299" s="87"/>
      <c r="I299" s="92"/>
      <c r="J299" s="289"/>
      <c r="K299" s="38"/>
      <c r="L299" s="38"/>
      <c r="M299" s="38"/>
    </row>
    <row r="300" spans="1:13" ht="17.25" thickBot="1" x14ac:dyDescent="0.4">
      <c r="A300" s="428"/>
      <c r="B300" s="70" t="s">
        <v>149</v>
      </c>
      <c r="C300" s="71">
        <f>SUM(C290:C297)</f>
        <v>680</v>
      </c>
      <c r="D300" s="71">
        <f>D298+D299</f>
        <v>31</v>
      </c>
      <c r="E300" s="71"/>
      <c r="F300" s="71">
        <f>SUM(F290:F297)</f>
        <v>977.36900000000003</v>
      </c>
      <c r="G300" s="71">
        <f>G298+G299</f>
        <v>31</v>
      </c>
      <c r="H300" s="58"/>
      <c r="I300" s="73">
        <f>F300/C300</f>
        <v>1.4373073529411766</v>
      </c>
      <c r="J300" s="291"/>
      <c r="K300" s="38"/>
      <c r="L300" s="38"/>
      <c r="M300" s="38"/>
    </row>
    <row r="301" spans="1:13" ht="15.75" x14ac:dyDescent="0.3">
      <c r="A301" s="406" t="s">
        <v>176</v>
      </c>
      <c r="B301" s="80" t="s">
        <v>177</v>
      </c>
      <c r="C301" s="76">
        <f>504</f>
        <v>504</v>
      </c>
      <c r="D301" s="52">
        <v>6</v>
      </c>
      <c r="E301" s="52">
        <f>C301/D301</f>
        <v>84</v>
      </c>
      <c r="F301" s="51">
        <v>507</v>
      </c>
      <c r="G301" s="93">
        <v>7</v>
      </c>
      <c r="H301" s="53">
        <f t="shared" ref="H301:H306" si="9">F301/G301</f>
        <v>72.428571428571431</v>
      </c>
      <c r="I301" s="92">
        <f>H301/E301</f>
        <v>0.86224489795918369</v>
      </c>
      <c r="J301" s="292"/>
      <c r="K301" s="38"/>
      <c r="L301" s="38"/>
      <c r="M301" s="38"/>
    </row>
    <row r="302" spans="1:13" ht="15.75" x14ac:dyDescent="0.3">
      <c r="A302" s="407"/>
      <c r="B302" s="80" t="s">
        <v>224</v>
      </c>
      <c r="C302" s="76">
        <v>235</v>
      </c>
      <c r="D302" s="84">
        <v>2.5</v>
      </c>
      <c r="E302" s="52">
        <f>C302/D302</f>
        <v>94</v>
      </c>
      <c r="F302" s="51">
        <f>149.25+283</f>
        <v>432.25</v>
      </c>
      <c r="G302" s="93">
        <v>6</v>
      </c>
      <c r="H302" s="53">
        <f t="shared" si="9"/>
        <v>72.041666666666671</v>
      </c>
      <c r="I302" s="92">
        <f>H302/E302</f>
        <v>0.76640070921985826</v>
      </c>
      <c r="J302" s="293"/>
      <c r="K302" s="38"/>
      <c r="L302" s="38"/>
      <c r="M302" s="38"/>
    </row>
    <row r="303" spans="1:13" ht="15.75" x14ac:dyDescent="0.3">
      <c r="A303" s="407"/>
      <c r="B303" s="80" t="s">
        <v>204</v>
      </c>
      <c r="C303" s="76">
        <v>500</v>
      </c>
      <c r="D303" s="52">
        <v>6</v>
      </c>
      <c r="E303" s="52">
        <f>C303/D303</f>
        <v>83.333333333333329</v>
      </c>
      <c r="F303" s="51">
        <v>358</v>
      </c>
      <c r="G303" s="93">
        <v>5</v>
      </c>
      <c r="H303" s="53">
        <f t="shared" si="9"/>
        <v>71.599999999999994</v>
      </c>
      <c r="I303" s="92">
        <f>H303/E303</f>
        <v>0.85919999999999996</v>
      </c>
      <c r="J303" s="293"/>
      <c r="K303" s="38"/>
      <c r="L303" s="38"/>
      <c r="M303" s="38"/>
    </row>
    <row r="304" spans="1:13" ht="15.75" x14ac:dyDescent="0.3">
      <c r="A304" s="407"/>
      <c r="B304" s="80" t="s">
        <v>233</v>
      </c>
      <c r="C304" s="76"/>
      <c r="D304" s="52"/>
      <c r="E304" s="52"/>
      <c r="F304" s="51">
        <v>255</v>
      </c>
      <c r="G304" s="93">
        <v>4</v>
      </c>
      <c r="H304" s="53">
        <f t="shared" si="9"/>
        <v>63.75</v>
      </c>
      <c r="I304" s="92"/>
      <c r="J304" s="293"/>
      <c r="K304" s="38"/>
      <c r="L304" s="38"/>
      <c r="M304" s="38"/>
    </row>
    <row r="305" spans="1:13" ht="15.75" x14ac:dyDescent="0.3">
      <c r="A305" s="407"/>
      <c r="B305" s="80" t="s">
        <v>181</v>
      </c>
      <c r="C305" s="51">
        <v>628</v>
      </c>
      <c r="D305" s="52">
        <v>8</v>
      </c>
      <c r="E305" s="52">
        <f>C305/D305</f>
        <v>78.5</v>
      </c>
      <c r="F305" s="51">
        <v>715.32140000000015</v>
      </c>
      <c r="G305" s="93">
        <v>10</v>
      </c>
      <c r="H305" s="53">
        <f t="shared" si="9"/>
        <v>71.532140000000012</v>
      </c>
      <c r="I305" s="92">
        <f>H305/E305</f>
        <v>0.91123745222929953</v>
      </c>
      <c r="J305" s="293"/>
      <c r="K305" s="38"/>
      <c r="L305" s="38"/>
      <c r="M305" s="38"/>
    </row>
    <row r="306" spans="1:13" ht="15.75" x14ac:dyDescent="0.3">
      <c r="A306" s="407"/>
      <c r="B306" s="121" t="s">
        <v>225</v>
      </c>
      <c r="C306" s="94"/>
      <c r="D306" s="86"/>
      <c r="E306" s="86"/>
      <c r="F306" s="95"/>
      <c r="G306" s="96"/>
      <c r="H306" s="53" t="e">
        <f t="shared" si="9"/>
        <v>#DIV/0!</v>
      </c>
      <c r="I306" s="92"/>
      <c r="J306" s="293"/>
      <c r="K306" s="38"/>
      <c r="L306" s="38"/>
      <c r="M306" s="38"/>
    </row>
    <row r="307" spans="1:13" ht="16.5" x14ac:dyDescent="0.35">
      <c r="A307" s="407"/>
      <c r="B307" s="59" t="s">
        <v>146</v>
      </c>
      <c r="C307" s="60"/>
      <c r="D307" s="61">
        <f>SUM(D301:D306)</f>
        <v>22.5</v>
      </c>
      <c r="E307" s="61"/>
      <c r="F307" s="62"/>
      <c r="G307" s="61">
        <f>SUM(G301:G306)</f>
        <v>32</v>
      </c>
      <c r="H307" s="61"/>
      <c r="I307" s="92"/>
      <c r="J307" s="293"/>
      <c r="K307" s="38"/>
      <c r="L307" s="38"/>
      <c r="M307" s="38"/>
    </row>
    <row r="308" spans="1:13" ht="15.75" x14ac:dyDescent="0.3">
      <c r="A308" s="407"/>
      <c r="B308" s="65" t="s">
        <v>148</v>
      </c>
      <c r="C308" s="66"/>
      <c r="D308" s="68">
        <f>31-D307</f>
        <v>8.5</v>
      </c>
      <c r="E308" s="67"/>
      <c r="F308" s="67"/>
      <c r="G308" s="81">
        <f>31-G307</f>
        <v>-1</v>
      </c>
      <c r="H308" s="97"/>
      <c r="I308" s="92"/>
      <c r="J308" s="293"/>
      <c r="K308" s="38"/>
      <c r="L308" s="38"/>
      <c r="M308" s="38"/>
    </row>
    <row r="309" spans="1:13" ht="17.25" thickBot="1" x14ac:dyDescent="0.4">
      <c r="A309" s="408"/>
      <c r="B309" s="70" t="s">
        <v>149</v>
      </c>
      <c r="C309" s="71">
        <f>SUM(C301:C305)</f>
        <v>1867</v>
      </c>
      <c r="D309" s="71">
        <f>D308+D307</f>
        <v>31</v>
      </c>
      <c r="E309" s="98"/>
      <c r="F309" s="71">
        <f>SUM(F301:F306)</f>
        <v>2267.5714000000003</v>
      </c>
      <c r="G309" s="71">
        <f>G308+G307</f>
        <v>31</v>
      </c>
      <c r="H309" s="99"/>
      <c r="I309" s="73">
        <f>F309/C309</f>
        <v>1.2145535083020891</v>
      </c>
      <c r="J309" s="294"/>
      <c r="K309" s="38"/>
      <c r="L309" s="38"/>
      <c r="M309" s="38"/>
    </row>
    <row r="310" spans="1:13" ht="15.75" x14ac:dyDescent="0.3">
      <c r="A310" s="406" t="s">
        <v>183</v>
      </c>
      <c r="B310" s="50" t="s">
        <v>77</v>
      </c>
      <c r="C310" s="51">
        <v>1540</v>
      </c>
      <c r="D310" s="52">
        <v>12</v>
      </c>
      <c r="E310" s="52">
        <f>C310/D310</f>
        <v>128.33333333333334</v>
      </c>
      <c r="F310" s="51">
        <v>1398.5709999999999</v>
      </c>
      <c r="G310" s="93">
        <v>12</v>
      </c>
      <c r="H310" s="96">
        <f>F310/G310</f>
        <v>116.54758333333332</v>
      </c>
      <c r="I310" s="92">
        <f>H310/E310</f>
        <v>0.90816298701298681</v>
      </c>
      <c r="J310" s="295"/>
      <c r="K310" s="38"/>
      <c r="L310" s="38"/>
      <c r="M310" s="38"/>
    </row>
    <row r="311" spans="1:13" ht="15.75" x14ac:dyDescent="0.3">
      <c r="A311" s="407"/>
      <c r="B311" s="50" t="s">
        <v>205</v>
      </c>
      <c r="C311" s="51"/>
      <c r="D311" s="52"/>
      <c r="E311" s="52"/>
      <c r="F311" s="57"/>
      <c r="G311" s="93"/>
      <c r="H311" s="99"/>
      <c r="I311" s="92"/>
      <c r="J311" s="296"/>
      <c r="K311" s="38"/>
      <c r="L311" s="38"/>
      <c r="M311" s="38"/>
    </row>
    <row r="312" spans="1:13" ht="15.75" x14ac:dyDescent="0.3">
      <c r="A312" s="407"/>
      <c r="B312" s="50" t="s">
        <v>184</v>
      </c>
      <c r="C312" s="51"/>
      <c r="D312" s="52"/>
      <c r="E312" s="52"/>
      <c r="F312" s="51">
        <v>1002.65</v>
      </c>
      <c r="G312" s="93">
        <v>7</v>
      </c>
      <c r="H312" s="96">
        <f>F312/G312</f>
        <v>143.23571428571429</v>
      </c>
      <c r="I312" s="92"/>
      <c r="J312" s="296"/>
      <c r="K312" s="38"/>
      <c r="L312" s="38"/>
      <c r="M312" s="38"/>
    </row>
    <row r="313" spans="1:13" ht="15.75" x14ac:dyDescent="0.3">
      <c r="A313" s="407"/>
      <c r="B313" s="50" t="s">
        <v>186</v>
      </c>
      <c r="C313" s="51"/>
      <c r="D313" s="52"/>
      <c r="E313" s="52"/>
      <c r="F313" s="51"/>
      <c r="G313" s="93"/>
      <c r="H313" s="99"/>
      <c r="I313" s="92"/>
      <c r="J313" s="296"/>
      <c r="K313" s="38"/>
      <c r="L313" s="38"/>
      <c r="M313" s="38"/>
    </row>
    <row r="314" spans="1:13" ht="15.75" x14ac:dyDescent="0.3">
      <c r="A314" s="407"/>
      <c r="B314" s="50" t="s">
        <v>226</v>
      </c>
      <c r="C314" s="51">
        <v>500</v>
      </c>
      <c r="D314" s="52">
        <v>4</v>
      </c>
      <c r="E314" s="52">
        <f>C314/D314</f>
        <v>125</v>
      </c>
      <c r="F314" s="51"/>
      <c r="G314" s="93"/>
      <c r="H314" s="99"/>
      <c r="I314" s="92"/>
      <c r="J314" s="296"/>
      <c r="K314" s="38"/>
      <c r="L314" s="38"/>
      <c r="M314" s="38"/>
    </row>
    <row r="315" spans="1:13" ht="15.75" x14ac:dyDescent="0.3">
      <c r="A315" s="407"/>
      <c r="B315" s="101" t="s">
        <v>79</v>
      </c>
      <c r="C315" s="95">
        <v>500</v>
      </c>
      <c r="D315" s="102">
        <v>3.5</v>
      </c>
      <c r="E315" s="52">
        <f>C315/D315</f>
        <v>142.85714285714286</v>
      </c>
      <c r="F315" s="95">
        <v>469</v>
      </c>
      <c r="G315" s="103">
        <v>3.5</v>
      </c>
      <c r="H315" s="99">
        <f>F315/G315</f>
        <v>134</v>
      </c>
      <c r="I315" s="92">
        <f>H315/E315</f>
        <v>0.93799999999999994</v>
      </c>
      <c r="J315" s="296"/>
      <c r="K315" s="38"/>
      <c r="L315" s="38"/>
      <c r="M315" s="38"/>
    </row>
    <row r="316" spans="1:13" ht="16.5" x14ac:dyDescent="0.35">
      <c r="A316" s="407"/>
      <c r="B316" s="59" t="s">
        <v>146</v>
      </c>
      <c r="C316" s="60"/>
      <c r="D316" s="61">
        <f>SUM(D310:D315)</f>
        <v>19.5</v>
      </c>
      <c r="E316" s="61"/>
      <c r="F316" s="62"/>
      <c r="G316" s="61">
        <f>SUM(G310:G315)</f>
        <v>22.5</v>
      </c>
      <c r="H316" s="61"/>
      <c r="I316" s="92"/>
      <c r="J316" s="296"/>
      <c r="K316" s="38"/>
      <c r="L316" s="38"/>
      <c r="M316" s="38"/>
    </row>
    <row r="317" spans="1:13" ht="15.75" x14ac:dyDescent="0.3">
      <c r="A317" s="407"/>
      <c r="B317" s="65" t="s">
        <v>148</v>
      </c>
      <c r="C317" s="66"/>
      <c r="D317" s="68">
        <f>31-D316</f>
        <v>11.5</v>
      </c>
      <c r="E317" s="67"/>
      <c r="F317" s="67"/>
      <c r="G317" s="81">
        <f>31-G316</f>
        <v>8.5</v>
      </c>
      <c r="H317" s="97"/>
      <c r="I317" s="92"/>
      <c r="J317" s="296"/>
      <c r="K317" s="38"/>
      <c r="L317" s="38"/>
      <c r="M317" s="38"/>
    </row>
    <row r="318" spans="1:13" ht="17.25" thickBot="1" x14ac:dyDescent="0.4">
      <c r="A318" s="408"/>
      <c r="B318" s="70" t="s">
        <v>149</v>
      </c>
      <c r="C318" s="71">
        <f>SUM(C310:C315)</f>
        <v>2540</v>
      </c>
      <c r="D318" s="71">
        <f>D316+D317</f>
        <v>31</v>
      </c>
      <c r="E318" s="71"/>
      <c r="F318" s="71">
        <f>SUM(F310:F315)</f>
        <v>2870.221</v>
      </c>
      <c r="G318" s="104">
        <f>G317+G316</f>
        <v>31</v>
      </c>
      <c r="H318" s="105"/>
      <c r="I318" s="73">
        <f>F318/C318</f>
        <v>1.1300082677165355</v>
      </c>
      <c r="J318" s="297"/>
      <c r="K318" s="38"/>
      <c r="L318" s="38"/>
      <c r="M318" s="38"/>
    </row>
    <row r="319" spans="1:13" ht="15.75" x14ac:dyDescent="0.3">
      <c r="A319" s="407" t="s">
        <v>188</v>
      </c>
      <c r="B319" s="106" t="s">
        <v>184</v>
      </c>
      <c r="C319" s="76">
        <v>1000</v>
      </c>
      <c r="D319" s="84">
        <v>4</v>
      </c>
      <c r="E319" s="52">
        <f>C319/D319</f>
        <v>250</v>
      </c>
      <c r="F319" s="57"/>
      <c r="G319" s="93"/>
      <c r="H319" s="99"/>
      <c r="I319" s="107"/>
      <c r="J319" s="295" t="s">
        <v>227</v>
      </c>
      <c r="K319" s="38"/>
      <c r="L319" s="38"/>
      <c r="M319" s="38"/>
    </row>
    <row r="320" spans="1:13" ht="16.5" x14ac:dyDescent="0.35">
      <c r="A320" s="407"/>
      <c r="B320" s="65" t="s">
        <v>189</v>
      </c>
      <c r="C320" s="66"/>
      <c r="D320" s="108">
        <f>31-D319</f>
        <v>27</v>
      </c>
      <c r="E320" s="109"/>
      <c r="F320" s="109"/>
      <c r="G320" s="110">
        <f>31-G319</f>
        <v>31</v>
      </c>
      <c r="H320" s="68"/>
      <c r="I320" s="92"/>
      <c r="J320" s="296"/>
      <c r="K320" s="38"/>
      <c r="L320" s="38"/>
      <c r="M320" s="38"/>
    </row>
    <row r="321" spans="1:13" ht="17.25" thickBot="1" x14ac:dyDescent="0.4">
      <c r="A321" s="408"/>
      <c r="B321" s="111" t="s">
        <v>149</v>
      </c>
      <c r="C321" s="82">
        <f>SUM(C319:C320)</f>
        <v>1000</v>
      </c>
      <c r="D321" s="82"/>
      <c r="E321" s="82"/>
      <c r="F321" s="82"/>
      <c r="G321" s="82"/>
      <c r="H321" s="112"/>
      <c r="I321" s="113"/>
      <c r="J321" s="297"/>
      <c r="K321" s="38"/>
      <c r="L321" s="38"/>
      <c r="M321" s="38"/>
    </row>
    <row r="322" spans="1:13" ht="15.75" x14ac:dyDescent="0.3">
      <c r="A322" s="407" t="s">
        <v>190</v>
      </c>
      <c r="B322" s="50"/>
      <c r="C322" s="51"/>
      <c r="D322" s="52"/>
      <c r="E322" s="52"/>
      <c r="F322" s="51"/>
      <c r="G322" s="93"/>
      <c r="H322" s="99"/>
      <c r="I322" s="92"/>
      <c r="J322" s="295"/>
      <c r="K322" s="38"/>
      <c r="L322" s="38"/>
      <c r="M322" s="38"/>
    </row>
    <row r="323" spans="1:13" ht="15.75" x14ac:dyDescent="0.3">
      <c r="A323" s="407"/>
      <c r="B323" s="101" t="s">
        <v>206</v>
      </c>
      <c r="C323" s="95">
        <v>85</v>
      </c>
      <c r="D323" s="102">
        <v>5</v>
      </c>
      <c r="E323" s="86">
        <f>C323/D323</f>
        <v>17</v>
      </c>
      <c r="F323" s="95">
        <v>19</v>
      </c>
      <c r="G323" s="103">
        <v>1</v>
      </c>
      <c r="H323" s="99"/>
      <c r="I323" s="92"/>
      <c r="J323" s="296"/>
      <c r="K323" s="38"/>
      <c r="L323" s="38"/>
      <c r="M323" s="38"/>
    </row>
    <row r="324" spans="1:13" ht="15.75" x14ac:dyDescent="0.3">
      <c r="A324" s="407"/>
      <c r="B324" s="101" t="s">
        <v>192</v>
      </c>
      <c r="C324" s="114">
        <v>304</v>
      </c>
      <c r="D324" s="102">
        <v>16</v>
      </c>
      <c r="E324" s="86">
        <f>C324/D324</f>
        <v>19</v>
      </c>
      <c r="F324" s="95">
        <v>475</v>
      </c>
      <c r="G324" s="103">
        <v>24</v>
      </c>
      <c r="H324" s="99"/>
      <c r="I324" s="92"/>
      <c r="J324" s="296"/>
      <c r="K324" s="38"/>
      <c r="L324" s="38"/>
      <c r="M324" s="38"/>
    </row>
    <row r="325" spans="1:13" ht="16.5" x14ac:dyDescent="0.35">
      <c r="A325" s="407"/>
      <c r="B325" s="59" t="s">
        <v>146</v>
      </c>
      <c r="C325" s="60"/>
      <c r="D325" s="61">
        <f>SUM(D323:D324)</f>
        <v>21</v>
      </c>
      <c r="E325" s="61"/>
      <c r="F325" s="62"/>
      <c r="G325" s="61">
        <f>SUM(G323:G324)</f>
        <v>25</v>
      </c>
      <c r="H325" s="61"/>
      <c r="I325" s="92"/>
      <c r="J325" s="296"/>
      <c r="K325" s="38"/>
      <c r="L325" s="38"/>
      <c r="M325" s="38"/>
    </row>
    <row r="326" spans="1:13" ht="15.75" x14ac:dyDescent="0.3">
      <c r="A326" s="407"/>
      <c r="B326" s="65" t="s">
        <v>148</v>
      </c>
      <c r="C326" s="66"/>
      <c r="D326" s="68">
        <f>31-D325</f>
        <v>10</v>
      </c>
      <c r="E326" s="67"/>
      <c r="F326" s="67"/>
      <c r="G326" s="81">
        <f>31-G325</f>
        <v>6</v>
      </c>
      <c r="H326" s="97"/>
      <c r="I326" s="92"/>
      <c r="J326" s="296"/>
      <c r="K326" s="38"/>
      <c r="L326" s="38"/>
      <c r="M326" s="38"/>
    </row>
    <row r="327" spans="1:13" ht="17.25" thickBot="1" x14ac:dyDescent="0.4">
      <c r="A327" s="408"/>
      <c r="B327" s="70" t="s">
        <v>149</v>
      </c>
      <c r="C327" s="71">
        <f>SUM(C323:C324)</f>
        <v>389</v>
      </c>
      <c r="D327" s="71">
        <f>D326+D325</f>
        <v>31</v>
      </c>
      <c r="E327" s="71"/>
      <c r="F327" s="71">
        <f>SUM(F323:F324)</f>
        <v>494</v>
      </c>
      <c r="G327" s="71">
        <f>G326+G325</f>
        <v>31</v>
      </c>
      <c r="H327" s="105"/>
      <c r="I327" s="73">
        <f>F327/C327</f>
        <v>1.2699228791773778</v>
      </c>
      <c r="J327" s="297"/>
      <c r="K327" s="38"/>
      <c r="L327" s="38"/>
      <c r="M327" s="38"/>
    </row>
    <row r="328" spans="1:13" ht="19.5" x14ac:dyDescent="0.3">
      <c r="A328" s="234"/>
      <c r="B328" s="101" t="s">
        <v>185</v>
      </c>
      <c r="C328" s="95">
        <v>70</v>
      </c>
      <c r="D328" s="102">
        <v>1</v>
      </c>
      <c r="E328" s="86">
        <f>C328/D328</f>
        <v>70</v>
      </c>
      <c r="F328" s="95"/>
      <c r="G328" s="103"/>
      <c r="H328" s="99"/>
      <c r="I328" s="92">
        <f>H328/E328</f>
        <v>0</v>
      </c>
      <c r="J328" s="276"/>
      <c r="K328" s="38"/>
      <c r="L328" s="38"/>
      <c r="M328" s="38"/>
    </row>
    <row r="329" spans="1:13" ht="15.75" x14ac:dyDescent="0.3">
      <c r="A329" s="407" t="s">
        <v>194</v>
      </c>
      <c r="B329" s="101" t="s">
        <v>208</v>
      </c>
      <c r="C329" s="95"/>
      <c r="D329" s="102"/>
      <c r="E329" s="86"/>
      <c r="F329" s="95"/>
      <c r="G329" s="103"/>
      <c r="H329" s="99"/>
      <c r="I329" s="92"/>
      <c r="J329" s="277"/>
      <c r="K329" s="38"/>
      <c r="L329" s="38"/>
      <c r="M329" s="38"/>
    </row>
    <row r="330" spans="1:13" ht="15.75" x14ac:dyDescent="0.3">
      <c r="A330" s="407"/>
      <c r="B330" s="101" t="s">
        <v>234</v>
      </c>
      <c r="C330" s="114">
        <v>275</v>
      </c>
      <c r="D330" s="102">
        <v>5.5</v>
      </c>
      <c r="E330" s="86">
        <f>C330/D330</f>
        <v>50</v>
      </c>
      <c r="F330" s="95">
        <v>342.68397599999997</v>
      </c>
      <c r="G330" s="103">
        <v>6</v>
      </c>
      <c r="H330" s="99">
        <f>F330/G330</f>
        <v>57.113995999999993</v>
      </c>
      <c r="I330" s="92"/>
      <c r="J330" s="277"/>
      <c r="K330" s="38"/>
      <c r="L330" s="38"/>
      <c r="M330" s="38"/>
    </row>
    <row r="331" spans="1:13" ht="16.5" x14ac:dyDescent="0.35">
      <c r="A331" s="407"/>
      <c r="B331" s="59" t="s">
        <v>146</v>
      </c>
      <c r="C331" s="60"/>
      <c r="D331" s="61">
        <f>SUM(D328:D330)</f>
        <v>6.5</v>
      </c>
      <c r="E331" s="61"/>
      <c r="F331" s="62"/>
      <c r="G331" s="61">
        <f>SUM(G329:G330)</f>
        <v>6</v>
      </c>
      <c r="H331" s="61"/>
      <c r="I331" s="92"/>
      <c r="J331" s="277"/>
      <c r="K331" s="38"/>
      <c r="L331" s="38"/>
      <c r="M331" s="38"/>
    </row>
    <row r="332" spans="1:13" ht="15.75" x14ac:dyDescent="0.3">
      <c r="A332" s="407"/>
      <c r="B332" s="65" t="s">
        <v>148</v>
      </c>
      <c r="C332" s="66"/>
      <c r="D332" s="68">
        <f>31-D331</f>
        <v>24.5</v>
      </c>
      <c r="E332" s="67"/>
      <c r="F332" s="67"/>
      <c r="G332" s="81">
        <f>31-G331</f>
        <v>25</v>
      </c>
      <c r="H332" s="97"/>
      <c r="I332" s="92"/>
      <c r="J332" s="277"/>
      <c r="K332" s="38"/>
      <c r="L332" s="38"/>
      <c r="M332" s="38"/>
    </row>
    <row r="333" spans="1:13" ht="17.25" thickBot="1" x14ac:dyDescent="0.4">
      <c r="A333" s="408"/>
      <c r="B333" s="70" t="s">
        <v>149</v>
      </c>
      <c r="C333" s="71">
        <f>SUM(C328:C330)</f>
        <v>345</v>
      </c>
      <c r="D333" s="71">
        <f>D332+D331</f>
        <v>31</v>
      </c>
      <c r="E333" s="71"/>
      <c r="F333" s="71">
        <f>SUM(F328:F330)</f>
        <v>342.68397599999997</v>
      </c>
      <c r="G333" s="71">
        <f>G332+G331</f>
        <v>31</v>
      </c>
      <c r="H333" s="105"/>
      <c r="I333" s="73">
        <f>F333/C333</f>
        <v>0.99328688695652168</v>
      </c>
      <c r="J333" s="278"/>
      <c r="K333" s="38"/>
      <c r="L333" s="38"/>
      <c r="M333" s="38"/>
    </row>
    <row r="334" spans="1:13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118"/>
      <c r="K334" s="38"/>
      <c r="L334" s="38"/>
      <c r="M334" s="38"/>
    </row>
    <row r="335" spans="1:13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118"/>
      <c r="K335" s="38"/>
      <c r="L335" s="38"/>
      <c r="M335" s="38"/>
    </row>
    <row r="336" spans="1:13" ht="21" x14ac:dyDescent="0.4">
      <c r="A336" s="37" t="s">
        <v>235</v>
      </c>
      <c r="B336" s="37"/>
      <c r="C336" s="37"/>
      <c r="D336" s="37"/>
      <c r="E336" s="37"/>
      <c r="F336" s="37"/>
      <c r="G336" s="37"/>
      <c r="H336" s="37"/>
      <c r="I336" s="37"/>
      <c r="J336" s="37"/>
      <c r="K336" s="38"/>
      <c r="L336" s="38"/>
      <c r="M336" s="38"/>
    </row>
    <row r="337" spans="1:13" ht="17.25" thickBot="1" x14ac:dyDescent="0.4">
      <c r="A337" s="40"/>
      <c r="B337" s="41"/>
      <c r="C337" s="42"/>
      <c r="D337" s="42"/>
      <c r="E337" s="42"/>
      <c r="F337" s="42"/>
      <c r="G337" s="42"/>
      <c r="H337" s="42"/>
      <c r="I337" s="42"/>
      <c r="J337" s="43"/>
      <c r="K337" s="38"/>
      <c r="L337" s="38"/>
      <c r="M337" s="38"/>
    </row>
    <row r="338" spans="1:13" ht="16.5" x14ac:dyDescent="0.35">
      <c r="A338" s="409" t="s">
        <v>128</v>
      </c>
      <c r="B338" s="44"/>
      <c r="C338" s="45"/>
      <c r="D338" s="45"/>
      <c r="E338" s="45"/>
      <c r="F338" s="45"/>
      <c r="G338" s="411" t="s">
        <v>129</v>
      </c>
      <c r="H338" s="233"/>
      <c r="I338" s="413" t="s">
        <v>130</v>
      </c>
      <c r="J338" s="279" t="s">
        <v>131</v>
      </c>
      <c r="K338" s="38"/>
      <c r="L338" s="38"/>
      <c r="M338" s="38"/>
    </row>
    <row r="339" spans="1:13" ht="66.75" thickBot="1" x14ac:dyDescent="0.3">
      <c r="A339" s="435"/>
      <c r="B339" s="46"/>
      <c r="C339" s="47" t="s">
        <v>132</v>
      </c>
      <c r="D339" s="48" t="s">
        <v>133</v>
      </c>
      <c r="E339" s="48" t="s">
        <v>134</v>
      </c>
      <c r="F339" s="49" t="s">
        <v>135</v>
      </c>
      <c r="G339" s="412"/>
      <c r="H339" s="48" t="s">
        <v>136</v>
      </c>
      <c r="I339" s="436"/>
      <c r="J339" s="280"/>
      <c r="K339" s="38"/>
      <c r="L339" s="38"/>
      <c r="M339" s="38"/>
    </row>
    <row r="340" spans="1:13" ht="15.75" x14ac:dyDescent="0.3">
      <c r="A340" s="429" t="s">
        <v>137</v>
      </c>
      <c r="B340" s="50" t="s">
        <v>138</v>
      </c>
      <c r="C340" s="51">
        <f>2570+950</f>
        <v>3520</v>
      </c>
      <c r="D340" s="123">
        <f>9+4</f>
        <v>13</v>
      </c>
      <c r="E340" s="52">
        <f>C340/D340</f>
        <v>270.76923076923077</v>
      </c>
      <c r="F340" s="51">
        <v>3623.02</v>
      </c>
      <c r="G340" s="53">
        <v>13</v>
      </c>
      <c r="H340" s="53">
        <f>F340/G340</f>
        <v>278.69384615384615</v>
      </c>
      <c r="I340" s="54">
        <f>H340/E340</f>
        <v>1.0292670454545454</v>
      </c>
      <c r="J340" s="281" t="s">
        <v>236</v>
      </c>
      <c r="K340" s="38"/>
      <c r="L340" s="38"/>
      <c r="M340" s="38"/>
    </row>
    <row r="341" spans="1:13" ht="15.75" x14ac:dyDescent="0.3">
      <c r="A341" s="430"/>
      <c r="B341" s="56" t="s">
        <v>140</v>
      </c>
      <c r="C341" s="57">
        <v>770</v>
      </c>
      <c r="D341" s="53">
        <v>4</v>
      </c>
      <c r="E341" s="52">
        <f>C341/D341</f>
        <v>192.5</v>
      </c>
      <c r="F341" s="57">
        <v>594</v>
      </c>
      <c r="G341" s="53">
        <v>4</v>
      </c>
      <c r="H341" s="53">
        <f>F341/G341</f>
        <v>148.5</v>
      </c>
      <c r="I341" s="54">
        <f>H341/E341</f>
        <v>0.77142857142857146</v>
      </c>
      <c r="J341" s="282"/>
      <c r="K341" s="38"/>
      <c r="L341" s="38"/>
      <c r="M341" s="38"/>
    </row>
    <row r="342" spans="1:13" ht="15.75" x14ac:dyDescent="0.3">
      <c r="A342" s="430"/>
      <c r="B342" s="56" t="s">
        <v>141</v>
      </c>
      <c r="C342" s="57">
        <v>260</v>
      </c>
      <c r="D342" s="58">
        <v>1</v>
      </c>
      <c r="E342" s="52">
        <f>C342/D342</f>
        <v>260</v>
      </c>
      <c r="F342" s="57">
        <v>369.44</v>
      </c>
      <c r="G342" s="124">
        <v>1.5</v>
      </c>
      <c r="H342" s="53">
        <f>F342/G342</f>
        <v>246.29333333333332</v>
      </c>
      <c r="I342" s="54">
        <f>H342/E342</f>
        <v>0.94728205128205123</v>
      </c>
      <c r="J342" s="282"/>
      <c r="K342" s="38"/>
      <c r="L342" s="38"/>
      <c r="M342" s="38"/>
    </row>
    <row r="343" spans="1:13" ht="15.75" x14ac:dyDescent="0.3">
      <c r="A343" s="430"/>
      <c r="B343" s="56" t="s">
        <v>142</v>
      </c>
      <c r="C343" s="57">
        <v>1750</v>
      </c>
      <c r="D343" s="58">
        <v>8</v>
      </c>
      <c r="E343" s="52">
        <f>C343/D343</f>
        <v>218.75</v>
      </c>
      <c r="F343" s="57">
        <v>1784.2700000000002</v>
      </c>
      <c r="G343" s="53">
        <v>7.5</v>
      </c>
      <c r="H343" s="53">
        <f>F343/G343</f>
        <v>237.9026666666667</v>
      </c>
      <c r="I343" s="54">
        <f>H343/E343</f>
        <v>1.0875550476190479</v>
      </c>
      <c r="J343" s="282"/>
      <c r="K343" s="38"/>
      <c r="L343" s="38"/>
      <c r="M343" s="38"/>
    </row>
    <row r="344" spans="1:13" ht="15.75" x14ac:dyDescent="0.3">
      <c r="A344" s="430"/>
      <c r="B344" s="56" t="s">
        <v>143</v>
      </c>
      <c r="C344" s="57"/>
      <c r="D344" s="58"/>
      <c r="E344" s="52"/>
      <c r="F344" s="57"/>
      <c r="G344" s="53"/>
      <c r="H344" s="53"/>
      <c r="I344" s="54"/>
      <c r="J344" s="282"/>
      <c r="K344" s="38"/>
      <c r="L344" s="38"/>
      <c r="M344" s="38"/>
    </row>
    <row r="345" spans="1:13" ht="15.75" x14ac:dyDescent="0.3">
      <c r="A345" s="430"/>
      <c r="B345" s="56" t="s">
        <v>144</v>
      </c>
      <c r="C345" s="57"/>
      <c r="D345" s="58"/>
      <c r="E345" s="52"/>
      <c r="F345" s="57"/>
      <c r="G345" s="53"/>
      <c r="H345" s="53"/>
      <c r="I345" s="53"/>
      <c r="J345" s="282"/>
      <c r="K345" s="38"/>
      <c r="L345" s="38"/>
      <c r="M345" s="38"/>
    </row>
    <row r="346" spans="1:13" ht="15.75" x14ac:dyDescent="0.3">
      <c r="A346" s="430"/>
      <c r="B346" s="56" t="s">
        <v>145</v>
      </c>
      <c r="C346" s="57"/>
      <c r="D346" s="58"/>
      <c r="E346" s="52"/>
      <c r="F346" s="57"/>
      <c r="G346" s="53"/>
      <c r="H346" s="53"/>
      <c r="I346" s="54"/>
      <c r="J346" s="282"/>
      <c r="K346" s="38"/>
      <c r="L346" s="38"/>
      <c r="M346" s="38"/>
    </row>
    <row r="347" spans="1:13" ht="15.75" x14ac:dyDescent="0.3">
      <c r="A347" s="430"/>
      <c r="B347" s="56"/>
      <c r="C347" s="57"/>
      <c r="D347" s="58"/>
      <c r="E347" s="52"/>
      <c r="F347" s="57"/>
      <c r="G347" s="53"/>
      <c r="H347" s="53"/>
      <c r="I347" s="53"/>
      <c r="J347" s="282"/>
      <c r="K347" s="38"/>
      <c r="L347" s="38"/>
      <c r="M347" s="38"/>
    </row>
    <row r="348" spans="1:13" ht="16.5" x14ac:dyDescent="0.35">
      <c r="A348" s="431"/>
      <c r="B348" s="59" t="s">
        <v>146</v>
      </c>
      <c r="C348" s="60"/>
      <c r="D348" s="61">
        <f>SUM(D340:D347)</f>
        <v>26</v>
      </c>
      <c r="E348" s="61"/>
      <c r="F348" s="62"/>
      <c r="G348" s="125">
        <f>SUM(G340:G347)</f>
        <v>26</v>
      </c>
      <c r="H348" s="64"/>
      <c r="I348" s="53"/>
      <c r="J348" s="282"/>
      <c r="K348" s="38"/>
      <c r="L348" s="38"/>
      <c r="M348" s="38"/>
    </row>
    <row r="349" spans="1:13" ht="16.5" x14ac:dyDescent="0.35">
      <c r="A349" s="431"/>
      <c r="B349" s="59" t="s">
        <v>147</v>
      </c>
      <c r="C349" s="60"/>
      <c r="D349" s="61">
        <v>0</v>
      </c>
      <c r="E349" s="62"/>
      <c r="F349" s="62"/>
      <c r="G349" s="63"/>
      <c r="H349" s="64"/>
      <c r="I349" s="53"/>
      <c r="J349" s="282"/>
      <c r="K349" s="38"/>
      <c r="L349" s="38"/>
      <c r="M349" s="38"/>
    </row>
    <row r="350" spans="1:13" ht="15.75" x14ac:dyDescent="0.3">
      <c r="A350" s="432"/>
      <c r="B350" s="65" t="s">
        <v>148</v>
      </c>
      <c r="C350" s="66"/>
      <c r="D350" s="67">
        <v>3</v>
      </c>
      <c r="E350" s="67"/>
      <c r="F350" s="67"/>
      <c r="G350" s="68">
        <v>3</v>
      </c>
      <c r="H350" s="69"/>
      <c r="I350" s="53"/>
      <c r="J350" s="282"/>
      <c r="K350" s="38"/>
      <c r="L350" s="38"/>
      <c r="M350" s="38"/>
    </row>
    <row r="351" spans="1:13" ht="17.25" thickBot="1" x14ac:dyDescent="0.4">
      <c r="A351" s="433"/>
      <c r="B351" s="70" t="s">
        <v>149</v>
      </c>
      <c r="C351" s="71">
        <f>SUM(C340:C346)</f>
        <v>6300</v>
      </c>
      <c r="D351" s="71">
        <f>D348+D349+D350</f>
        <v>29</v>
      </c>
      <c r="E351" s="71">
        <f>E348+E349+E350</f>
        <v>0</v>
      </c>
      <c r="F351" s="72">
        <f>SUM(F340:F347)</f>
        <v>6370.7300000000005</v>
      </c>
      <c r="G351" s="126">
        <f>G348+G349+G350</f>
        <v>29</v>
      </c>
      <c r="H351" s="71"/>
      <c r="I351" s="73">
        <f>F351/C351</f>
        <v>1.0112269841269843</v>
      </c>
      <c r="J351" s="283"/>
      <c r="K351" s="38"/>
      <c r="L351" s="38"/>
      <c r="M351" s="38"/>
    </row>
    <row r="352" spans="1:13" ht="45" x14ac:dyDescent="0.3">
      <c r="A352" s="421" t="s">
        <v>150</v>
      </c>
      <c r="B352" s="50" t="s">
        <v>211</v>
      </c>
      <c r="C352" s="76">
        <v>2074</v>
      </c>
      <c r="D352" s="52">
        <v>7</v>
      </c>
      <c r="E352" s="52">
        <f>C352/D352</f>
        <v>296.28571428571428</v>
      </c>
      <c r="F352" s="51">
        <f>555.957+1924</f>
        <v>2479.9569999999999</v>
      </c>
      <c r="G352" s="52">
        <v>11</v>
      </c>
      <c r="H352" s="53">
        <f>F352/G352</f>
        <v>225.45063636363636</v>
      </c>
      <c r="I352" s="91">
        <f>H352/E352</f>
        <v>0.76092307355132816</v>
      </c>
      <c r="J352" s="284" t="s">
        <v>237</v>
      </c>
      <c r="K352" s="38"/>
      <c r="L352" s="38"/>
      <c r="M352" s="38"/>
    </row>
    <row r="353" spans="1:13" ht="15.75" x14ac:dyDescent="0.3">
      <c r="A353" s="422"/>
      <c r="B353" s="50" t="s">
        <v>154</v>
      </c>
      <c r="C353" s="76">
        <v>0</v>
      </c>
      <c r="D353" s="52"/>
      <c r="E353" s="52"/>
      <c r="F353" s="52">
        <v>145.87099999999998</v>
      </c>
      <c r="G353" s="127"/>
      <c r="H353" s="117"/>
      <c r="I353" s="99"/>
      <c r="J353" s="285"/>
      <c r="K353" s="38"/>
      <c r="L353" s="38"/>
      <c r="M353" s="38"/>
    </row>
    <row r="354" spans="1:13" ht="15.75" x14ac:dyDescent="0.3">
      <c r="A354" s="422"/>
      <c r="B354" s="50" t="s">
        <v>155</v>
      </c>
      <c r="C354" s="57">
        <v>320</v>
      </c>
      <c r="D354" s="58">
        <v>3</v>
      </c>
      <c r="E354" s="52">
        <f>C354/D354</f>
        <v>106.66666666666667</v>
      </c>
      <c r="F354" s="57">
        <v>11.8</v>
      </c>
      <c r="G354" s="58"/>
      <c r="H354" s="53"/>
      <c r="I354" s="99"/>
      <c r="J354" s="285"/>
      <c r="K354" s="38"/>
      <c r="L354" s="38"/>
      <c r="M354" s="38"/>
    </row>
    <row r="355" spans="1:13" ht="15.75" x14ac:dyDescent="0.3">
      <c r="A355" s="422"/>
      <c r="B355" s="78" t="s">
        <v>156</v>
      </c>
      <c r="C355" s="51">
        <v>0</v>
      </c>
      <c r="D355" s="52"/>
      <c r="E355" s="52"/>
      <c r="F355" s="79"/>
      <c r="G355" s="52"/>
      <c r="H355" s="53"/>
      <c r="I355" s="99"/>
      <c r="J355" s="285"/>
      <c r="K355" s="38"/>
      <c r="L355" s="38"/>
      <c r="M355" s="38"/>
    </row>
    <row r="356" spans="1:13" ht="15.75" x14ac:dyDescent="0.3">
      <c r="A356" s="422"/>
      <c r="B356" s="78" t="s">
        <v>213</v>
      </c>
      <c r="C356" s="51">
        <v>0</v>
      </c>
      <c r="D356" s="52"/>
      <c r="E356" s="52"/>
      <c r="F356" s="51"/>
      <c r="G356" s="52"/>
      <c r="H356" s="53"/>
      <c r="I356" s="99"/>
      <c r="J356" s="285"/>
      <c r="K356" s="38"/>
      <c r="L356" s="38"/>
      <c r="M356" s="38"/>
    </row>
    <row r="357" spans="1:13" ht="15.75" x14ac:dyDescent="0.3">
      <c r="A357" s="422"/>
      <c r="B357" s="78" t="s">
        <v>214</v>
      </c>
      <c r="C357" s="51">
        <v>230</v>
      </c>
      <c r="D357" s="52">
        <v>3</v>
      </c>
      <c r="E357" s="52">
        <f>C357/D357</f>
        <v>76.666666666666671</v>
      </c>
      <c r="F357" s="52">
        <v>236.97</v>
      </c>
      <c r="G357" s="52">
        <v>3</v>
      </c>
      <c r="H357" s="53">
        <f>F357/G357</f>
        <v>78.989999999999995</v>
      </c>
      <c r="I357" s="91">
        <f>H357/E357</f>
        <v>1.0303043478260869</v>
      </c>
      <c r="J357" s="285"/>
      <c r="K357" s="38"/>
      <c r="L357" s="38"/>
      <c r="M357" s="38"/>
    </row>
    <row r="358" spans="1:13" ht="15.75" x14ac:dyDescent="0.3">
      <c r="A358" s="422"/>
      <c r="B358" s="78" t="s">
        <v>157</v>
      </c>
      <c r="C358" s="51"/>
      <c r="D358" s="52"/>
      <c r="E358" s="52"/>
      <c r="F358" s="79"/>
      <c r="G358" s="52"/>
      <c r="H358" s="53"/>
      <c r="I358" s="99"/>
      <c r="J358" s="285"/>
      <c r="K358" s="38"/>
      <c r="L358" s="38"/>
      <c r="M358" s="38"/>
    </row>
    <row r="359" spans="1:13" ht="15.75" x14ac:dyDescent="0.3">
      <c r="A359" s="422"/>
      <c r="B359" s="78" t="s">
        <v>158</v>
      </c>
      <c r="C359" s="51"/>
      <c r="D359" s="52"/>
      <c r="E359" s="52"/>
      <c r="F359" s="79"/>
      <c r="G359" s="52"/>
      <c r="H359" s="53"/>
      <c r="I359" s="99"/>
      <c r="J359" s="285"/>
      <c r="K359" s="38"/>
      <c r="L359" s="38"/>
      <c r="M359" s="38"/>
    </row>
    <row r="360" spans="1:13" ht="15.75" x14ac:dyDescent="0.3">
      <c r="A360" s="422"/>
      <c r="B360" s="78" t="s">
        <v>230</v>
      </c>
      <c r="C360" s="51"/>
      <c r="D360" s="52"/>
      <c r="E360" s="52"/>
      <c r="F360" s="51"/>
      <c r="G360" s="52"/>
      <c r="H360" s="53"/>
      <c r="I360" s="99"/>
      <c r="J360" s="285"/>
      <c r="K360" s="38"/>
      <c r="L360" s="38"/>
      <c r="M360" s="38"/>
    </row>
    <row r="361" spans="1:13" ht="16.5" x14ac:dyDescent="0.35">
      <c r="A361" s="422"/>
      <c r="B361" s="59" t="s">
        <v>146</v>
      </c>
      <c r="C361" s="60"/>
      <c r="D361" s="61">
        <f>SUM(D352:D359)</f>
        <v>13</v>
      </c>
      <c r="E361" s="61"/>
      <c r="F361" s="62"/>
      <c r="G361" s="63">
        <f>SUM(G352:G360)</f>
        <v>14</v>
      </c>
      <c r="H361" s="64"/>
      <c r="I361" s="99"/>
      <c r="J361" s="286"/>
      <c r="K361" s="38"/>
      <c r="L361" s="38"/>
      <c r="M361" s="38"/>
    </row>
    <row r="362" spans="1:13" ht="15.75" x14ac:dyDescent="0.3">
      <c r="A362" s="422"/>
      <c r="B362" s="65" t="s">
        <v>148</v>
      </c>
      <c r="C362" s="66"/>
      <c r="D362" s="67">
        <f>29-D361</f>
        <v>16</v>
      </c>
      <c r="E362" s="67"/>
      <c r="F362" s="67"/>
      <c r="G362" s="81">
        <f>29-G361</f>
        <v>15</v>
      </c>
      <c r="H362" s="81"/>
      <c r="I362" s="99"/>
      <c r="J362" s="286"/>
      <c r="K362" s="38"/>
      <c r="L362" s="38"/>
      <c r="M362" s="38"/>
    </row>
    <row r="363" spans="1:13" ht="17.25" thickBot="1" x14ac:dyDescent="0.4">
      <c r="A363" s="423"/>
      <c r="B363" s="70" t="s">
        <v>149</v>
      </c>
      <c r="C363" s="71">
        <f>SUM(C352:C360)</f>
        <v>2624</v>
      </c>
      <c r="D363" s="71">
        <f>D361+D362</f>
        <v>29</v>
      </c>
      <c r="E363" s="71"/>
      <c r="F363" s="71">
        <f>SUM(F352:F360)</f>
        <v>2874.598</v>
      </c>
      <c r="G363" s="71">
        <f>G361+G362</f>
        <v>29</v>
      </c>
      <c r="H363" s="82"/>
      <c r="I363" s="73">
        <f>F363/C363</f>
        <v>1.0955022865853659</v>
      </c>
      <c r="J363" s="287"/>
      <c r="K363" s="38"/>
      <c r="L363" s="38"/>
      <c r="M363" s="38"/>
    </row>
    <row r="364" spans="1:13" ht="30" x14ac:dyDescent="0.3">
      <c r="A364" s="425" t="s">
        <v>161</v>
      </c>
      <c r="B364" s="50" t="s">
        <v>199</v>
      </c>
      <c r="C364" s="76">
        <v>386</v>
      </c>
      <c r="D364" s="83">
        <v>6</v>
      </c>
      <c r="E364" s="52">
        <f t="shared" ref="E364:E370" si="10">C364/D364</f>
        <v>64.333333333333329</v>
      </c>
      <c r="F364" s="51">
        <v>276.38</v>
      </c>
      <c r="G364" s="52">
        <v>4</v>
      </c>
      <c r="H364" s="53">
        <f t="shared" ref="H364:H372" si="11">F364/G364</f>
        <v>69.094999999999999</v>
      </c>
      <c r="I364" s="92">
        <f>H364/E364</f>
        <v>1.0740155440414509</v>
      </c>
      <c r="J364" s="288" t="s">
        <v>238</v>
      </c>
      <c r="K364" s="38"/>
      <c r="L364" s="38"/>
      <c r="M364" s="38"/>
    </row>
    <row r="365" spans="1:13" ht="15.75" x14ac:dyDescent="0.3">
      <c r="A365" s="434"/>
      <c r="B365" s="50" t="s">
        <v>215</v>
      </c>
      <c r="C365" s="76">
        <v>194</v>
      </c>
      <c r="D365" s="52">
        <v>2.5</v>
      </c>
      <c r="E365" s="52">
        <f t="shared" si="10"/>
        <v>77.599999999999994</v>
      </c>
      <c r="F365" s="51">
        <v>221.393</v>
      </c>
      <c r="G365" s="52">
        <v>3</v>
      </c>
      <c r="H365" s="53">
        <f t="shared" si="11"/>
        <v>73.797666666666672</v>
      </c>
      <c r="I365" s="92">
        <f>H365/E365</f>
        <v>0.95100085910652932</v>
      </c>
      <c r="J365" s="289"/>
      <c r="K365" s="38"/>
      <c r="L365" s="38"/>
      <c r="M365" s="38"/>
    </row>
    <row r="366" spans="1:13" ht="15.75" x14ac:dyDescent="0.3">
      <c r="A366" s="426"/>
      <c r="B366" s="50" t="s">
        <v>216</v>
      </c>
      <c r="C366" s="76"/>
      <c r="D366" s="84"/>
      <c r="E366" s="52"/>
      <c r="F366" s="57"/>
      <c r="G366" s="52"/>
      <c r="H366" s="53"/>
      <c r="I366" s="92"/>
      <c r="J366" s="289"/>
      <c r="K366" s="38"/>
      <c r="L366" s="38"/>
      <c r="M366" s="38"/>
    </row>
    <row r="367" spans="1:13" ht="16.5" thickBot="1" x14ac:dyDescent="0.35">
      <c r="A367" s="426"/>
      <c r="B367" s="50" t="s">
        <v>239</v>
      </c>
      <c r="C367" s="76"/>
      <c r="D367" s="84"/>
      <c r="E367" s="52"/>
      <c r="F367" s="57">
        <v>190</v>
      </c>
      <c r="G367" s="52">
        <v>2</v>
      </c>
      <c r="H367" s="53">
        <f t="shared" si="11"/>
        <v>95</v>
      </c>
      <c r="I367" s="92"/>
      <c r="J367" s="289"/>
      <c r="K367" s="38"/>
      <c r="L367" s="38"/>
      <c r="M367" s="38"/>
    </row>
    <row r="368" spans="1:13" ht="15.75" x14ac:dyDescent="0.3">
      <c r="A368" s="426"/>
      <c r="B368" s="50" t="s">
        <v>218</v>
      </c>
      <c r="C368" s="76">
        <v>735</v>
      </c>
      <c r="D368" s="83">
        <v>6</v>
      </c>
      <c r="E368" s="52">
        <f t="shared" si="10"/>
        <v>122.5</v>
      </c>
      <c r="F368" s="57">
        <f>665+236</f>
        <v>901</v>
      </c>
      <c r="G368" s="52">
        <v>8</v>
      </c>
      <c r="H368" s="53">
        <f t="shared" si="11"/>
        <v>112.625</v>
      </c>
      <c r="I368" s="92">
        <f>H368/E368</f>
        <v>0.91938775510204085</v>
      </c>
      <c r="J368" s="289"/>
      <c r="K368" s="38"/>
      <c r="L368" s="38"/>
      <c r="M368" s="38"/>
    </row>
    <row r="369" spans="1:13" ht="15.75" x14ac:dyDescent="0.3">
      <c r="A369" s="426"/>
      <c r="B369" s="50" t="s">
        <v>232</v>
      </c>
      <c r="C369" s="76"/>
      <c r="D369" s="84"/>
      <c r="E369" s="52"/>
      <c r="F369" s="51"/>
      <c r="G369" s="52"/>
      <c r="H369" s="53"/>
      <c r="I369" s="92"/>
      <c r="J369" s="289"/>
      <c r="K369" s="38"/>
      <c r="L369" s="38"/>
      <c r="M369" s="38"/>
    </row>
    <row r="370" spans="1:13" ht="15.75" x14ac:dyDescent="0.3">
      <c r="A370" s="426"/>
      <c r="B370" s="50" t="s">
        <v>167</v>
      </c>
      <c r="C370" s="76">
        <v>300</v>
      </c>
      <c r="D370" s="84">
        <v>5</v>
      </c>
      <c r="E370" s="52">
        <f t="shared" si="10"/>
        <v>60</v>
      </c>
      <c r="F370" s="57">
        <v>425.19999999999993</v>
      </c>
      <c r="G370" s="52">
        <v>7</v>
      </c>
      <c r="H370" s="53">
        <f t="shared" si="11"/>
        <v>60.742857142857133</v>
      </c>
      <c r="I370" s="92">
        <f>H370/E370</f>
        <v>1.0123809523809522</v>
      </c>
      <c r="J370" s="289"/>
      <c r="K370" s="38"/>
      <c r="L370" s="38"/>
      <c r="M370" s="38"/>
    </row>
    <row r="371" spans="1:13" ht="15.75" x14ac:dyDescent="0.3">
      <c r="A371" s="426"/>
      <c r="B371" s="50" t="s">
        <v>168</v>
      </c>
      <c r="C371" s="76"/>
      <c r="D371" s="84"/>
      <c r="E371" s="52"/>
      <c r="F371" s="57"/>
      <c r="G371" s="52"/>
      <c r="H371" s="86"/>
      <c r="I371" s="92"/>
      <c r="J371" s="289"/>
      <c r="K371" s="38"/>
      <c r="L371" s="38"/>
      <c r="M371" s="38"/>
    </row>
    <row r="372" spans="1:13" ht="15.75" x14ac:dyDescent="0.3">
      <c r="A372" s="426"/>
      <c r="B372" s="50" t="s">
        <v>217</v>
      </c>
      <c r="C372" s="76"/>
      <c r="D372" s="84"/>
      <c r="E372" s="52"/>
      <c r="F372" s="57">
        <v>59.712000000000003</v>
      </c>
      <c r="G372" s="52">
        <v>1</v>
      </c>
      <c r="H372" s="53">
        <f t="shared" si="11"/>
        <v>59.712000000000003</v>
      </c>
      <c r="I372" s="92"/>
      <c r="J372" s="289"/>
      <c r="K372" s="38"/>
      <c r="L372" s="38"/>
      <c r="M372" s="38"/>
    </row>
    <row r="373" spans="1:13" ht="15.75" x14ac:dyDescent="0.3">
      <c r="A373" s="426"/>
      <c r="B373" s="50"/>
      <c r="C373" s="76"/>
      <c r="D373" s="84"/>
      <c r="E373" s="84"/>
      <c r="F373" s="57">
        <v>0</v>
      </c>
      <c r="G373" s="52"/>
      <c r="H373" s="86"/>
      <c r="I373" s="92"/>
      <c r="J373" s="289"/>
      <c r="K373" s="38"/>
      <c r="L373" s="38"/>
      <c r="M373" s="38"/>
    </row>
    <row r="374" spans="1:13" ht="16.5" x14ac:dyDescent="0.35">
      <c r="A374" s="426"/>
      <c r="B374" s="59" t="s">
        <v>146</v>
      </c>
      <c r="C374" s="60"/>
      <c r="D374" s="128">
        <f>SUM(D364:D372)</f>
        <v>19.5</v>
      </c>
      <c r="E374" s="61"/>
      <c r="F374" s="62"/>
      <c r="G374" s="63">
        <f>SUM(G364:G372)</f>
        <v>25</v>
      </c>
      <c r="H374" s="64"/>
      <c r="I374" s="92"/>
      <c r="J374" s="289"/>
      <c r="K374" s="38"/>
      <c r="L374" s="38"/>
      <c r="M374" s="38"/>
    </row>
    <row r="375" spans="1:13" ht="15.75" x14ac:dyDescent="0.3">
      <c r="A375" s="427"/>
      <c r="B375" s="65" t="s">
        <v>148</v>
      </c>
      <c r="C375" s="66"/>
      <c r="D375" s="129">
        <f>29-D374</f>
        <v>9.5</v>
      </c>
      <c r="E375" s="67"/>
      <c r="F375" s="67"/>
      <c r="G375" s="67">
        <f>29-G374</f>
        <v>4</v>
      </c>
      <c r="H375" s="87"/>
      <c r="I375" s="92"/>
      <c r="J375" s="290"/>
      <c r="K375" s="38"/>
      <c r="L375" s="38"/>
      <c r="M375" s="38"/>
    </row>
    <row r="376" spans="1:13" ht="17.25" thickBot="1" x14ac:dyDescent="0.4">
      <c r="A376" s="428"/>
      <c r="B376" s="70" t="s">
        <v>149</v>
      </c>
      <c r="C376" s="71">
        <f>SUM(C364:C372)</f>
        <v>1615</v>
      </c>
      <c r="D376" s="71">
        <f>D374+D375</f>
        <v>29</v>
      </c>
      <c r="E376" s="71">
        <f>SUM(E364:E372)</f>
        <v>324.43333333333334</v>
      </c>
      <c r="F376" s="71">
        <f>SUM(F364:F372)</f>
        <v>2073.6849999999999</v>
      </c>
      <c r="G376" s="71">
        <f>G375+G374</f>
        <v>29</v>
      </c>
      <c r="H376" s="82"/>
      <c r="I376" s="73">
        <f>F376/C376</f>
        <v>1.2840154798761609</v>
      </c>
      <c r="J376" s="291"/>
      <c r="K376" s="38"/>
      <c r="L376" s="38"/>
      <c r="M376" s="38"/>
    </row>
    <row r="377" spans="1:13" ht="15.75" x14ac:dyDescent="0.3">
      <c r="A377" s="425" t="s">
        <v>169</v>
      </c>
      <c r="B377" s="88" t="s">
        <v>170</v>
      </c>
      <c r="C377" s="89">
        <v>280</v>
      </c>
      <c r="D377" s="52">
        <v>5</v>
      </c>
      <c r="E377" s="52">
        <f>C377/D377</f>
        <v>56</v>
      </c>
      <c r="F377" s="51">
        <v>334</v>
      </c>
      <c r="G377" s="52">
        <v>6</v>
      </c>
      <c r="H377" s="53">
        <f>F377/G377</f>
        <v>55.666666666666664</v>
      </c>
      <c r="I377" s="92">
        <f>H377/E377</f>
        <v>0.99404761904761896</v>
      </c>
      <c r="J377" s="288" t="s">
        <v>240</v>
      </c>
      <c r="K377" s="38"/>
      <c r="L377" s="38"/>
      <c r="M377" s="38"/>
    </row>
    <row r="378" spans="1:13" ht="15.75" x14ac:dyDescent="0.3">
      <c r="A378" s="426"/>
      <c r="B378" s="80" t="s">
        <v>48</v>
      </c>
      <c r="C378" s="76"/>
      <c r="D378" s="52"/>
      <c r="E378" s="52"/>
      <c r="F378" s="57"/>
      <c r="G378" s="52"/>
      <c r="H378" s="53"/>
      <c r="I378" s="92"/>
      <c r="J378" s="289"/>
      <c r="K378" s="38"/>
      <c r="L378" s="38"/>
      <c r="M378" s="38"/>
    </row>
    <row r="379" spans="1:13" ht="15.75" x14ac:dyDescent="0.3">
      <c r="A379" s="426"/>
      <c r="B379" s="80" t="s">
        <v>159</v>
      </c>
      <c r="C379" s="76">
        <v>580</v>
      </c>
      <c r="D379" s="52">
        <v>8</v>
      </c>
      <c r="E379" s="52">
        <f>C379/D379</f>
        <v>72.5</v>
      </c>
      <c r="F379" s="57">
        <v>739.47</v>
      </c>
      <c r="G379" s="52">
        <v>9</v>
      </c>
      <c r="H379" s="53">
        <f>F379/G379</f>
        <v>82.163333333333341</v>
      </c>
      <c r="I379" s="92">
        <f>H379/E379</f>
        <v>1.1332873563218391</v>
      </c>
      <c r="J379" s="289"/>
      <c r="K379" s="38"/>
      <c r="L379" s="38"/>
      <c r="M379" s="38"/>
    </row>
    <row r="380" spans="1:13" ht="15.75" x14ac:dyDescent="0.3">
      <c r="A380" s="426"/>
      <c r="B380" s="80" t="s">
        <v>220</v>
      </c>
      <c r="C380" s="76">
        <v>120</v>
      </c>
      <c r="D380" s="52">
        <v>1.5</v>
      </c>
      <c r="E380" s="52">
        <f>C380/D380</f>
        <v>80</v>
      </c>
      <c r="F380" s="57">
        <v>224.33599999999998</v>
      </c>
      <c r="G380" s="52">
        <v>3</v>
      </c>
      <c r="H380" s="53">
        <f>F380/G380</f>
        <v>74.778666666666666</v>
      </c>
      <c r="I380" s="92">
        <f>H380/E380</f>
        <v>0.9347333333333333</v>
      </c>
      <c r="J380" s="289"/>
      <c r="K380" s="38"/>
      <c r="L380" s="38"/>
      <c r="M380" s="38"/>
    </row>
    <row r="381" spans="1:13" ht="15.75" x14ac:dyDescent="0.3">
      <c r="A381" s="426"/>
      <c r="B381" s="80" t="s">
        <v>221</v>
      </c>
      <c r="C381" s="76"/>
      <c r="D381" s="52"/>
      <c r="E381" s="52"/>
      <c r="F381" s="57"/>
      <c r="G381" s="52"/>
      <c r="H381" s="53"/>
      <c r="I381" s="53"/>
      <c r="J381" s="289"/>
      <c r="K381" s="38"/>
      <c r="L381" s="38"/>
      <c r="M381" s="38"/>
    </row>
    <row r="382" spans="1:13" ht="15.75" x14ac:dyDescent="0.3">
      <c r="A382" s="426"/>
      <c r="B382" s="80" t="s">
        <v>175</v>
      </c>
      <c r="C382" s="76"/>
      <c r="D382" s="52"/>
      <c r="E382" s="52"/>
      <c r="F382" s="57">
        <v>151.00700000000001</v>
      </c>
      <c r="G382" s="52">
        <v>3.5</v>
      </c>
      <c r="H382" s="53"/>
      <c r="I382" s="92"/>
      <c r="J382" s="289"/>
      <c r="K382" s="38"/>
      <c r="L382" s="38"/>
      <c r="M382" s="38"/>
    </row>
    <row r="383" spans="1:13" ht="15.75" x14ac:dyDescent="0.3">
      <c r="A383" s="426"/>
      <c r="B383" s="80" t="s">
        <v>222</v>
      </c>
      <c r="C383" s="76"/>
      <c r="D383" s="52"/>
      <c r="E383" s="52"/>
      <c r="F383" s="57"/>
      <c r="G383" s="52"/>
      <c r="H383" s="53"/>
      <c r="I383" s="92"/>
      <c r="J383" s="289"/>
      <c r="K383" s="38"/>
      <c r="L383" s="38"/>
      <c r="M383" s="38"/>
    </row>
    <row r="384" spans="1:13" ht="15.75" x14ac:dyDescent="0.3">
      <c r="A384" s="426"/>
      <c r="B384" s="80" t="s">
        <v>223</v>
      </c>
      <c r="C384" s="76"/>
      <c r="D384" s="52"/>
      <c r="E384" s="52"/>
      <c r="F384" s="57"/>
      <c r="G384" s="52"/>
      <c r="H384" s="53"/>
      <c r="I384" s="92"/>
      <c r="J384" s="289"/>
      <c r="K384" s="38"/>
      <c r="L384" s="38"/>
      <c r="M384" s="38"/>
    </row>
    <row r="385" spans="1:13" ht="16.5" x14ac:dyDescent="0.35">
      <c r="A385" s="427"/>
      <c r="B385" s="59" t="s">
        <v>146</v>
      </c>
      <c r="C385" s="60"/>
      <c r="D385" s="61">
        <f>SUM(D377:D382)</f>
        <v>14.5</v>
      </c>
      <c r="E385" s="61"/>
      <c r="F385" s="62"/>
      <c r="G385" s="63">
        <f>SUM(G377:G384)</f>
        <v>21.5</v>
      </c>
      <c r="H385" s="64"/>
      <c r="I385" s="92"/>
      <c r="J385" s="289"/>
      <c r="K385" s="38"/>
      <c r="L385" s="38"/>
      <c r="M385" s="38"/>
    </row>
    <row r="386" spans="1:13" ht="15.75" x14ac:dyDescent="0.3">
      <c r="A386" s="427"/>
      <c r="B386" s="65" t="s">
        <v>148</v>
      </c>
      <c r="C386" s="66"/>
      <c r="D386" s="68">
        <f>29-D385</f>
        <v>14.5</v>
      </c>
      <c r="E386" s="67"/>
      <c r="F386" s="67"/>
      <c r="G386" s="81">
        <f>29-G385</f>
        <v>7.5</v>
      </c>
      <c r="H386" s="87"/>
      <c r="I386" s="92"/>
      <c r="J386" s="289"/>
      <c r="K386" s="38"/>
      <c r="L386" s="38"/>
      <c r="M386" s="38"/>
    </row>
    <row r="387" spans="1:13" ht="17.25" thickBot="1" x14ac:dyDescent="0.4">
      <c r="A387" s="428"/>
      <c r="B387" s="70" t="s">
        <v>149</v>
      </c>
      <c r="C387" s="71">
        <f>SUM(C377:C384)</f>
        <v>980</v>
      </c>
      <c r="D387" s="71">
        <f>D385+D386</f>
        <v>29</v>
      </c>
      <c r="E387" s="71"/>
      <c r="F387" s="71">
        <f>SUM(F377:F384)</f>
        <v>1448.8130000000001</v>
      </c>
      <c r="G387" s="71">
        <f>G385+G386</f>
        <v>29</v>
      </c>
      <c r="H387" s="58"/>
      <c r="I387" s="73">
        <f>F387/C387</f>
        <v>1.4783806122448981</v>
      </c>
      <c r="J387" s="291"/>
      <c r="K387" s="38"/>
      <c r="L387" s="38"/>
      <c r="M387" s="38"/>
    </row>
    <row r="388" spans="1:13" ht="15.75" x14ac:dyDescent="0.3">
      <c r="A388" s="406" t="s">
        <v>176</v>
      </c>
      <c r="B388" s="80" t="s">
        <v>177</v>
      </c>
      <c r="C388" s="76">
        <v>608</v>
      </c>
      <c r="D388" s="52">
        <v>9</v>
      </c>
      <c r="E388" s="52">
        <f>C388/D388</f>
        <v>67.555555555555557</v>
      </c>
      <c r="F388" s="51">
        <v>261.97499999999997</v>
      </c>
      <c r="G388" s="93">
        <v>4</v>
      </c>
      <c r="H388" s="53">
        <f t="shared" ref="H388:H393" si="12">F388/G388</f>
        <v>65.493749999999991</v>
      </c>
      <c r="I388" s="92">
        <f>H388/E388</f>
        <v>0.96947985197368403</v>
      </c>
      <c r="J388" s="292" t="s">
        <v>241</v>
      </c>
      <c r="K388" s="38"/>
      <c r="L388" s="38"/>
      <c r="M388" s="38"/>
    </row>
    <row r="389" spans="1:13" ht="15.75" x14ac:dyDescent="0.3">
      <c r="A389" s="407"/>
      <c r="B389" s="80" t="s">
        <v>224</v>
      </c>
      <c r="C389" s="76">
        <v>400</v>
      </c>
      <c r="D389" s="84">
        <v>5</v>
      </c>
      <c r="E389" s="52">
        <f>C389/D389</f>
        <v>80</v>
      </c>
      <c r="F389" s="51"/>
      <c r="G389" s="93"/>
      <c r="H389" s="53"/>
      <c r="I389" s="92"/>
      <c r="J389" s="293"/>
      <c r="K389" s="38"/>
      <c r="L389" s="38"/>
      <c r="M389" s="38"/>
    </row>
    <row r="390" spans="1:13" ht="15.75" x14ac:dyDescent="0.3">
      <c r="A390" s="407"/>
      <c r="B390" s="80" t="s">
        <v>204</v>
      </c>
      <c r="C390" s="76"/>
      <c r="D390" s="52"/>
      <c r="E390" s="52"/>
      <c r="F390" s="51"/>
      <c r="G390" s="93"/>
      <c r="H390" s="53"/>
      <c r="I390" s="92"/>
      <c r="J390" s="293"/>
      <c r="K390" s="38"/>
      <c r="L390" s="38"/>
      <c r="M390" s="38"/>
    </row>
    <row r="391" spans="1:13" ht="15.75" x14ac:dyDescent="0.3">
      <c r="A391" s="407"/>
      <c r="B391" s="80" t="s">
        <v>233</v>
      </c>
      <c r="C391" s="76"/>
      <c r="D391" s="52"/>
      <c r="E391" s="52"/>
      <c r="F391" s="51"/>
      <c r="G391" s="93"/>
      <c r="H391" s="53"/>
      <c r="I391" s="92"/>
      <c r="J391" s="293"/>
      <c r="K391" s="38"/>
      <c r="L391" s="38"/>
      <c r="M391" s="38"/>
    </row>
    <row r="392" spans="1:13" ht="15.75" x14ac:dyDescent="0.3">
      <c r="A392" s="407"/>
      <c r="B392" s="80" t="s">
        <v>181</v>
      </c>
      <c r="C392" s="51">
        <v>440</v>
      </c>
      <c r="D392" s="52">
        <v>6</v>
      </c>
      <c r="E392" s="52">
        <f>C392/D392</f>
        <v>73.333333333333329</v>
      </c>
      <c r="F392" s="51">
        <v>477.59999999999997</v>
      </c>
      <c r="G392" s="93">
        <v>8</v>
      </c>
      <c r="H392" s="53">
        <f t="shared" si="12"/>
        <v>59.699999999999996</v>
      </c>
      <c r="I392" s="92">
        <f>H392/E392</f>
        <v>0.81409090909090909</v>
      </c>
      <c r="J392" s="293"/>
      <c r="K392" s="38"/>
      <c r="L392" s="38"/>
      <c r="M392" s="38"/>
    </row>
    <row r="393" spans="1:13" ht="15.75" x14ac:dyDescent="0.3">
      <c r="A393" s="407"/>
      <c r="B393" s="121" t="s">
        <v>242</v>
      </c>
      <c r="C393" s="94"/>
      <c r="D393" s="86"/>
      <c r="E393" s="86"/>
      <c r="F393" s="95">
        <v>223</v>
      </c>
      <c r="G393" s="96">
        <v>4</v>
      </c>
      <c r="H393" s="53">
        <f t="shared" si="12"/>
        <v>55.75</v>
      </c>
      <c r="I393" s="92"/>
      <c r="J393" s="293"/>
      <c r="K393" s="38"/>
      <c r="L393" s="38"/>
      <c r="M393" s="38"/>
    </row>
    <row r="394" spans="1:13" ht="16.5" x14ac:dyDescent="0.35">
      <c r="A394" s="407"/>
      <c r="B394" s="59" t="s">
        <v>146</v>
      </c>
      <c r="C394" s="60"/>
      <c r="D394" s="61">
        <f>SUM(D388:D393)</f>
        <v>20</v>
      </c>
      <c r="E394" s="61"/>
      <c r="F394" s="62"/>
      <c r="G394" s="61">
        <f>SUM(G388:G393)</f>
        <v>16</v>
      </c>
      <c r="H394" s="61"/>
      <c r="I394" s="92"/>
      <c r="J394" s="293"/>
      <c r="K394" s="38"/>
      <c r="L394" s="38"/>
      <c r="M394" s="38"/>
    </row>
    <row r="395" spans="1:13" ht="15.75" x14ac:dyDescent="0.3">
      <c r="A395" s="407"/>
      <c r="B395" s="65" t="s">
        <v>148</v>
      </c>
      <c r="C395" s="66"/>
      <c r="D395" s="68">
        <v>9</v>
      </c>
      <c r="E395" s="67"/>
      <c r="F395" s="67"/>
      <c r="G395" s="81">
        <f>29-G394</f>
        <v>13</v>
      </c>
      <c r="H395" s="97"/>
      <c r="I395" s="92"/>
      <c r="J395" s="293"/>
      <c r="K395" s="38"/>
      <c r="L395" s="38"/>
      <c r="M395" s="38"/>
    </row>
    <row r="396" spans="1:13" ht="17.25" thickBot="1" x14ac:dyDescent="0.4">
      <c r="A396" s="408"/>
      <c r="B396" s="70" t="s">
        <v>149</v>
      </c>
      <c r="C396" s="71">
        <f>SUM(C388:C392)</f>
        <v>1448</v>
      </c>
      <c r="D396" s="71">
        <f>D395+D394</f>
        <v>29</v>
      </c>
      <c r="E396" s="98"/>
      <c r="F396" s="71">
        <f>SUM(F388:F393)</f>
        <v>962.57499999999993</v>
      </c>
      <c r="G396" s="71">
        <f>G395+G394</f>
        <v>29</v>
      </c>
      <c r="H396" s="99"/>
      <c r="I396" s="73">
        <f>F396/C396</f>
        <v>0.66476174033149171</v>
      </c>
      <c r="J396" s="294"/>
      <c r="K396" s="38"/>
      <c r="L396" s="38"/>
      <c r="M396" s="38"/>
    </row>
    <row r="397" spans="1:13" ht="15.75" x14ac:dyDescent="0.3">
      <c r="A397" s="406" t="s">
        <v>183</v>
      </c>
      <c r="B397" s="50" t="s">
        <v>77</v>
      </c>
      <c r="C397" s="51">
        <v>640</v>
      </c>
      <c r="D397" s="52">
        <v>4</v>
      </c>
      <c r="E397" s="52">
        <f>C397/D397</f>
        <v>160</v>
      </c>
      <c r="F397" s="51">
        <v>430.10700000000003</v>
      </c>
      <c r="G397" s="93">
        <v>3</v>
      </c>
      <c r="H397" s="96">
        <f>F397/G397</f>
        <v>143.369</v>
      </c>
      <c r="I397" s="92">
        <f>H397/E397</f>
        <v>0.89605625</v>
      </c>
      <c r="J397" s="295"/>
      <c r="K397" s="38"/>
      <c r="L397" s="38"/>
      <c r="M397" s="38"/>
    </row>
    <row r="398" spans="1:13" ht="15.75" x14ac:dyDescent="0.3">
      <c r="A398" s="407"/>
      <c r="B398" s="50" t="s">
        <v>243</v>
      </c>
      <c r="C398" s="51"/>
      <c r="D398" s="52"/>
      <c r="E398" s="52"/>
      <c r="F398" s="57"/>
      <c r="G398" s="93"/>
      <c r="H398" s="93"/>
      <c r="I398" s="92"/>
      <c r="J398" s="296"/>
      <c r="K398" s="38"/>
      <c r="L398" s="38"/>
      <c r="M398" s="38"/>
    </row>
    <row r="399" spans="1:13" ht="15.75" x14ac:dyDescent="0.3">
      <c r="A399" s="407"/>
      <c r="B399" s="50" t="s">
        <v>184</v>
      </c>
      <c r="C399" s="51"/>
      <c r="D399" s="52"/>
      <c r="E399" s="52"/>
      <c r="F399" s="51">
        <v>796.995</v>
      </c>
      <c r="G399" s="93">
        <v>6</v>
      </c>
      <c r="H399" s="96">
        <f>F399/G399</f>
        <v>132.83250000000001</v>
      </c>
      <c r="I399" s="92"/>
      <c r="J399" s="296"/>
      <c r="K399" s="38"/>
      <c r="L399" s="38"/>
      <c r="M399" s="38"/>
    </row>
    <row r="400" spans="1:13" ht="15.75" x14ac:dyDescent="0.3">
      <c r="A400" s="407"/>
      <c r="B400" s="50" t="s">
        <v>186</v>
      </c>
      <c r="C400" s="51">
        <v>400</v>
      </c>
      <c r="D400" s="52">
        <v>4</v>
      </c>
      <c r="E400" s="52">
        <f>C400/D400</f>
        <v>100</v>
      </c>
      <c r="F400" s="51">
        <v>400</v>
      </c>
      <c r="G400" s="93">
        <v>3</v>
      </c>
      <c r="H400" s="96">
        <f>F400/G400</f>
        <v>133.33333333333334</v>
      </c>
      <c r="I400" s="92">
        <f>H400/E400</f>
        <v>1.3333333333333335</v>
      </c>
      <c r="J400" s="296"/>
      <c r="K400" s="38"/>
      <c r="L400" s="38"/>
      <c r="M400" s="38"/>
    </row>
    <row r="401" spans="1:13" ht="15.75" x14ac:dyDescent="0.3">
      <c r="A401" s="407"/>
      <c r="B401" s="50" t="s">
        <v>226</v>
      </c>
      <c r="C401" s="51">
        <v>520</v>
      </c>
      <c r="D401" s="52">
        <v>4</v>
      </c>
      <c r="E401" s="52">
        <f>C401/D401</f>
        <v>130</v>
      </c>
      <c r="F401" s="57">
        <v>617</v>
      </c>
      <c r="G401" s="93">
        <v>5</v>
      </c>
      <c r="H401" s="96">
        <f>F401/G401</f>
        <v>123.4</v>
      </c>
      <c r="I401" s="92">
        <f>H401/E401</f>
        <v>0.94923076923076932</v>
      </c>
      <c r="J401" s="296"/>
      <c r="K401" s="38"/>
      <c r="L401" s="38"/>
      <c r="M401" s="38"/>
    </row>
    <row r="402" spans="1:13" ht="15.75" x14ac:dyDescent="0.3">
      <c r="A402" s="407"/>
      <c r="B402" s="101" t="s">
        <v>79</v>
      </c>
      <c r="C402" s="95">
        <v>500</v>
      </c>
      <c r="D402" s="102">
        <v>4</v>
      </c>
      <c r="E402" s="52">
        <f>C402/D402</f>
        <v>125</v>
      </c>
      <c r="F402" s="95">
        <v>501.43700000000001</v>
      </c>
      <c r="G402" s="103">
        <v>4</v>
      </c>
      <c r="H402" s="99">
        <f>F402/G402</f>
        <v>125.35925</v>
      </c>
      <c r="I402" s="92">
        <f>H402/E402</f>
        <v>1.002874</v>
      </c>
      <c r="J402" s="296"/>
      <c r="K402" s="38"/>
      <c r="L402" s="38"/>
      <c r="M402" s="38"/>
    </row>
    <row r="403" spans="1:13" ht="16.5" x14ac:dyDescent="0.35">
      <c r="A403" s="407"/>
      <c r="B403" s="59" t="s">
        <v>146</v>
      </c>
      <c r="C403" s="60"/>
      <c r="D403" s="61">
        <f>SUM(D397:D402)</f>
        <v>16</v>
      </c>
      <c r="E403" s="61"/>
      <c r="F403" s="62"/>
      <c r="G403" s="60">
        <f>SUM(G397:G402)</f>
        <v>21</v>
      </c>
      <c r="H403" s="61"/>
      <c r="I403" s="92"/>
      <c r="J403" s="296"/>
      <c r="K403" s="38"/>
      <c r="L403" s="38"/>
      <c r="M403" s="38"/>
    </row>
    <row r="404" spans="1:13" ht="16.5" x14ac:dyDescent="0.35">
      <c r="A404" s="407"/>
      <c r="B404" s="130" t="s">
        <v>244</v>
      </c>
      <c r="C404" s="131"/>
      <c r="D404" s="132">
        <v>9</v>
      </c>
      <c r="E404" s="133"/>
      <c r="F404" s="133"/>
      <c r="G404" s="132">
        <v>5</v>
      </c>
      <c r="H404" s="134"/>
      <c r="I404" s="92"/>
      <c r="J404" s="296"/>
      <c r="K404" s="38"/>
      <c r="L404" s="38"/>
      <c r="M404" s="38"/>
    </row>
    <row r="405" spans="1:13" ht="15.75" x14ac:dyDescent="0.3">
      <c r="A405" s="407"/>
      <c r="B405" s="65" t="s">
        <v>148</v>
      </c>
      <c r="C405" s="66"/>
      <c r="D405" s="68">
        <f>D403+D404</f>
        <v>25</v>
      </c>
      <c r="E405" s="67"/>
      <c r="F405" s="67"/>
      <c r="G405" s="81">
        <f>29-G403-G404</f>
        <v>3</v>
      </c>
      <c r="H405" s="97"/>
      <c r="I405" s="92"/>
      <c r="J405" s="296"/>
      <c r="K405" s="38"/>
      <c r="L405" s="38"/>
      <c r="M405" s="38"/>
    </row>
    <row r="406" spans="1:13" ht="17.25" thickBot="1" x14ac:dyDescent="0.4">
      <c r="A406" s="408"/>
      <c r="B406" s="70" t="s">
        <v>149</v>
      </c>
      <c r="C406" s="71">
        <f>SUM(C397:C402)</f>
        <v>2060</v>
      </c>
      <c r="D406" s="71">
        <f>29-D405</f>
        <v>4</v>
      </c>
      <c r="E406" s="71"/>
      <c r="F406" s="71">
        <f>SUM(F397:F402)</f>
        <v>2745.5389999999998</v>
      </c>
      <c r="G406" s="104">
        <f>G405+G403+G404</f>
        <v>29</v>
      </c>
      <c r="H406" s="105"/>
      <c r="I406" s="73">
        <f>F406/C406</f>
        <v>1.3327859223300971</v>
      </c>
      <c r="J406" s="297"/>
      <c r="K406" s="38"/>
      <c r="L406" s="38"/>
      <c r="M406" s="38"/>
    </row>
    <row r="407" spans="1:13" ht="15.75" x14ac:dyDescent="0.3">
      <c r="A407" s="407" t="s">
        <v>188</v>
      </c>
      <c r="B407" s="106" t="s">
        <v>184</v>
      </c>
      <c r="C407" s="76">
        <v>800</v>
      </c>
      <c r="D407" s="84">
        <v>3</v>
      </c>
      <c r="E407" s="52">
        <f>C407/D407</f>
        <v>266.66666666666669</v>
      </c>
      <c r="F407" s="57"/>
      <c r="G407" s="93"/>
      <c r="H407" s="93"/>
      <c r="I407" s="107"/>
      <c r="J407" s="295" t="s">
        <v>245</v>
      </c>
      <c r="K407" s="38"/>
      <c r="L407" s="38"/>
      <c r="M407" s="38"/>
    </row>
    <row r="408" spans="1:13" ht="15.75" x14ac:dyDescent="0.3">
      <c r="A408" s="407"/>
      <c r="B408" s="106" t="s">
        <v>77</v>
      </c>
      <c r="C408" s="76">
        <v>650</v>
      </c>
      <c r="D408" s="84">
        <v>3</v>
      </c>
      <c r="E408" s="52">
        <f>C408/D408</f>
        <v>216.66666666666666</v>
      </c>
      <c r="F408" s="51">
        <v>1193.83</v>
      </c>
      <c r="G408" s="93">
        <v>5</v>
      </c>
      <c r="H408" s="99">
        <f>F408/G408</f>
        <v>238.76599999999999</v>
      </c>
      <c r="I408" s="107"/>
      <c r="J408" s="296"/>
      <c r="K408" s="38"/>
      <c r="L408" s="38"/>
      <c r="M408" s="38"/>
    </row>
    <row r="409" spans="1:13" ht="16.5" x14ac:dyDescent="0.35">
      <c r="A409" s="407"/>
      <c r="B409" s="65" t="s">
        <v>189</v>
      </c>
      <c r="C409" s="66"/>
      <c r="D409" s="108">
        <f>29-D407</f>
        <v>26</v>
      </c>
      <c r="E409" s="109"/>
      <c r="F409" s="109"/>
      <c r="G409" s="110">
        <f>29-G407</f>
        <v>29</v>
      </c>
      <c r="H409" s="68"/>
      <c r="I409" s="92"/>
      <c r="J409" s="296"/>
      <c r="K409" s="38"/>
      <c r="L409" s="38"/>
      <c r="M409" s="38"/>
    </row>
    <row r="410" spans="1:13" ht="17.25" thickBot="1" x14ac:dyDescent="0.4">
      <c r="A410" s="408"/>
      <c r="B410" s="111" t="s">
        <v>149</v>
      </c>
      <c r="C410" s="82">
        <f>SUM(C407:C409)</f>
        <v>1450</v>
      </c>
      <c r="D410" s="82"/>
      <c r="E410" s="82"/>
      <c r="F410" s="82">
        <f>SUM(F407:F409)</f>
        <v>1193.83</v>
      </c>
      <c r="G410" s="82"/>
      <c r="H410" s="112"/>
      <c r="I410" s="73">
        <f>F410/C410</f>
        <v>0.82333103448275857</v>
      </c>
      <c r="J410" s="297"/>
      <c r="K410" s="38"/>
      <c r="L410" s="38"/>
      <c r="M410" s="38"/>
    </row>
    <row r="411" spans="1:13" ht="15.75" x14ac:dyDescent="0.3">
      <c r="A411" s="407" t="s">
        <v>190</v>
      </c>
      <c r="B411" s="50"/>
      <c r="C411" s="51"/>
      <c r="D411" s="52"/>
      <c r="E411" s="52"/>
      <c r="F411" s="51"/>
      <c r="G411" s="93"/>
      <c r="H411" s="99"/>
      <c r="I411" s="92"/>
      <c r="J411" s="295"/>
      <c r="K411" s="38"/>
      <c r="L411" s="38"/>
      <c r="M411" s="38"/>
    </row>
    <row r="412" spans="1:13" ht="15.75" x14ac:dyDescent="0.3">
      <c r="A412" s="407"/>
      <c r="B412" s="101" t="s">
        <v>206</v>
      </c>
      <c r="C412" s="95">
        <v>391</v>
      </c>
      <c r="D412" s="102">
        <v>23</v>
      </c>
      <c r="E412" s="86">
        <f>C412/D412</f>
        <v>17</v>
      </c>
      <c r="F412" s="95">
        <v>408</v>
      </c>
      <c r="G412" s="103">
        <v>24</v>
      </c>
      <c r="H412" s="86">
        <f>F412/G412</f>
        <v>17</v>
      </c>
      <c r="I412" s="92">
        <f>H412/E412</f>
        <v>1</v>
      </c>
      <c r="J412" s="296"/>
      <c r="K412" s="38"/>
      <c r="L412" s="38"/>
      <c r="M412" s="38"/>
    </row>
    <row r="413" spans="1:13" ht="15.75" x14ac:dyDescent="0.3">
      <c r="A413" s="407"/>
      <c r="B413" s="101" t="s">
        <v>192</v>
      </c>
      <c r="C413" s="114">
        <v>0</v>
      </c>
      <c r="D413" s="102">
        <v>0</v>
      </c>
      <c r="E413" s="86"/>
      <c r="F413" s="95"/>
      <c r="G413" s="103"/>
      <c r="H413" s="99"/>
      <c r="I413" s="92"/>
      <c r="J413" s="296"/>
      <c r="K413" s="38"/>
      <c r="L413" s="38"/>
      <c r="M413" s="38"/>
    </row>
    <row r="414" spans="1:13" ht="16.5" x14ac:dyDescent="0.35">
      <c r="A414" s="407"/>
      <c r="B414" s="59" t="s">
        <v>146</v>
      </c>
      <c r="C414" s="60"/>
      <c r="D414" s="61">
        <f>SUM(D412:D413)</f>
        <v>23</v>
      </c>
      <c r="E414" s="61"/>
      <c r="F414" s="62"/>
      <c r="G414" s="61">
        <f>SUM(G412:G413)</f>
        <v>24</v>
      </c>
      <c r="H414" s="61"/>
      <c r="I414" s="92"/>
      <c r="J414" s="296"/>
      <c r="K414" s="38"/>
      <c r="L414" s="38"/>
      <c r="M414" s="38"/>
    </row>
    <row r="415" spans="1:13" ht="15.75" x14ac:dyDescent="0.3">
      <c r="A415" s="407"/>
      <c r="B415" s="65" t="s">
        <v>148</v>
      </c>
      <c r="C415" s="66"/>
      <c r="D415" s="68">
        <f>29-D414</f>
        <v>6</v>
      </c>
      <c r="E415" s="67"/>
      <c r="F415" s="67"/>
      <c r="G415" s="81">
        <f>29-G414</f>
        <v>5</v>
      </c>
      <c r="H415" s="97"/>
      <c r="I415" s="92"/>
      <c r="J415" s="296"/>
      <c r="K415" s="38"/>
      <c r="L415" s="38"/>
      <c r="M415" s="38"/>
    </row>
    <row r="416" spans="1:13" ht="17.25" thickBot="1" x14ac:dyDescent="0.4">
      <c r="A416" s="408"/>
      <c r="B416" s="70" t="s">
        <v>149</v>
      </c>
      <c r="C416" s="71">
        <f>SUM(C412:C413)</f>
        <v>391</v>
      </c>
      <c r="D416" s="71">
        <f>D415+D414</f>
        <v>29</v>
      </c>
      <c r="E416" s="71"/>
      <c r="F416" s="71">
        <f>SUM(F412:F413)</f>
        <v>408</v>
      </c>
      <c r="G416" s="71">
        <f>G415+G414</f>
        <v>29</v>
      </c>
      <c r="H416" s="105"/>
      <c r="I416" s="73">
        <f>F416/C416</f>
        <v>1.0434782608695652</v>
      </c>
      <c r="J416" s="297"/>
      <c r="K416" s="38"/>
      <c r="L416" s="38"/>
      <c r="M416" s="38"/>
    </row>
    <row r="417" spans="1:13" ht="19.5" x14ac:dyDescent="0.3">
      <c r="A417" s="234"/>
      <c r="B417" s="101" t="s">
        <v>185</v>
      </c>
      <c r="C417" s="95">
        <v>300</v>
      </c>
      <c r="D417" s="102">
        <v>6</v>
      </c>
      <c r="E417" s="86">
        <f>C417/D417</f>
        <v>50</v>
      </c>
      <c r="F417" s="95">
        <v>64.025452000000001</v>
      </c>
      <c r="G417" s="103">
        <v>1</v>
      </c>
      <c r="H417" s="86">
        <f>F417/G417</f>
        <v>64.025452000000001</v>
      </c>
      <c r="I417" s="92">
        <f>H417/E417</f>
        <v>1.2805090400000001</v>
      </c>
      <c r="J417" s="276" t="s">
        <v>246</v>
      </c>
      <c r="K417" s="38"/>
      <c r="L417" s="38"/>
      <c r="M417" s="38"/>
    </row>
    <row r="418" spans="1:13" ht="15.75" x14ac:dyDescent="0.3">
      <c r="A418" s="407" t="s">
        <v>194</v>
      </c>
      <c r="B418" s="101" t="s">
        <v>208</v>
      </c>
      <c r="C418" s="95"/>
      <c r="D418" s="102"/>
      <c r="E418" s="86"/>
      <c r="F418" s="95"/>
      <c r="G418" s="103"/>
      <c r="H418" s="99"/>
      <c r="I418" s="92"/>
      <c r="J418" s="277"/>
      <c r="K418" s="38"/>
      <c r="L418" s="38"/>
      <c r="M418" s="38"/>
    </row>
    <row r="419" spans="1:13" ht="15.75" x14ac:dyDescent="0.3">
      <c r="A419" s="407"/>
      <c r="B419" s="101" t="s">
        <v>234</v>
      </c>
      <c r="C419" s="114">
        <v>150</v>
      </c>
      <c r="D419" s="102">
        <v>3</v>
      </c>
      <c r="E419" s="86">
        <f>C419/D419</f>
        <v>50</v>
      </c>
      <c r="F419" s="103">
        <v>50.972494000000005</v>
      </c>
      <c r="G419" s="103">
        <v>1</v>
      </c>
      <c r="H419" s="86">
        <f>F419/G419</f>
        <v>50.972494000000005</v>
      </c>
      <c r="I419" s="92">
        <f>H419/E419</f>
        <v>1.01944988</v>
      </c>
      <c r="J419" s="277"/>
      <c r="K419" s="38"/>
      <c r="L419" s="38"/>
      <c r="M419" s="38"/>
    </row>
    <row r="420" spans="1:13" ht="16.5" x14ac:dyDescent="0.35">
      <c r="A420" s="407"/>
      <c r="B420" s="59" t="s">
        <v>146</v>
      </c>
      <c r="C420" s="60"/>
      <c r="D420" s="61">
        <f>SUM(D417:D419)</f>
        <v>9</v>
      </c>
      <c r="E420" s="61"/>
      <c r="F420" s="62"/>
      <c r="G420" s="61">
        <f>SUM(G418:G419)</f>
        <v>1</v>
      </c>
      <c r="H420" s="61"/>
      <c r="I420" s="92"/>
      <c r="J420" s="277"/>
      <c r="K420" s="38"/>
      <c r="L420" s="38"/>
      <c r="M420" s="38"/>
    </row>
    <row r="421" spans="1:13" ht="15.75" x14ac:dyDescent="0.3">
      <c r="A421" s="407"/>
      <c r="B421" s="65" t="s">
        <v>148</v>
      </c>
      <c r="C421" s="66"/>
      <c r="D421" s="68">
        <f>29-D420</f>
        <v>20</v>
      </c>
      <c r="E421" s="67"/>
      <c r="F421" s="67"/>
      <c r="G421" s="81">
        <f>29-G420</f>
        <v>28</v>
      </c>
      <c r="H421" s="97"/>
      <c r="I421" s="92"/>
      <c r="J421" s="277"/>
      <c r="K421" s="38"/>
      <c r="L421" s="38"/>
      <c r="M421" s="38"/>
    </row>
    <row r="422" spans="1:13" ht="17.25" thickBot="1" x14ac:dyDescent="0.4">
      <c r="A422" s="408"/>
      <c r="B422" s="70" t="s">
        <v>149</v>
      </c>
      <c r="C422" s="71">
        <f>SUM(C417:C419)</f>
        <v>450</v>
      </c>
      <c r="D422" s="71">
        <f>D421+D420</f>
        <v>29</v>
      </c>
      <c r="E422" s="71"/>
      <c r="F422" s="71">
        <f>SUM(F417:F419)</f>
        <v>114.99794600000001</v>
      </c>
      <c r="G422" s="71">
        <f>G421+G420</f>
        <v>29</v>
      </c>
      <c r="H422" s="105"/>
      <c r="I422" s="73">
        <f>F422/C422</f>
        <v>0.25555099111111113</v>
      </c>
      <c r="J422" s="278"/>
      <c r="K422" s="38"/>
      <c r="L422" s="38"/>
      <c r="M422" s="38"/>
    </row>
    <row r="425" spans="1:13" ht="21" x14ac:dyDescent="0.4">
      <c r="A425" s="37" t="s">
        <v>323</v>
      </c>
      <c r="B425" s="37"/>
      <c r="C425" s="37"/>
      <c r="D425" s="37"/>
      <c r="E425" s="37"/>
      <c r="F425" s="37"/>
      <c r="G425" s="37"/>
      <c r="H425" s="37"/>
      <c r="I425" s="37"/>
      <c r="J425" s="37"/>
    </row>
    <row r="426" spans="1:13" ht="17.25" thickBot="1" x14ac:dyDescent="0.4">
      <c r="A426" s="40"/>
      <c r="B426" s="41"/>
      <c r="C426" s="42"/>
      <c r="D426" s="42"/>
      <c r="E426" s="42"/>
      <c r="F426" s="42"/>
      <c r="G426" s="42"/>
      <c r="H426" s="42"/>
      <c r="I426" s="42"/>
      <c r="J426" s="43"/>
    </row>
    <row r="427" spans="1:13" ht="16.5" x14ac:dyDescent="0.35">
      <c r="A427" s="409" t="s">
        <v>128</v>
      </c>
      <c r="B427" s="44"/>
      <c r="C427" s="45"/>
      <c r="D427" s="45"/>
      <c r="E427" s="45"/>
      <c r="F427" s="45"/>
      <c r="G427" s="411" t="s">
        <v>129</v>
      </c>
      <c r="H427" s="239"/>
      <c r="I427" s="413" t="s">
        <v>130</v>
      </c>
      <c r="J427" s="279" t="s">
        <v>131</v>
      </c>
    </row>
    <row r="428" spans="1:13" ht="66.75" thickBot="1" x14ac:dyDescent="0.3">
      <c r="A428" s="410"/>
      <c r="B428" s="46"/>
      <c r="C428" s="47" t="s">
        <v>132</v>
      </c>
      <c r="D428" s="48" t="s">
        <v>133</v>
      </c>
      <c r="E428" s="48" t="s">
        <v>134</v>
      </c>
      <c r="F428" s="49" t="s">
        <v>135</v>
      </c>
      <c r="G428" s="412"/>
      <c r="H428" s="48" t="s">
        <v>136</v>
      </c>
      <c r="I428" s="414"/>
      <c r="J428" s="298"/>
    </row>
    <row r="429" spans="1:13" ht="15.75" x14ac:dyDescent="0.3">
      <c r="A429" s="415" t="s">
        <v>137</v>
      </c>
      <c r="B429" s="50" t="s">
        <v>138</v>
      </c>
      <c r="C429" s="51">
        <f>2280+1100</f>
        <v>3380</v>
      </c>
      <c r="D429" s="123">
        <v>12</v>
      </c>
      <c r="E429" s="52">
        <f>C429/D429</f>
        <v>281.66666666666669</v>
      </c>
      <c r="F429" s="51">
        <v>2742.2219999999998</v>
      </c>
      <c r="G429" s="53">
        <v>10</v>
      </c>
      <c r="H429" s="53">
        <f>F429/G429</f>
        <v>274.22219999999999</v>
      </c>
      <c r="I429" s="54">
        <f>H429/E429</f>
        <v>0.9735699408284022</v>
      </c>
      <c r="J429" s="281" t="s">
        <v>324</v>
      </c>
    </row>
    <row r="430" spans="1:13" ht="15.75" x14ac:dyDescent="0.3">
      <c r="A430" s="416"/>
      <c r="B430" s="56" t="s">
        <v>140</v>
      </c>
      <c r="C430" s="57">
        <v>820</v>
      </c>
      <c r="D430" s="53">
        <v>4</v>
      </c>
      <c r="E430" s="52">
        <f>C430/D430</f>
        <v>205</v>
      </c>
      <c r="F430" s="57">
        <f>1237.35-140</f>
        <v>1097.3499999999999</v>
      </c>
      <c r="G430" s="53">
        <v>5</v>
      </c>
      <c r="H430" s="53">
        <f>F430/G430</f>
        <v>219.46999999999997</v>
      </c>
      <c r="I430" s="54">
        <f>H430/E430</f>
        <v>1.0705853658536584</v>
      </c>
      <c r="J430" s="282"/>
    </row>
    <row r="431" spans="1:13" ht="15.75" x14ac:dyDescent="0.3">
      <c r="A431" s="416"/>
      <c r="B431" s="56" t="s">
        <v>325</v>
      </c>
      <c r="C431" s="57">
        <v>2260</v>
      </c>
      <c r="D431" s="58">
        <v>10</v>
      </c>
      <c r="E431" s="52">
        <f>C431/D431</f>
        <v>226</v>
      </c>
      <c r="F431" s="57">
        <v>2502.4300000000003</v>
      </c>
      <c r="G431" s="53">
        <v>12</v>
      </c>
      <c r="H431" s="53">
        <f>F431/G431</f>
        <v>208.53583333333336</v>
      </c>
      <c r="I431" s="54">
        <f>H431/E431</f>
        <v>0.92272492625368741</v>
      </c>
      <c r="J431" s="282"/>
    </row>
    <row r="432" spans="1:13" ht="15.75" x14ac:dyDescent="0.3">
      <c r="A432" s="416"/>
      <c r="B432" s="56" t="s">
        <v>143</v>
      </c>
      <c r="C432" s="57"/>
      <c r="D432" s="58"/>
      <c r="E432" s="52"/>
      <c r="F432" s="57"/>
      <c r="G432" s="53"/>
      <c r="H432" s="53"/>
      <c r="I432" s="54"/>
      <c r="J432" s="282"/>
    </row>
    <row r="433" spans="1:10" ht="15.75" x14ac:dyDescent="0.3">
      <c r="A433" s="416"/>
      <c r="B433" s="56" t="s">
        <v>144</v>
      </c>
      <c r="C433" s="57"/>
      <c r="D433" s="58"/>
      <c r="E433" s="52"/>
      <c r="F433" s="57"/>
      <c r="G433" s="53"/>
      <c r="H433" s="53"/>
      <c r="I433" s="53"/>
      <c r="J433" s="282"/>
    </row>
    <row r="434" spans="1:10" ht="15.75" x14ac:dyDescent="0.3">
      <c r="A434" s="416"/>
      <c r="B434" s="56" t="s">
        <v>145</v>
      </c>
      <c r="C434" s="57"/>
      <c r="D434" s="58"/>
      <c r="E434" s="52"/>
      <c r="F434" s="57"/>
      <c r="G434" s="53"/>
      <c r="H434" s="53"/>
      <c r="I434" s="54"/>
      <c r="J434" s="282"/>
    </row>
    <row r="435" spans="1:10" ht="15.75" x14ac:dyDescent="0.3">
      <c r="A435" s="416"/>
      <c r="B435" s="56"/>
      <c r="C435" s="57"/>
      <c r="D435" s="58"/>
      <c r="E435" s="52"/>
      <c r="F435" s="57"/>
      <c r="G435" s="53"/>
      <c r="H435" s="53"/>
      <c r="I435" s="53"/>
      <c r="J435" s="282"/>
    </row>
    <row r="436" spans="1:10" ht="16.5" x14ac:dyDescent="0.35">
      <c r="A436" s="416"/>
      <c r="B436" s="59" t="s">
        <v>146</v>
      </c>
      <c r="C436" s="60"/>
      <c r="D436" s="61">
        <f>SUM(D429:D435)</f>
        <v>26</v>
      </c>
      <c r="E436" s="61"/>
      <c r="F436" s="62"/>
      <c r="G436" s="125">
        <f>SUM(G429:G435)</f>
        <v>27</v>
      </c>
      <c r="H436" s="64"/>
      <c r="I436" s="53"/>
      <c r="J436" s="282"/>
    </row>
    <row r="437" spans="1:10" ht="16.5" x14ac:dyDescent="0.35">
      <c r="A437" s="416"/>
      <c r="B437" s="59" t="s">
        <v>147</v>
      </c>
      <c r="C437" s="60"/>
      <c r="D437" s="61">
        <v>0</v>
      </c>
      <c r="E437" s="62"/>
      <c r="F437" s="62"/>
      <c r="G437" s="63"/>
      <c r="H437" s="64"/>
      <c r="I437" s="53"/>
      <c r="J437" s="282"/>
    </row>
    <row r="438" spans="1:10" ht="15.75" x14ac:dyDescent="0.3">
      <c r="A438" s="416"/>
      <c r="B438" s="65" t="s">
        <v>148</v>
      </c>
      <c r="C438" s="66"/>
      <c r="D438" s="67">
        <v>5</v>
      </c>
      <c r="E438" s="67"/>
      <c r="F438" s="67"/>
      <c r="G438" s="68">
        <v>4</v>
      </c>
      <c r="H438" s="69"/>
      <c r="I438" s="53"/>
      <c r="J438" s="282"/>
    </row>
    <row r="439" spans="1:10" ht="17.25" thickBot="1" x14ac:dyDescent="0.4">
      <c r="A439" s="417"/>
      <c r="B439" s="70" t="s">
        <v>149</v>
      </c>
      <c r="C439" s="71">
        <f>SUM(C429:C434)</f>
        <v>6460</v>
      </c>
      <c r="D439" s="71">
        <f>D436+D437+D438</f>
        <v>31</v>
      </c>
      <c r="E439" s="71">
        <f>E436+E437+E438</f>
        <v>0</v>
      </c>
      <c r="F439" s="72">
        <f>SUM(F429:F435)</f>
        <v>6342.0020000000004</v>
      </c>
      <c r="G439" s="126">
        <f>G436+G437+G438</f>
        <v>31</v>
      </c>
      <c r="H439" s="71"/>
      <c r="I439" s="73">
        <f>F439/C439</f>
        <v>0.98173405572755423</v>
      </c>
      <c r="J439" s="283"/>
    </row>
    <row r="440" spans="1:10" ht="15.75" x14ac:dyDescent="0.3">
      <c r="A440" s="421" t="s">
        <v>150</v>
      </c>
      <c r="B440" s="50" t="s">
        <v>211</v>
      </c>
      <c r="C440" s="76">
        <f>3080</f>
        <v>3080</v>
      </c>
      <c r="D440" s="52">
        <v>10</v>
      </c>
      <c r="E440" s="52">
        <f>C440/D440</f>
        <v>308</v>
      </c>
      <c r="F440" s="51">
        <f>1146.09+1178</f>
        <v>2324.09</v>
      </c>
      <c r="G440" s="52">
        <v>9</v>
      </c>
      <c r="H440" s="241">
        <f>F440/G440</f>
        <v>258.23222222222222</v>
      </c>
      <c r="I440" s="91">
        <f>H440/E440</f>
        <v>0.83841630591630589</v>
      </c>
      <c r="J440" s="284" t="s">
        <v>326</v>
      </c>
    </row>
    <row r="441" spans="1:10" ht="15.75" x14ac:dyDescent="0.3">
      <c r="A441" s="422"/>
      <c r="B441" s="50" t="s">
        <v>154</v>
      </c>
      <c r="C441" s="76"/>
      <c r="D441" s="52"/>
      <c r="E441" s="52"/>
      <c r="F441" s="52"/>
      <c r="G441" s="127"/>
      <c r="H441" s="117"/>
      <c r="I441" s="92"/>
      <c r="J441" s="285"/>
    </row>
    <row r="442" spans="1:10" ht="15.75" x14ac:dyDescent="0.3">
      <c r="A442" s="422"/>
      <c r="B442" s="50" t="s">
        <v>155</v>
      </c>
      <c r="C442" s="57">
        <v>400</v>
      </c>
      <c r="D442" s="58">
        <v>4</v>
      </c>
      <c r="E442" s="52">
        <f>C442/D442</f>
        <v>100</v>
      </c>
      <c r="F442" s="57">
        <v>390.654</v>
      </c>
      <c r="G442" s="52">
        <v>2.5</v>
      </c>
      <c r="H442" s="241">
        <f>F442/G442</f>
        <v>156.26159999999999</v>
      </c>
      <c r="I442" s="92">
        <f>H442/E442</f>
        <v>1.5626159999999998</v>
      </c>
      <c r="J442" s="285"/>
    </row>
    <row r="443" spans="1:10" ht="15.75" x14ac:dyDescent="0.3">
      <c r="A443" s="422"/>
      <c r="B443" s="78" t="s">
        <v>156</v>
      </c>
      <c r="C443" s="51">
        <f>260</f>
        <v>260</v>
      </c>
      <c r="D443" s="52">
        <v>4</v>
      </c>
      <c r="E443" s="52">
        <f>C443/D443</f>
        <v>65</v>
      </c>
      <c r="F443" s="79">
        <f>58.95+149.89</f>
        <v>208.83999999999997</v>
      </c>
      <c r="G443" s="52">
        <v>3.5</v>
      </c>
      <c r="H443" s="241">
        <f>F443/G443</f>
        <v>59.668571428571418</v>
      </c>
      <c r="I443" s="92">
        <f>H443/E443</f>
        <v>0.91797802197802181</v>
      </c>
      <c r="J443" s="285"/>
    </row>
    <row r="444" spans="1:10" ht="15.75" x14ac:dyDescent="0.3">
      <c r="A444" s="422"/>
      <c r="B444" s="78" t="s">
        <v>213</v>
      </c>
      <c r="C444" s="51">
        <v>270</v>
      </c>
      <c r="D444" s="52">
        <v>3</v>
      </c>
      <c r="E444" s="52">
        <f>C444/D444</f>
        <v>90</v>
      </c>
      <c r="F444" s="51"/>
      <c r="G444" s="52"/>
      <c r="H444" s="241"/>
      <c r="I444" s="99"/>
      <c r="J444" s="285"/>
    </row>
    <row r="445" spans="1:10" ht="15.75" x14ac:dyDescent="0.3">
      <c r="A445" s="422"/>
      <c r="B445" s="78" t="s">
        <v>327</v>
      </c>
      <c r="C445" s="51"/>
      <c r="D445" s="52"/>
      <c r="E445" s="52"/>
      <c r="F445" s="52">
        <v>835.38100000000009</v>
      </c>
      <c r="G445" s="52"/>
      <c r="H445" s="241"/>
      <c r="I445" s="99"/>
      <c r="J445" s="285"/>
    </row>
    <row r="446" spans="1:10" ht="15.75" x14ac:dyDescent="0.3">
      <c r="A446" s="422"/>
      <c r="B446" s="78" t="s">
        <v>157</v>
      </c>
      <c r="C446" s="51">
        <v>220</v>
      </c>
      <c r="D446" s="52">
        <v>3</v>
      </c>
      <c r="E446" s="52">
        <f>C446/D446</f>
        <v>73.333333333333329</v>
      </c>
      <c r="F446" s="79">
        <v>95.676999999999992</v>
      </c>
      <c r="G446" s="52">
        <v>1.5</v>
      </c>
      <c r="H446" s="241">
        <f>F446/G446</f>
        <v>63.784666666666659</v>
      </c>
      <c r="I446" s="92">
        <f>H446/E446</f>
        <v>0.86979090909090906</v>
      </c>
      <c r="J446" s="285"/>
    </row>
    <row r="447" spans="1:10" ht="15.75" x14ac:dyDescent="0.3">
      <c r="A447" s="422"/>
      <c r="B447" s="78" t="s">
        <v>328</v>
      </c>
      <c r="C447" s="51"/>
      <c r="D447" s="52"/>
      <c r="E447" s="52"/>
      <c r="F447" s="79">
        <v>349.91699999999997</v>
      </c>
      <c r="G447" s="52">
        <v>2.5</v>
      </c>
      <c r="H447" s="241">
        <f>F447/G447</f>
        <v>139.96679999999998</v>
      </c>
      <c r="I447" s="99"/>
      <c r="J447" s="285"/>
    </row>
    <row r="448" spans="1:10" ht="15.75" x14ac:dyDescent="0.3">
      <c r="A448" s="422"/>
      <c r="B448" s="78"/>
      <c r="C448" s="51"/>
      <c r="D448" s="52"/>
      <c r="E448" s="52"/>
      <c r="F448" s="51"/>
      <c r="G448" s="52"/>
      <c r="H448" s="241"/>
      <c r="I448" s="99"/>
      <c r="J448" s="285"/>
    </row>
    <row r="449" spans="1:10" ht="16.5" x14ac:dyDescent="0.35">
      <c r="A449" s="422"/>
      <c r="B449" s="59" t="s">
        <v>146</v>
      </c>
      <c r="C449" s="60"/>
      <c r="D449" s="61">
        <f>SUM(D440:D447)</f>
        <v>24</v>
      </c>
      <c r="E449" s="61"/>
      <c r="F449" s="62"/>
      <c r="G449" s="63">
        <f>SUM(G440:G448)</f>
        <v>19</v>
      </c>
      <c r="H449" s="242"/>
      <c r="I449" s="99"/>
      <c r="J449" s="285"/>
    </row>
    <row r="450" spans="1:10" ht="15.75" x14ac:dyDescent="0.3">
      <c r="A450" s="422"/>
      <c r="B450" s="65" t="s">
        <v>148</v>
      </c>
      <c r="C450" s="66"/>
      <c r="D450" s="67">
        <v>7</v>
      </c>
      <c r="E450" s="67"/>
      <c r="F450" s="67"/>
      <c r="G450" s="81">
        <f>31-G449</f>
        <v>12</v>
      </c>
      <c r="H450" s="243"/>
      <c r="I450" s="112"/>
      <c r="J450" s="285"/>
    </row>
    <row r="451" spans="1:10" ht="17.25" thickBot="1" x14ac:dyDescent="0.4">
      <c r="A451" s="423"/>
      <c r="B451" s="70" t="s">
        <v>149</v>
      </c>
      <c r="C451" s="71">
        <f>SUM(C440:C448)</f>
        <v>4230</v>
      </c>
      <c r="D451" s="71">
        <f>D449+D450</f>
        <v>31</v>
      </c>
      <c r="E451" s="71"/>
      <c r="F451" s="71">
        <f>SUM(F440:F448)</f>
        <v>4204.5590000000002</v>
      </c>
      <c r="G451" s="71">
        <f>G449+G450</f>
        <v>31</v>
      </c>
      <c r="H451" s="82"/>
      <c r="I451" s="73">
        <f>F451/C451</f>
        <v>0.99398557919621755</v>
      </c>
      <c r="J451" s="299"/>
    </row>
    <row r="452" spans="1:10" ht="15.75" x14ac:dyDescent="0.3">
      <c r="A452" s="421" t="s">
        <v>161</v>
      </c>
      <c r="B452" s="50" t="s">
        <v>199</v>
      </c>
      <c r="C452" s="51">
        <v>623</v>
      </c>
      <c r="D452" s="83">
        <v>8</v>
      </c>
      <c r="E452" s="52">
        <f t="shared" ref="E452:E460" si="13">C452/D452</f>
        <v>77.875</v>
      </c>
      <c r="F452" s="51">
        <v>664.51499999999999</v>
      </c>
      <c r="G452" s="83">
        <v>9</v>
      </c>
      <c r="H452" s="52">
        <f t="shared" ref="H452" si="14">F452/G452</f>
        <v>73.834999999999994</v>
      </c>
      <c r="I452" s="92">
        <f>H452/E452</f>
        <v>0.94812199036918132</v>
      </c>
      <c r="J452" s="288" t="s">
        <v>329</v>
      </c>
    </row>
    <row r="453" spans="1:10" ht="15.75" x14ac:dyDescent="0.3">
      <c r="A453" s="422"/>
      <c r="B453" s="50" t="s">
        <v>215</v>
      </c>
      <c r="C453" s="76"/>
      <c r="D453" s="52"/>
      <c r="E453" s="52"/>
      <c r="F453" s="51"/>
      <c r="G453" s="52"/>
      <c r="H453" s="53"/>
      <c r="I453" s="92"/>
      <c r="J453" s="289"/>
    </row>
    <row r="454" spans="1:10" ht="15.75" x14ac:dyDescent="0.3">
      <c r="A454" s="422"/>
      <c r="B454" s="50" t="s">
        <v>216</v>
      </c>
      <c r="C454" s="76"/>
      <c r="D454" s="84"/>
      <c r="E454" s="52"/>
      <c r="F454" s="57"/>
      <c r="G454" s="52"/>
      <c r="H454" s="53"/>
      <c r="I454" s="92"/>
      <c r="J454" s="289"/>
    </row>
    <row r="455" spans="1:10" ht="16.5" thickBot="1" x14ac:dyDescent="0.35">
      <c r="A455" s="422"/>
      <c r="B455" s="50" t="s">
        <v>239</v>
      </c>
      <c r="C455" s="76"/>
      <c r="D455" s="84"/>
      <c r="E455" s="52"/>
      <c r="F455" s="57"/>
      <c r="G455" s="52"/>
      <c r="H455" s="53"/>
      <c r="I455" s="92"/>
      <c r="J455" s="289"/>
    </row>
    <row r="456" spans="1:10" ht="15.75" x14ac:dyDescent="0.3">
      <c r="A456" s="422"/>
      <c r="B456" s="50" t="s">
        <v>218</v>
      </c>
      <c r="C456" s="76">
        <f>296</f>
        <v>296</v>
      </c>
      <c r="D456" s="83">
        <v>2.5</v>
      </c>
      <c r="E456" s="52">
        <f t="shared" si="13"/>
        <v>118.4</v>
      </c>
      <c r="F456" s="76">
        <v>155.714</v>
      </c>
      <c r="G456" s="90">
        <v>1.5</v>
      </c>
      <c r="H456" s="53">
        <f t="shared" ref="H456:H460" si="15">F456/G456</f>
        <v>103.80933333333333</v>
      </c>
      <c r="I456" s="92">
        <f>H456/E456</f>
        <v>0.87676801801801796</v>
      </c>
      <c r="J456" s="289"/>
    </row>
    <row r="457" spans="1:10" ht="15.75" x14ac:dyDescent="0.3">
      <c r="A457" s="422"/>
      <c r="B457" s="50" t="s">
        <v>232</v>
      </c>
      <c r="C457" s="76"/>
      <c r="D457" s="84"/>
      <c r="E457" s="52"/>
      <c r="F457" s="51"/>
      <c r="G457" s="52"/>
      <c r="H457" s="53"/>
      <c r="I457" s="92"/>
      <c r="J457" s="289"/>
    </row>
    <row r="458" spans="1:10" ht="15.75" x14ac:dyDescent="0.3">
      <c r="A458" s="422"/>
      <c r="B458" s="50" t="s">
        <v>167</v>
      </c>
      <c r="C458" s="76"/>
      <c r="D458" s="84"/>
      <c r="E458" s="52"/>
      <c r="F458" s="57"/>
      <c r="G458" s="52"/>
      <c r="H458" s="53"/>
      <c r="I458" s="92"/>
      <c r="J458" s="289"/>
    </row>
    <row r="459" spans="1:10" ht="15.75" x14ac:dyDescent="0.3">
      <c r="A459" s="422"/>
      <c r="B459" s="50" t="s">
        <v>168</v>
      </c>
      <c r="C459" s="76"/>
      <c r="D459" s="84"/>
      <c r="E459" s="52"/>
      <c r="F459" s="57"/>
      <c r="G459" s="52"/>
      <c r="H459" s="86"/>
      <c r="I459" s="92"/>
      <c r="J459" s="289"/>
    </row>
    <row r="460" spans="1:10" ht="15.75" x14ac:dyDescent="0.3">
      <c r="A460" s="422"/>
      <c r="B460" s="50" t="s">
        <v>217</v>
      </c>
      <c r="C460" s="76">
        <v>330</v>
      </c>
      <c r="D460" s="84">
        <v>4</v>
      </c>
      <c r="E460" s="52">
        <f t="shared" si="13"/>
        <v>82.5</v>
      </c>
      <c r="F460" s="57">
        <f>191+7+88.76</f>
        <v>286.76</v>
      </c>
      <c r="G460" s="90">
        <v>3.5</v>
      </c>
      <c r="H460" s="53">
        <f t="shared" si="15"/>
        <v>81.931428571428569</v>
      </c>
      <c r="I460" s="92">
        <f>H460/E460</f>
        <v>0.99310822510822505</v>
      </c>
      <c r="J460" s="289"/>
    </row>
    <row r="461" spans="1:10" ht="15.75" x14ac:dyDescent="0.3">
      <c r="A461" s="422"/>
      <c r="B461" s="50"/>
      <c r="C461" s="76"/>
      <c r="D461" s="84"/>
      <c r="E461" s="84"/>
      <c r="F461" s="57">
        <v>0</v>
      </c>
      <c r="G461" s="52"/>
      <c r="H461" s="86"/>
      <c r="I461" s="92"/>
      <c r="J461" s="289"/>
    </row>
    <row r="462" spans="1:10" ht="16.5" x14ac:dyDescent="0.35">
      <c r="A462" s="422"/>
      <c r="B462" s="59" t="s">
        <v>146</v>
      </c>
      <c r="C462" s="60"/>
      <c r="D462" s="128">
        <f>SUM(D452:D460)</f>
        <v>14.5</v>
      </c>
      <c r="E462" s="61"/>
      <c r="F462" s="62"/>
      <c r="G462" s="63">
        <f>SUM(G452:G460)</f>
        <v>14</v>
      </c>
      <c r="H462" s="64"/>
      <c r="I462" s="92"/>
      <c r="J462" s="289"/>
    </row>
    <row r="463" spans="1:10" ht="15.75" x14ac:dyDescent="0.3">
      <c r="A463" s="422"/>
      <c r="B463" s="65" t="s">
        <v>148</v>
      </c>
      <c r="C463" s="66"/>
      <c r="D463" s="67">
        <f>31-D462</f>
        <v>16.5</v>
      </c>
      <c r="E463" s="67"/>
      <c r="F463" s="67"/>
      <c r="G463" s="67">
        <f>31-G462</f>
        <v>17</v>
      </c>
      <c r="H463" s="87"/>
      <c r="I463" s="92"/>
      <c r="J463" s="289"/>
    </row>
    <row r="464" spans="1:10" ht="17.25" thickBot="1" x14ac:dyDescent="0.4">
      <c r="A464" s="423"/>
      <c r="B464" s="70" t="s">
        <v>149</v>
      </c>
      <c r="C464" s="71">
        <f>SUM(C452:C460)</f>
        <v>1249</v>
      </c>
      <c r="D464" s="71">
        <f>D462+D463</f>
        <v>31</v>
      </c>
      <c r="E464" s="71">
        <f>SUM(E452:E460)</f>
        <v>278.77499999999998</v>
      </c>
      <c r="F464" s="71">
        <f>SUM(F452:F460)</f>
        <v>1106.989</v>
      </c>
      <c r="G464" s="71">
        <f>G463+G462</f>
        <v>31</v>
      </c>
      <c r="H464" s="82"/>
      <c r="I464" s="73">
        <f>F464/C464</f>
        <v>0.8863002401921537</v>
      </c>
      <c r="J464" s="300"/>
    </row>
    <row r="465" spans="1:10" ht="15.75" x14ac:dyDescent="0.3">
      <c r="A465" s="421" t="s">
        <v>169</v>
      </c>
      <c r="B465" s="88" t="s">
        <v>170</v>
      </c>
      <c r="C465" s="89">
        <v>700</v>
      </c>
      <c r="D465" s="52">
        <v>12</v>
      </c>
      <c r="E465" s="52">
        <f>C465/D465</f>
        <v>58.333333333333336</v>
      </c>
      <c r="F465" s="51">
        <v>804</v>
      </c>
      <c r="G465" s="52">
        <v>13</v>
      </c>
      <c r="H465" s="53">
        <f>F465/G465</f>
        <v>61.846153846153847</v>
      </c>
      <c r="I465" s="92">
        <f>H465/E465</f>
        <v>1.0602197802197801</v>
      </c>
      <c r="J465" s="288" t="s">
        <v>330</v>
      </c>
    </row>
    <row r="466" spans="1:10" ht="15.75" x14ac:dyDescent="0.3">
      <c r="A466" s="422"/>
      <c r="B466" s="244" t="s">
        <v>331</v>
      </c>
      <c r="C466" s="51">
        <v>80</v>
      </c>
      <c r="D466" s="52">
        <v>1.5</v>
      </c>
      <c r="E466" s="52">
        <f>C466/D466</f>
        <v>53.333333333333336</v>
      </c>
      <c r="F466" s="51">
        <v>135.89800000000002</v>
      </c>
      <c r="G466" s="52">
        <v>2.5</v>
      </c>
      <c r="H466" s="53">
        <f>F466/G466</f>
        <v>54.359200000000008</v>
      </c>
      <c r="I466" s="92">
        <f>H466/E466</f>
        <v>1.0192350000000001</v>
      </c>
      <c r="J466" s="289"/>
    </row>
    <row r="467" spans="1:10" ht="15.75" x14ac:dyDescent="0.3">
      <c r="A467" s="422"/>
      <c r="B467" s="80" t="s">
        <v>332</v>
      </c>
      <c r="C467" s="76"/>
      <c r="D467" s="52"/>
      <c r="E467" s="52"/>
      <c r="F467" s="57">
        <v>174.76899999999998</v>
      </c>
      <c r="G467" s="52">
        <v>3</v>
      </c>
      <c r="H467" s="53">
        <f>F467/G467</f>
        <v>58.256333333333323</v>
      </c>
      <c r="I467" s="92"/>
      <c r="J467" s="289"/>
    </row>
    <row r="468" spans="1:10" ht="15.75" x14ac:dyDescent="0.3">
      <c r="A468" s="422"/>
      <c r="B468" s="80" t="s">
        <v>159</v>
      </c>
      <c r="C468" s="76"/>
      <c r="D468" s="52"/>
      <c r="E468" s="52"/>
      <c r="F468" s="57">
        <v>232.92477399999999</v>
      </c>
      <c r="G468" s="52">
        <v>3</v>
      </c>
      <c r="H468" s="53">
        <f>F468/G468</f>
        <v>77.641591333333324</v>
      </c>
      <c r="I468" s="92"/>
      <c r="J468" s="289"/>
    </row>
    <row r="469" spans="1:10" ht="15.75" x14ac:dyDescent="0.3">
      <c r="A469" s="422"/>
      <c r="B469" s="80" t="s">
        <v>220</v>
      </c>
      <c r="C469" s="76"/>
      <c r="D469" s="52"/>
      <c r="E469" s="52"/>
      <c r="F469" s="57"/>
      <c r="G469" s="52"/>
      <c r="H469" s="53"/>
      <c r="I469" s="92"/>
      <c r="J469" s="289"/>
    </row>
    <row r="470" spans="1:10" ht="15.75" x14ac:dyDescent="0.3">
      <c r="A470" s="422"/>
      <c r="B470" s="80" t="s">
        <v>221</v>
      </c>
      <c r="C470" s="76"/>
      <c r="D470" s="52"/>
      <c r="E470" s="52"/>
      <c r="F470" s="57"/>
      <c r="G470" s="52"/>
      <c r="H470" s="53"/>
      <c r="I470" s="53"/>
      <c r="J470" s="289"/>
    </row>
    <row r="471" spans="1:10" ht="15.75" x14ac:dyDescent="0.3">
      <c r="A471" s="422"/>
      <c r="B471" s="80" t="s">
        <v>175</v>
      </c>
      <c r="C471" s="76"/>
      <c r="D471" s="52"/>
      <c r="E471" s="52"/>
      <c r="F471" s="57"/>
      <c r="G471" s="52"/>
      <c r="H471" s="53"/>
      <c r="I471" s="92"/>
      <c r="J471" s="289"/>
    </row>
    <row r="472" spans="1:10" ht="15.75" x14ac:dyDescent="0.3">
      <c r="A472" s="422"/>
      <c r="B472" s="80" t="s">
        <v>222</v>
      </c>
      <c r="C472" s="76"/>
      <c r="D472" s="52"/>
      <c r="E472" s="52"/>
      <c r="F472" s="57"/>
      <c r="G472" s="52"/>
      <c r="H472" s="53"/>
      <c r="I472" s="92"/>
      <c r="J472" s="289"/>
    </row>
    <row r="473" spans="1:10" ht="15.75" x14ac:dyDescent="0.3">
      <c r="A473" s="422"/>
      <c r="B473" s="80" t="s">
        <v>223</v>
      </c>
      <c r="C473" s="76">
        <v>685</v>
      </c>
      <c r="D473" s="52">
        <v>7</v>
      </c>
      <c r="E473" s="52">
        <f>C473/D473</f>
        <v>97.857142857142861</v>
      </c>
      <c r="F473" s="52">
        <v>256</v>
      </c>
      <c r="G473" s="52">
        <v>3</v>
      </c>
      <c r="H473" s="53">
        <f>F473/G473</f>
        <v>85.333333333333329</v>
      </c>
      <c r="I473" s="92">
        <f>H473/E473</f>
        <v>0.87201946472019454</v>
      </c>
      <c r="J473" s="289"/>
    </row>
    <row r="474" spans="1:10" ht="16.5" x14ac:dyDescent="0.35">
      <c r="A474" s="422"/>
      <c r="B474" s="59" t="s">
        <v>146</v>
      </c>
      <c r="C474" s="60"/>
      <c r="D474" s="61">
        <f>SUM(D465:D473)</f>
        <v>20.5</v>
      </c>
      <c r="E474" s="61"/>
      <c r="F474" s="62"/>
      <c r="G474" s="63">
        <f>SUM(G465:G473)</f>
        <v>24.5</v>
      </c>
      <c r="H474" s="64"/>
      <c r="I474" s="92"/>
      <c r="J474" s="289"/>
    </row>
    <row r="475" spans="1:10" ht="15.75" x14ac:dyDescent="0.3">
      <c r="A475" s="422"/>
      <c r="B475" s="65" t="s">
        <v>148</v>
      </c>
      <c r="C475" s="66"/>
      <c r="D475" s="68">
        <f>31-D474</f>
        <v>10.5</v>
      </c>
      <c r="E475" s="67"/>
      <c r="F475" s="67"/>
      <c r="G475" s="81">
        <f>31-G474</f>
        <v>6.5</v>
      </c>
      <c r="H475" s="87"/>
      <c r="I475" s="92"/>
      <c r="J475" s="289"/>
    </row>
    <row r="476" spans="1:10" ht="17.25" thickBot="1" x14ac:dyDescent="0.4">
      <c r="A476" s="423"/>
      <c r="B476" s="70" t="s">
        <v>149</v>
      </c>
      <c r="C476" s="71">
        <f>SUM(C465:C473)</f>
        <v>1465</v>
      </c>
      <c r="D476" s="71">
        <f>D474+D475</f>
        <v>31</v>
      </c>
      <c r="E476" s="71"/>
      <c r="F476" s="71">
        <f>SUM(F465:F473)</f>
        <v>1603.591774</v>
      </c>
      <c r="G476" s="71">
        <f>G474+G475</f>
        <v>31</v>
      </c>
      <c r="H476" s="58"/>
      <c r="I476" s="73">
        <f>F476/C476</f>
        <v>1.0946018935153583</v>
      </c>
      <c r="J476" s="300"/>
    </row>
    <row r="477" spans="1:10" ht="15.75" x14ac:dyDescent="0.3">
      <c r="A477" s="406" t="s">
        <v>176</v>
      </c>
      <c r="B477" s="80" t="s">
        <v>177</v>
      </c>
      <c r="C477" s="76">
        <v>628</v>
      </c>
      <c r="D477" s="52">
        <v>7.5</v>
      </c>
      <c r="E477" s="52">
        <f>C477/D477</f>
        <v>83.733333333333334</v>
      </c>
      <c r="F477" s="51">
        <v>628.74</v>
      </c>
      <c r="G477" s="93">
        <v>7.5</v>
      </c>
      <c r="H477" s="53">
        <f t="shared" ref="H477:H481" si="16">F477/G477</f>
        <v>83.832000000000008</v>
      </c>
      <c r="I477" s="92">
        <f>H477/E477</f>
        <v>1.0011783439490447</v>
      </c>
      <c r="J477" s="292"/>
    </row>
    <row r="478" spans="1:10" ht="15.75" x14ac:dyDescent="0.3">
      <c r="A478" s="407"/>
      <c r="B478" s="80" t="s">
        <v>224</v>
      </c>
      <c r="C478" s="76">
        <v>850</v>
      </c>
      <c r="D478" s="84">
        <v>9</v>
      </c>
      <c r="E478" s="52">
        <f>C478/D478</f>
        <v>94.444444444444443</v>
      </c>
      <c r="F478" s="93">
        <v>783.5</v>
      </c>
      <c r="G478" s="93">
        <v>11</v>
      </c>
      <c r="H478" s="53">
        <f t="shared" si="16"/>
        <v>71.227272727272734</v>
      </c>
      <c r="I478" s="92">
        <f>H478/E478</f>
        <v>0.7541711229946525</v>
      </c>
      <c r="J478" s="293"/>
    </row>
    <row r="479" spans="1:10" ht="15.75" x14ac:dyDescent="0.3">
      <c r="A479" s="407"/>
      <c r="B479" s="80" t="s">
        <v>204</v>
      </c>
      <c r="C479" s="76"/>
      <c r="D479" s="52"/>
      <c r="E479" s="52"/>
      <c r="F479" s="51"/>
      <c r="G479" s="93"/>
      <c r="H479" s="53"/>
      <c r="I479" s="92"/>
      <c r="J479" s="293"/>
    </row>
    <row r="480" spans="1:10" ht="15.75" x14ac:dyDescent="0.3">
      <c r="A480" s="407"/>
      <c r="B480" s="80" t="s">
        <v>233</v>
      </c>
      <c r="C480" s="76">
        <v>430</v>
      </c>
      <c r="D480" s="52">
        <v>6</v>
      </c>
      <c r="E480" s="52">
        <f>C480/D480</f>
        <v>71.666666666666671</v>
      </c>
      <c r="F480" s="51">
        <v>365.66250000000002</v>
      </c>
      <c r="G480" s="93">
        <v>5</v>
      </c>
      <c r="H480" s="53">
        <f t="shared" ref="H480" si="17">F480/G480</f>
        <v>73.132500000000007</v>
      </c>
      <c r="I480" s="92">
        <f>H480/E480</f>
        <v>1.020453488372093</v>
      </c>
      <c r="J480" s="293"/>
    </row>
    <row r="481" spans="1:10" ht="15.75" x14ac:dyDescent="0.3">
      <c r="A481" s="407"/>
      <c r="B481" s="80" t="s">
        <v>181</v>
      </c>
      <c r="C481" s="51">
        <v>84</v>
      </c>
      <c r="D481" s="52">
        <v>1</v>
      </c>
      <c r="E481" s="52">
        <f>C481/D481</f>
        <v>84</v>
      </c>
      <c r="F481" s="51">
        <v>276.11250000000001</v>
      </c>
      <c r="G481" s="93">
        <v>5</v>
      </c>
      <c r="H481" s="53">
        <f t="shared" si="16"/>
        <v>55.222500000000004</v>
      </c>
      <c r="I481" s="92">
        <f>H481/E481</f>
        <v>0.65741071428571429</v>
      </c>
      <c r="J481" s="293"/>
    </row>
    <row r="482" spans="1:10" ht="15.75" x14ac:dyDescent="0.3">
      <c r="A482" s="407"/>
      <c r="B482" s="121" t="s">
        <v>242</v>
      </c>
      <c r="C482" s="94"/>
      <c r="D482" s="86"/>
      <c r="E482" s="86"/>
      <c r="F482" s="95"/>
      <c r="G482" s="96"/>
      <c r="H482" s="53"/>
      <c r="I482" s="92"/>
      <c r="J482" s="293"/>
    </row>
    <row r="483" spans="1:10" ht="16.5" x14ac:dyDescent="0.35">
      <c r="A483" s="407"/>
      <c r="B483" s="59" t="s">
        <v>146</v>
      </c>
      <c r="C483" s="60"/>
      <c r="D483" s="61">
        <f>SUM(D477:D482)</f>
        <v>23.5</v>
      </c>
      <c r="E483" s="61"/>
      <c r="F483" s="62"/>
      <c r="G483" s="61">
        <f>SUM(G477:G482)</f>
        <v>28.5</v>
      </c>
      <c r="H483" s="61"/>
      <c r="I483" s="92"/>
      <c r="J483" s="293"/>
    </row>
    <row r="484" spans="1:10" ht="15.75" x14ac:dyDescent="0.3">
      <c r="A484" s="407"/>
      <c r="B484" s="65" t="s">
        <v>148</v>
      </c>
      <c r="C484" s="66"/>
      <c r="D484" s="68">
        <f>31-D483</f>
        <v>7.5</v>
      </c>
      <c r="E484" s="67"/>
      <c r="F484" s="67"/>
      <c r="G484" s="81">
        <f>31-G483</f>
        <v>2.5</v>
      </c>
      <c r="H484" s="97"/>
      <c r="I484" s="92"/>
      <c r="J484" s="293"/>
    </row>
    <row r="485" spans="1:10" ht="17.25" thickBot="1" x14ac:dyDescent="0.4">
      <c r="A485" s="408"/>
      <c r="B485" s="70" t="s">
        <v>149</v>
      </c>
      <c r="C485" s="71">
        <f>SUM(C477:C481)</f>
        <v>1992</v>
      </c>
      <c r="D485" s="71">
        <f>D484+D483</f>
        <v>31</v>
      </c>
      <c r="E485" s="98"/>
      <c r="F485" s="71">
        <f>SUM(F477:F482)</f>
        <v>2054.0150000000003</v>
      </c>
      <c r="G485" s="71">
        <f>G484+G483</f>
        <v>31</v>
      </c>
      <c r="H485" s="99"/>
      <c r="I485" s="73">
        <f>F485/C485</f>
        <v>1.0311320281124499</v>
      </c>
      <c r="J485" s="294"/>
    </row>
    <row r="486" spans="1:10" ht="15.75" x14ac:dyDescent="0.3">
      <c r="A486" s="406" t="s">
        <v>183</v>
      </c>
      <c r="B486" s="50" t="s">
        <v>77</v>
      </c>
      <c r="C486" s="51">
        <v>550</v>
      </c>
      <c r="D486" s="52">
        <v>3</v>
      </c>
      <c r="E486" s="52">
        <f>C486/D486</f>
        <v>183.33333333333334</v>
      </c>
      <c r="F486" s="51">
        <v>596.68700000000001</v>
      </c>
      <c r="G486" s="93">
        <v>3.5</v>
      </c>
      <c r="H486" s="96">
        <f>F486/G486</f>
        <v>170.482</v>
      </c>
      <c r="I486" s="92">
        <f>H486/E486</f>
        <v>0.92990181818181816</v>
      </c>
      <c r="J486" s="295"/>
    </row>
    <row r="487" spans="1:10" ht="15.75" x14ac:dyDescent="0.3">
      <c r="A487" s="407"/>
      <c r="B487" s="50" t="s">
        <v>243</v>
      </c>
      <c r="C487" s="51"/>
      <c r="D487" s="52"/>
      <c r="E487" s="52"/>
      <c r="F487" s="57">
        <v>184.947</v>
      </c>
      <c r="G487" s="93">
        <v>1.5</v>
      </c>
      <c r="H487" s="96">
        <f>F487/G487</f>
        <v>123.298</v>
      </c>
      <c r="I487" s="92"/>
      <c r="J487" s="296"/>
    </row>
    <row r="488" spans="1:10" ht="15.75" x14ac:dyDescent="0.3">
      <c r="A488" s="407"/>
      <c r="B488" s="50" t="s">
        <v>184</v>
      </c>
      <c r="C488" s="51">
        <v>2325</v>
      </c>
      <c r="D488" s="52">
        <v>15</v>
      </c>
      <c r="E488" s="52">
        <f>C488/D488</f>
        <v>155</v>
      </c>
      <c r="F488" s="51">
        <v>2951.5440000000003</v>
      </c>
      <c r="G488" s="93">
        <v>18</v>
      </c>
      <c r="H488" s="96">
        <f>F488/G488</f>
        <v>163.97466666666668</v>
      </c>
      <c r="I488" s="92">
        <f>H488/E488</f>
        <v>1.0579010752688174</v>
      </c>
      <c r="J488" s="296"/>
    </row>
    <row r="489" spans="1:10" ht="15.75" x14ac:dyDescent="0.3">
      <c r="A489" s="407"/>
      <c r="B489" s="50" t="s">
        <v>186</v>
      </c>
      <c r="C489" s="51">
        <v>360</v>
      </c>
      <c r="D489" s="52">
        <v>3</v>
      </c>
      <c r="E489" s="52">
        <f>C489/D489</f>
        <v>120</v>
      </c>
      <c r="F489" s="51"/>
      <c r="G489" s="93"/>
      <c r="H489" s="96"/>
      <c r="I489" s="92"/>
      <c r="J489" s="296"/>
    </row>
    <row r="490" spans="1:10" ht="15.75" x14ac:dyDescent="0.3">
      <c r="A490" s="407"/>
      <c r="B490" s="50" t="s">
        <v>226</v>
      </c>
      <c r="C490" s="51"/>
      <c r="D490" s="52"/>
      <c r="E490" s="52"/>
      <c r="F490" s="57"/>
      <c r="G490" s="93"/>
      <c r="H490" s="96"/>
      <c r="I490" s="92"/>
      <c r="J490" s="296"/>
    </row>
    <row r="491" spans="1:10" ht="15.75" x14ac:dyDescent="0.3">
      <c r="A491" s="407"/>
      <c r="B491" s="101" t="s">
        <v>79</v>
      </c>
      <c r="C491" s="95"/>
      <c r="D491" s="102"/>
      <c r="E491" s="52"/>
      <c r="F491" s="95"/>
      <c r="G491" s="103"/>
      <c r="H491" s="99"/>
      <c r="I491" s="92"/>
      <c r="J491" s="296"/>
    </row>
    <row r="492" spans="1:10" ht="16.5" x14ac:dyDescent="0.35">
      <c r="A492" s="407"/>
      <c r="B492" s="59" t="s">
        <v>146</v>
      </c>
      <c r="C492" s="60"/>
      <c r="D492" s="61">
        <f>SUM(D486:D491)</f>
        <v>21</v>
      </c>
      <c r="E492" s="61"/>
      <c r="F492" s="62"/>
      <c r="G492" s="60">
        <f>SUM(G486:G491)</f>
        <v>23</v>
      </c>
      <c r="H492" s="61"/>
      <c r="I492" s="92"/>
      <c r="J492" s="296"/>
    </row>
    <row r="493" spans="1:10" ht="16.5" x14ac:dyDescent="0.35">
      <c r="A493" s="407"/>
      <c r="B493" s="130" t="s">
        <v>244</v>
      </c>
      <c r="C493" s="131"/>
      <c r="D493" s="132"/>
      <c r="E493" s="133"/>
      <c r="F493" s="133"/>
      <c r="G493" s="132"/>
      <c r="H493" s="134"/>
      <c r="I493" s="92"/>
      <c r="J493" s="296"/>
    </row>
    <row r="494" spans="1:10" ht="15.75" x14ac:dyDescent="0.3">
      <c r="A494" s="407"/>
      <c r="B494" s="65" t="s">
        <v>148</v>
      </c>
      <c r="C494" s="66"/>
      <c r="D494" s="68">
        <f>D492+D493</f>
        <v>21</v>
      </c>
      <c r="E494" s="67"/>
      <c r="F494" s="67"/>
      <c r="G494" s="81">
        <f>31-G492-G493</f>
        <v>8</v>
      </c>
      <c r="H494" s="97"/>
      <c r="I494" s="92"/>
      <c r="J494" s="296"/>
    </row>
    <row r="495" spans="1:10" ht="17.25" thickBot="1" x14ac:dyDescent="0.4">
      <c r="A495" s="408"/>
      <c r="B495" s="70" t="s">
        <v>149</v>
      </c>
      <c r="C495" s="71">
        <f>SUM(C486:C491)</f>
        <v>3235</v>
      </c>
      <c r="D495" s="71">
        <f>31-D494</f>
        <v>10</v>
      </c>
      <c r="E495" s="71"/>
      <c r="F495" s="71">
        <f>SUM(F486:F491)</f>
        <v>3733.1780000000003</v>
      </c>
      <c r="G495" s="104">
        <f>G494+G492+G493</f>
        <v>31</v>
      </c>
      <c r="H495" s="105"/>
      <c r="I495" s="73">
        <f>F495/C495</f>
        <v>1.1539962905718704</v>
      </c>
      <c r="J495" s="297"/>
    </row>
    <row r="496" spans="1:10" ht="15.75" x14ac:dyDescent="0.3">
      <c r="A496" s="406" t="s">
        <v>188</v>
      </c>
      <c r="B496" s="106" t="s">
        <v>184</v>
      </c>
      <c r="C496" s="76">
        <v>1150</v>
      </c>
      <c r="D496" s="84">
        <v>3.5</v>
      </c>
      <c r="E496" s="52">
        <f>C496/D496</f>
        <v>328.57142857142856</v>
      </c>
      <c r="F496" s="57"/>
      <c r="G496" s="93"/>
      <c r="H496" s="93"/>
      <c r="I496" s="107"/>
      <c r="J496" s="295" t="s">
        <v>245</v>
      </c>
    </row>
    <row r="497" spans="1:10" ht="15.75" x14ac:dyDescent="0.3">
      <c r="A497" s="407"/>
      <c r="B497" s="106" t="s">
        <v>77</v>
      </c>
      <c r="C497" s="76">
        <v>1500</v>
      </c>
      <c r="D497" s="84">
        <v>4.5</v>
      </c>
      <c r="E497" s="52">
        <f>C497/D497</f>
        <v>333.33333333333331</v>
      </c>
      <c r="F497" s="51">
        <v>1411.644</v>
      </c>
      <c r="G497" s="93">
        <v>4.5</v>
      </c>
      <c r="H497" s="99">
        <f>F497/G497</f>
        <v>313.69866666666667</v>
      </c>
      <c r="I497" s="92">
        <f>H497/E497</f>
        <v>0.94109600000000004</v>
      </c>
      <c r="J497" s="296"/>
    </row>
    <row r="498" spans="1:10" ht="15.75" x14ac:dyDescent="0.3">
      <c r="A498" s="407"/>
      <c r="B498" s="245" t="s">
        <v>191</v>
      </c>
      <c r="C498" s="246"/>
      <c r="D498" s="84"/>
      <c r="E498" s="86"/>
      <c r="F498" s="95">
        <v>372.48200000000008</v>
      </c>
      <c r="G498" s="53">
        <v>3</v>
      </c>
      <c r="H498" s="99">
        <f>F498/G498</f>
        <v>124.1606666666667</v>
      </c>
      <c r="I498" s="107"/>
      <c r="J498" s="296"/>
    </row>
    <row r="499" spans="1:10" ht="16.5" x14ac:dyDescent="0.35">
      <c r="A499" s="407"/>
      <c r="B499" s="65" t="s">
        <v>189</v>
      </c>
      <c r="C499" s="66"/>
      <c r="D499" s="108">
        <f>31-D496-D497</f>
        <v>23</v>
      </c>
      <c r="E499" s="109"/>
      <c r="F499" s="109"/>
      <c r="G499" s="110">
        <f>31-G496-G497-G498</f>
        <v>23.5</v>
      </c>
      <c r="H499" s="68"/>
      <c r="I499" s="92"/>
      <c r="J499" s="296"/>
    </row>
    <row r="500" spans="1:10" ht="17.25" thickBot="1" x14ac:dyDescent="0.4">
      <c r="A500" s="408"/>
      <c r="B500" s="111" t="s">
        <v>149</v>
      </c>
      <c r="C500" s="82">
        <f>SUM(C496:C499)</f>
        <v>2650</v>
      </c>
      <c r="D500" s="82"/>
      <c r="E500" s="82"/>
      <c r="F500" s="82">
        <f>SUM(F496:F499)</f>
        <v>1784.1260000000002</v>
      </c>
      <c r="G500" s="82"/>
      <c r="H500" s="112"/>
      <c r="I500" s="73">
        <f>F500/C500</f>
        <v>0.67325509433962272</v>
      </c>
      <c r="J500" s="297"/>
    </row>
    <row r="501" spans="1:10" ht="15.75" x14ac:dyDescent="0.3">
      <c r="A501" s="406" t="s">
        <v>190</v>
      </c>
      <c r="B501" s="50"/>
      <c r="C501" s="51"/>
      <c r="D501" s="52"/>
      <c r="E501" s="52"/>
      <c r="F501" s="51"/>
      <c r="G501" s="93"/>
      <c r="H501" s="99"/>
      <c r="I501" s="92"/>
      <c r="J501" s="295"/>
    </row>
    <row r="502" spans="1:10" ht="15.75" x14ac:dyDescent="0.3">
      <c r="A502" s="407"/>
      <c r="B502" s="101" t="s">
        <v>206</v>
      </c>
      <c r="C502" s="95">
        <v>153</v>
      </c>
      <c r="D502" s="102">
        <v>9</v>
      </c>
      <c r="E502" s="86">
        <f>C502/D502</f>
        <v>17</v>
      </c>
      <c r="F502" s="95"/>
      <c r="G502" s="103"/>
      <c r="H502" s="86"/>
      <c r="I502" s="92">
        <f>H502/E502</f>
        <v>0</v>
      </c>
      <c r="J502" s="296"/>
    </row>
    <row r="503" spans="1:10" ht="15.75" x14ac:dyDescent="0.3">
      <c r="A503" s="407"/>
      <c r="B503" s="101" t="s">
        <v>192</v>
      </c>
      <c r="C503" s="114">
        <v>0</v>
      </c>
      <c r="D503" s="102">
        <v>0</v>
      </c>
      <c r="E503" s="86"/>
      <c r="F503" s="95"/>
      <c r="G503" s="103"/>
      <c r="H503" s="99"/>
      <c r="I503" s="92"/>
      <c r="J503" s="296"/>
    </row>
    <row r="504" spans="1:10" ht="16.5" x14ac:dyDescent="0.35">
      <c r="A504" s="407"/>
      <c r="B504" s="59" t="s">
        <v>146</v>
      </c>
      <c r="C504" s="60"/>
      <c r="D504" s="61">
        <f>SUM(D502:D503)</f>
        <v>9</v>
      </c>
      <c r="E504" s="61"/>
      <c r="F504" s="62"/>
      <c r="G504" s="61">
        <f>SUM(G502:G503)</f>
        <v>0</v>
      </c>
      <c r="H504" s="61"/>
      <c r="I504" s="92"/>
      <c r="J504" s="296"/>
    </row>
    <row r="505" spans="1:10" ht="15.75" x14ac:dyDescent="0.3">
      <c r="A505" s="407"/>
      <c r="B505" s="65" t="s">
        <v>148</v>
      </c>
      <c r="C505" s="66"/>
      <c r="D505" s="68">
        <f>31-D504</f>
        <v>22</v>
      </c>
      <c r="E505" s="67"/>
      <c r="F505" s="67"/>
      <c r="G505" s="81">
        <f>31-G504</f>
        <v>31</v>
      </c>
      <c r="H505" s="97"/>
      <c r="I505" s="92"/>
      <c r="J505" s="296"/>
    </row>
    <row r="506" spans="1:10" ht="17.25" thickBot="1" x14ac:dyDescent="0.4">
      <c r="A506" s="408"/>
      <c r="B506" s="70" t="s">
        <v>149</v>
      </c>
      <c r="C506" s="71">
        <f>SUM(C502:C503)</f>
        <v>153</v>
      </c>
      <c r="D506" s="71">
        <f>D505+D504</f>
        <v>31</v>
      </c>
      <c r="E506" s="71"/>
      <c r="F506" s="71">
        <f>SUM(F502:F503)</f>
        <v>0</v>
      </c>
      <c r="G506" s="71">
        <f>G505+G504</f>
        <v>31</v>
      </c>
      <c r="H506" s="105"/>
      <c r="I506" s="247">
        <v>0</v>
      </c>
      <c r="J506" s="297"/>
    </row>
    <row r="507" spans="1:10" ht="19.5" x14ac:dyDescent="0.3">
      <c r="A507" s="240"/>
      <c r="B507" s="101" t="s">
        <v>185</v>
      </c>
      <c r="C507" s="95">
        <v>220</v>
      </c>
      <c r="D507" s="102">
        <v>4.5</v>
      </c>
      <c r="E507" s="86">
        <f>C507/D507</f>
        <v>48.888888888888886</v>
      </c>
      <c r="F507" s="95">
        <v>304.739194</v>
      </c>
      <c r="G507" s="103">
        <v>5</v>
      </c>
      <c r="H507" s="86">
        <f>F507/G507</f>
        <v>60.9478388</v>
      </c>
      <c r="I507" s="92">
        <f>H507/E507</f>
        <v>1.2466603390909092</v>
      </c>
      <c r="J507" s="276"/>
    </row>
    <row r="508" spans="1:10" ht="15.75" x14ac:dyDescent="0.3">
      <c r="A508" s="407" t="s">
        <v>194</v>
      </c>
      <c r="B508" s="101" t="s">
        <v>208</v>
      </c>
      <c r="C508" s="95"/>
      <c r="D508" s="102"/>
      <c r="E508" s="86"/>
      <c r="F508" s="95"/>
      <c r="G508" s="103"/>
      <c r="H508" s="99"/>
      <c r="I508" s="92"/>
      <c r="J508" s="277"/>
    </row>
    <row r="509" spans="1:10" ht="15.75" x14ac:dyDescent="0.3">
      <c r="A509" s="407"/>
      <c r="B509" s="101" t="s">
        <v>234</v>
      </c>
      <c r="C509" s="114"/>
      <c r="D509" s="102"/>
      <c r="E509" s="86"/>
      <c r="F509" s="103"/>
      <c r="G509" s="103"/>
      <c r="H509" s="86"/>
      <c r="I509" s="92"/>
      <c r="J509" s="277"/>
    </row>
    <row r="510" spans="1:10" ht="16.5" x14ac:dyDescent="0.35">
      <c r="A510" s="407"/>
      <c r="B510" s="59" t="s">
        <v>146</v>
      </c>
      <c r="C510" s="60"/>
      <c r="D510" s="61">
        <f>SUM(D507:D509)</f>
        <v>4.5</v>
      </c>
      <c r="E510" s="61"/>
      <c r="F510" s="62"/>
      <c r="G510" s="61">
        <f>SUM(G507:G509)</f>
        <v>5</v>
      </c>
      <c r="H510" s="61"/>
      <c r="I510" s="92"/>
      <c r="J510" s="277"/>
    </row>
    <row r="511" spans="1:10" ht="15.75" x14ac:dyDescent="0.3">
      <c r="A511" s="407"/>
      <c r="B511" s="65" t="s">
        <v>148</v>
      </c>
      <c r="C511" s="66"/>
      <c r="D511" s="68">
        <f>31-D510</f>
        <v>26.5</v>
      </c>
      <c r="E511" s="67"/>
      <c r="F511" s="67"/>
      <c r="G511" s="81">
        <f>31-G510</f>
        <v>26</v>
      </c>
      <c r="H511" s="97"/>
      <c r="I511" s="92"/>
      <c r="J511" s="277"/>
    </row>
    <row r="512" spans="1:10" ht="17.25" thickBot="1" x14ac:dyDescent="0.4">
      <c r="A512" s="408"/>
      <c r="B512" s="70" t="s">
        <v>149</v>
      </c>
      <c r="C512" s="71">
        <f>SUM(C507:C509)</f>
        <v>220</v>
      </c>
      <c r="D512" s="71">
        <f>D511+D510</f>
        <v>31</v>
      </c>
      <c r="E512" s="71"/>
      <c r="F512" s="71">
        <f>SUM(F507:F509)</f>
        <v>304.739194</v>
      </c>
      <c r="G512" s="71">
        <f>G511+G510</f>
        <v>31</v>
      </c>
      <c r="H512" s="105"/>
      <c r="I512" s="73">
        <f>F512/C512</f>
        <v>1.3851781545454545</v>
      </c>
      <c r="J512" s="278"/>
    </row>
    <row r="513" spans="1:10" x14ac:dyDescent="0.25">
      <c r="A513" s="38"/>
      <c r="B513" s="41"/>
      <c r="C513" s="115"/>
      <c r="D513" s="115"/>
      <c r="E513" s="115"/>
      <c r="F513" s="115"/>
      <c r="G513" s="115"/>
      <c r="H513" s="115"/>
      <c r="I513" s="115"/>
      <c r="J513" s="116"/>
    </row>
    <row r="514" spans="1:10" ht="21" x14ac:dyDescent="0.4">
      <c r="A514" s="37" t="s">
        <v>339</v>
      </c>
      <c r="B514" s="37"/>
      <c r="C514" s="37"/>
      <c r="D514" s="37"/>
      <c r="E514" s="37"/>
      <c r="F514" s="37"/>
      <c r="G514" s="37"/>
      <c r="H514" s="37"/>
      <c r="I514" s="37"/>
      <c r="J514" s="255"/>
    </row>
    <row r="515" spans="1:10" ht="17.25" thickBot="1" x14ac:dyDescent="0.4">
      <c r="A515" s="40"/>
      <c r="B515" s="41"/>
      <c r="C515" s="42"/>
      <c r="D515" s="42"/>
      <c r="E515" s="42"/>
      <c r="F515" s="42"/>
      <c r="G515" s="42"/>
      <c r="H515" s="42"/>
      <c r="I515" s="42"/>
      <c r="J515" s="256"/>
    </row>
    <row r="516" spans="1:10" ht="16.5" x14ac:dyDescent="0.35">
      <c r="A516" s="409" t="s">
        <v>128</v>
      </c>
      <c r="B516" s="44"/>
      <c r="C516" s="45"/>
      <c r="D516" s="45"/>
      <c r="E516" s="45"/>
      <c r="F516" s="45"/>
      <c r="G516" s="411" t="s">
        <v>129</v>
      </c>
      <c r="H516" s="251"/>
      <c r="I516" s="413" t="s">
        <v>130</v>
      </c>
      <c r="J516" s="257" t="s">
        <v>131</v>
      </c>
    </row>
    <row r="517" spans="1:10" ht="66.75" thickBot="1" x14ac:dyDescent="0.3">
      <c r="A517" s="410"/>
      <c r="B517" s="46"/>
      <c r="C517" s="47" t="s">
        <v>132</v>
      </c>
      <c r="D517" s="48" t="s">
        <v>133</v>
      </c>
      <c r="E517" s="48" t="s">
        <v>134</v>
      </c>
      <c r="F517" s="49" t="s">
        <v>135</v>
      </c>
      <c r="G517" s="412"/>
      <c r="H517" s="48" t="s">
        <v>136</v>
      </c>
      <c r="I517" s="414"/>
      <c r="J517" s="258"/>
    </row>
    <row r="518" spans="1:10" ht="15.75" x14ac:dyDescent="0.3">
      <c r="A518" s="415" t="s">
        <v>137</v>
      </c>
      <c r="B518" s="50" t="s">
        <v>340</v>
      </c>
      <c r="C518" s="51">
        <f>1350+1300</f>
        <v>2650</v>
      </c>
      <c r="D518" s="123">
        <f>5+5</f>
        <v>10</v>
      </c>
      <c r="E518" s="52">
        <f>C518/D518</f>
        <v>265</v>
      </c>
      <c r="F518" s="51">
        <v>1246.1139999999998</v>
      </c>
      <c r="G518" s="53">
        <v>7</v>
      </c>
      <c r="H518" s="53">
        <f>F518/G518</f>
        <v>178.01628571428569</v>
      </c>
      <c r="I518" s="54">
        <f>H518/E518</f>
        <v>0.67175956873315357</v>
      </c>
      <c r="J518" s="259" t="s">
        <v>341</v>
      </c>
    </row>
    <row r="519" spans="1:10" ht="15.75" x14ac:dyDescent="0.3">
      <c r="A519" s="416"/>
      <c r="B519" s="56" t="s">
        <v>140</v>
      </c>
      <c r="C519" s="57"/>
      <c r="D519" s="53"/>
      <c r="E519" s="52"/>
      <c r="F519" s="57"/>
      <c r="G519" s="53"/>
      <c r="H519" s="53"/>
      <c r="I519" s="54"/>
      <c r="J519" s="260"/>
    </row>
    <row r="520" spans="1:10" ht="15.75" x14ac:dyDescent="0.3">
      <c r="A520" s="416"/>
      <c r="B520" s="56" t="s">
        <v>325</v>
      </c>
      <c r="C520" s="57">
        <f>660+670</f>
        <v>1330</v>
      </c>
      <c r="D520" s="58">
        <f>4+3</f>
        <v>7</v>
      </c>
      <c r="E520" s="52">
        <f>C520/D520</f>
        <v>190</v>
      </c>
      <c r="F520" s="57">
        <v>521.44000000000005</v>
      </c>
      <c r="G520" s="53">
        <v>3</v>
      </c>
      <c r="H520" s="53">
        <f>F520/G520</f>
        <v>173.81333333333336</v>
      </c>
      <c r="I520" s="54">
        <f>H520/E520</f>
        <v>0.91480701754385985</v>
      </c>
      <c r="J520" s="260"/>
    </row>
    <row r="521" spans="1:10" ht="15.75" x14ac:dyDescent="0.3">
      <c r="A521" s="416"/>
      <c r="B521" s="56" t="s">
        <v>143</v>
      </c>
      <c r="C521" s="57"/>
      <c r="D521" s="58"/>
      <c r="E521" s="52"/>
      <c r="F521" s="57"/>
      <c r="G521" s="53"/>
      <c r="H521" s="53"/>
      <c r="I521" s="54"/>
      <c r="J521" s="260"/>
    </row>
    <row r="522" spans="1:10" ht="15.75" x14ac:dyDescent="0.3">
      <c r="A522" s="416"/>
      <c r="B522" s="56" t="s">
        <v>144</v>
      </c>
      <c r="C522" s="57"/>
      <c r="D522" s="58"/>
      <c r="E522" s="52"/>
      <c r="F522" s="57"/>
      <c r="G522" s="53"/>
      <c r="H522" s="53"/>
      <c r="I522" s="53"/>
      <c r="J522" s="260"/>
    </row>
    <row r="523" spans="1:10" ht="15.75" x14ac:dyDescent="0.3">
      <c r="A523" s="416"/>
      <c r="B523" s="56" t="s">
        <v>145</v>
      </c>
      <c r="C523" s="57">
        <v>780</v>
      </c>
      <c r="D523" s="58">
        <v>6</v>
      </c>
      <c r="E523" s="52">
        <f>C523/D523</f>
        <v>130</v>
      </c>
      <c r="F523" s="57">
        <v>921.35</v>
      </c>
      <c r="G523" s="53">
        <v>9</v>
      </c>
      <c r="H523" s="53">
        <f>F523/G523</f>
        <v>102.37222222222222</v>
      </c>
      <c r="I523" s="54"/>
      <c r="J523" s="260"/>
    </row>
    <row r="524" spans="1:10" ht="15.75" x14ac:dyDescent="0.3">
      <c r="A524" s="416"/>
      <c r="B524" s="56"/>
      <c r="C524" s="57"/>
      <c r="D524" s="58"/>
      <c r="E524" s="52"/>
      <c r="F524" s="57"/>
      <c r="G524" s="53"/>
      <c r="H524" s="53"/>
      <c r="I524" s="53"/>
      <c r="J524" s="260"/>
    </row>
    <row r="525" spans="1:10" ht="16.5" x14ac:dyDescent="0.35">
      <c r="A525" s="416"/>
      <c r="B525" s="59" t="s">
        <v>146</v>
      </c>
      <c r="C525" s="60"/>
      <c r="D525" s="61">
        <f>SUM(D518:D524)</f>
        <v>23</v>
      </c>
      <c r="E525" s="61"/>
      <c r="F525" s="62"/>
      <c r="G525" s="63">
        <f>SUM(G518:G524)</f>
        <v>19</v>
      </c>
      <c r="H525" s="64"/>
      <c r="I525" s="53"/>
      <c r="J525" s="260"/>
    </row>
    <row r="526" spans="1:10" ht="16.5" x14ac:dyDescent="0.35">
      <c r="A526" s="416"/>
      <c r="B526" s="59" t="s">
        <v>147</v>
      </c>
      <c r="C526" s="60"/>
      <c r="D526" s="61">
        <v>3</v>
      </c>
      <c r="E526" s="62"/>
      <c r="F526" s="62"/>
      <c r="G526" s="63">
        <v>7</v>
      </c>
      <c r="H526" s="64"/>
      <c r="I526" s="53"/>
      <c r="J526" s="260"/>
    </row>
    <row r="527" spans="1:10" ht="15.75" x14ac:dyDescent="0.3">
      <c r="A527" s="416"/>
      <c r="B527" s="65" t="s">
        <v>148</v>
      </c>
      <c r="C527" s="66"/>
      <c r="D527" s="67">
        <v>4</v>
      </c>
      <c r="E527" s="67"/>
      <c r="F527" s="67"/>
      <c r="G527" s="68">
        <v>4</v>
      </c>
      <c r="H527" s="69"/>
      <c r="I527" s="53"/>
      <c r="J527" s="260"/>
    </row>
    <row r="528" spans="1:10" ht="17.25" thickBot="1" x14ac:dyDescent="0.4">
      <c r="A528" s="417"/>
      <c r="B528" s="70" t="s">
        <v>149</v>
      </c>
      <c r="C528" s="71">
        <f>SUM(C518:C523)</f>
        <v>4760</v>
      </c>
      <c r="D528" s="71">
        <f>D525+D526+D527</f>
        <v>30</v>
      </c>
      <c r="E528" s="71">
        <f>E525+E526+E527</f>
        <v>0</v>
      </c>
      <c r="F528" s="72">
        <f>SUM(F518:F524)</f>
        <v>2688.904</v>
      </c>
      <c r="G528" s="71">
        <f>G525+G526+G527</f>
        <v>30</v>
      </c>
      <c r="H528" s="71"/>
      <c r="I528" s="73">
        <f>F528/C528</f>
        <v>0.56489579831932768</v>
      </c>
      <c r="J528" s="261"/>
    </row>
    <row r="529" spans="1:10" ht="15.75" x14ac:dyDescent="0.3">
      <c r="A529" s="421" t="s">
        <v>150</v>
      </c>
      <c r="B529" s="50" t="s">
        <v>211</v>
      </c>
      <c r="C529" s="76">
        <f>2020+1350+800</f>
        <v>4170</v>
      </c>
      <c r="D529" s="52">
        <f>6+4+2</f>
        <v>12</v>
      </c>
      <c r="E529" s="52">
        <f>C529/D529</f>
        <v>347.5</v>
      </c>
      <c r="F529" s="51">
        <f>1080.745+523.5</f>
        <v>1604.2449999999999</v>
      </c>
      <c r="G529" s="52">
        <f>3.5+2</f>
        <v>5.5</v>
      </c>
      <c r="H529" s="241">
        <f>F529/G529</f>
        <v>291.6809090909091</v>
      </c>
      <c r="I529" s="91">
        <f>H529/E529</f>
        <v>0.83936952256376718</v>
      </c>
      <c r="J529" s="262"/>
    </row>
    <row r="530" spans="1:10" ht="15.75" x14ac:dyDescent="0.3">
      <c r="A530" s="422"/>
      <c r="B530" s="50" t="s">
        <v>346</v>
      </c>
      <c r="C530" s="76">
        <f>200</f>
        <v>200</v>
      </c>
      <c r="D530" s="52">
        <v>2</v>
      </c>
      <c r="E530" s="52">
        <f t="shared" ref="E530:E536" si="18">C530/D530</f>
        <v>100</v>
      </c>
      <c r="F530" s="52"/>
      <c r="G530" s="127"/>
      <c r="H530" s="117"/>
      <c r="I530" s="92"/>
      <c r="J530" s="263"/>
    </row>
    <row r="531" spans="1:10" ht="15.75" x14ac:dyDescent="0.3">
      <c r="A531" s="422"/>
      <c r="B531" s="50" t="s">
        <v>155</v>
      </c>
      <c r="C531" s="57">
        <v>500</v>
      </c>
      <c r="D531" s="58">
        <v>3</v>
      </c>
      <c r="E531" s="52">
        <f t="shared" si="18"/>
        <v>166.66666666666666</v>
      </c>
      <c r="F531" s="57">
        <v>595.20399999999995</v>
      </c>
      <c r="G531" s="52">
        <v>4.5</v>
      </c>
      <c r="H531" s="241">
        <f>F531/G531</f>
        <v>132.26755555555553</v>
      </c>
      <c r="I531" s="92">
        <f>H531/E531</f>
        <v>0.79360533333333327</v>
      </c>
      <c r="J531" s="263"/>
    </row>
    <row r="532" spans="1:10" ht="15.75" x14ac:dyDescent="0.3">
      <c r="A532" s="422"/>
      <c r="B532" s="78" t="s">
        <v>156</v>
      </c>
      <c r="C532" s="51"/>
      <c r="D532" s="52"/>
      <c r="E532" s="52"/>
      <c r="F532" s="51">
        <v>27.698</v>
      </c>
      <c r="G532" s="52">
        <v>0.5</v>
      </c>
      <c r="H532" s="241">
        <f>F532/G532</f>
        <v>55.396000000000001</v>
      </c>
      <c r="I532" s="92"/>
      <c r="J532" s="92"/>
    </row>
    <row r="533" spans="1:10" ht="15.75" x14ac:dyDescent="0.3">
      <c r="A533" s="422"/>
      <c r="B533" s="78" t="s">
        <v>213</v>
      </c>
      <c r="C533" s="51">
        <f>565</f>
        <v>565</v>
      </c>
      <c r="D533" s="52">
        <v>4</v>
      </c>
      <c r="E533" s="52">
        <f t="shared" si="18"/>
        <v>141.25</v>
      </c>
      <c r="F533" s="51">
        <f>442.66+87.908</f>
        <v>530.56799999999998</v>
      </c>
      <c r="G533" s="52">
        <f>1+3.5</f>
        <v>4.5</v>
      </c>
      <c r="H533" s="241">
        <f>F533/G533</f>
        <v>117.904</v>
      </c>
      <c r="I533" s="92">
        <f>H533/E533</f>
        <v>0.83471858407079647</v>
      </c>
      <c r="J533" s="263"/>
    </row>
    <row r="534" spans="1:10" ht="15.75" x14ac:dyDescent="0.3">
      <c r="A534" s="422"/>
      <c r="B534" s="78" t="s">
        <v>353</v>
      </c>
      <c r="C534" s="51"/>
      <c r="D534" s="52"/>
      <c r="E534" s="52"/>
      <c r="F534" s="51"/>
      <c r="G534" s="52"/>
      <c r="H534" s="241"/>
      <c r="I534" s="99"/>
      <c r="J534" s="263"/>
    </row>
    <row r="535" spans="1:10" ht="15.75" x14ac:dyDescent="0.3">
      <c r="A535" s="422"/>
      <c r="B535" s="78" t="s">
        <v>157</v>
      </c>
      <c r="C535" s="51"/>
      <c r="D535" s="52"/>
      <c r="E535" s="52"/>
      <c r="F535" s="51">
        <v>124.21100000000001</v>
      </c>
      <c r="G535" s="52">
        <v>1</v>
      </c>
      <c r="H535" s="241">
        <f>F535/G535</f>
        <v>124.21100000000001</v>
      </c>
      <c r="I535" s="92"/>
      <c r="J535" s="263"/>
    </row>
    <row r="536" spans="1:10" ht="15.75" x14ac:dyDescent="0.3">
      <c r="A536" s="422"/>
      <c r="B536" s="78" t="s">
        <v>328</v>
      </c>
      <c r="C536" s="51">
        <f>250</f>
        <v>250</v>
      </c>
      <c r="D536" s="52">
        <v>2</v>
      </c>
      <c r="E536" s="52">
        <f t="shared" si="18"/>
        <v>125</v>
      </c>
      <c r="F536" s="79">
        <v>293.62899999999996</v>
      </c>
      <c r="G536" s="52">
        <v>2.5</v>
      </c>
      <c r="H536" s="241">
        <f>F536/G536</f>
        <v>117.45159999999998</v>
      </c>
      <c r="I536" s="99"/>
      <c r="J536" s="263"/>
    </row>
    <row r="537" spans="1:10" ht="15.75" x14ac:dyDescent="0.3">
      <c r="A537" s="422"/>
      <c r="B537" s="50" t="s">
        <v>354</v>
      </c>
      <c r="C537" s="51"/>
      <c r="D537" s="52"/>
      <c r="E537" s="52"/>
      <c r="F537" s="51">
        <f>175+238</f>
        <v>413</v>
      </c>
      <c r="G537" s="52">
        <f>2+1.5</f>
        <v>3.5</v>
      </c>
      <c r="H537" s="241"/>
      <c r="I537" s="99"/>
      <c r="J537" s="263"/>
    </row>
    <row r="538" spans="1:10" ht="16.5" x14ac:dyDescent="0.35">
      <c r="A538" s="422"/>
      <c r="B538" s="59" t="s">
        <v>146</v>
      </c>
      <c r="C538" s="60"/>
      <c r="D538" s="61">
        <f>SUM(D529:D536)</f>
        <v>23</v>
      </c>
      <c r="E538" s="61"/>
      <c r="F538" s="62"/>
      <c r="G538" s="63">
        <f>SUM(G529:G537)</f>
        <v>22</v>
      </c>
      <c r="H538" s="242"/>
      <c r="I538" s="99"/>
      <c r="J538" s="263"/>
    </row>
    <row r="539" spans="1:10" ht="15.75" x14ac:dyDescent="0.3">
      <c r="A539" s="422"/>
      <c r="B539" s="65" t="s">
        <v>148</v>
      </c>
      <c r="C539" s="66"/>
      <c r="D539" s="67">
        <v>7</v>
      </c>
      <c r="E539" s="67"/>
      <c r="F539" s="67"/>
      <c r="G539" s="81">
        <f>30-G538</f>
        <v>8</v>
      </c>
      <c r="H539" s="243"/>
      <c r="I539" s="112"/>
      <c r="J539" s="263"/>
    </row>
    <row r="540" spans="1:10" ht="17.25" thickBot="1" x14ac:dyDescent="0.4">
      <c r="A540" s="423"/>
      <c r="B540" s="70" t="s">
        <v>149</v>
      </c>
      <c r="C540" s="71">
        <f>SUM(C529:C537)</f>
        <v>5685</v>
      </c>
      <c r="D540" s="71">
        <f>D538+D539</f>
        <v>30</v>
      </c>
      <c r="E540" s="71"/>
      <c r="F540" s="71">
        <f>SUM(F529:F537)</f>
        <v>3588.5549999999994</v>
      </c>
      <c r="G540" s="71">
        <f>G538+G539</f>
        <v>30</v>
      </c>
      <c r="H540" s="82"/>
      <c r="I540" s="73">
        <f>F540/C540</f>
        <v>0.63123218997361463</v>
      </c>
      <c r="J540" s="264"/>
    </row>
    <row r="541" spans="1:10" ht="15.75" x14ac:dyDescent="0.3">
      <c r="A541" s="421" t="s">
        <v>161</v>
      </c>
      <c r="B541" s="50" t="s">
        <v>199</v>
      </c>
      <c r="C541" s="51"/>
      <c r="D541" s="83"/>
      <c r="E541" s="52"/>
      <c r="F541" s="51"/>
      <c r="G541" s="83"/>
      <c r="H541" s="52"/>
      <c r="I541" s="92"/>
      <c r="J541" s="265"/>
    </row>
    <row r="542" spans="1:10" ht="15.75" x14ac:dyDescent="0.3">
      <c r="A542" s="422"/>
      <c r="B542" s="50" t="s">
        <v>347</v>
      </c>
      <c r="C542" s="76">
        <f>270</f>
        <v>270</v>
      </c>
      <c r="D542" s="52">
        <v>5</v>
      </c>
      <c r="E542" s="52">
        <f t="shared" ref="E542:E547" si="19">C542/D542</f>
        <v>54</v>
      </c>
      <c r="F542" s="51"/>
      <c r="G542" s="52"/>
      <c r="H542" s="53"/>
      <c r="I542" s="92"/>
      <c r="J542" s="266"/>
    </row>
    <row r="543" spans="1:10" ht="15.75" x14ac:dyDescent="0.3">
      <c r="A543" s="422"/>
      <c r="B543" s="50" t="s">
        <v>199</v>
      </c>
      <c r="C543" s="76">
        <f>282+672</f>
        <v>954</v>
      </c>
      <c r="D543" s="84">
        <f>5+8</f>
        <v>13</v>
      </c>
      <c r="E543" s="52">
        <f t="shared" si="19"/>
        <v>73.384615384615387</v>
      </c>
      <c r="F543" s="57"/>
      <c r="G543" s="52"/>
      <c r="H543" s="53"/>
      <c r="I543" s="92"/>
      <c r="J543" s="266"/>
    </row>
    <row r="544" spans="1:10" ht="15.75" x14ac:dyDescent="0.3">
      <c r="A544" s="422"/>
      <c r="B544" s="50" t="s">
        <v>348</v>
      </c>
      <c r="C544" s="76">
        <f>200</f>
        <v>200</v>
      </c>
      <c r="D544" s="84">
        <v>4</v>
      </c>
      <c r="E544" s="52">
        <f t="shared" si="19"/>
        <v>50</v>
      </c>
      <c r="F544" s="57"/>
      <c r="G544" s="52"/>
      <c r="H544" s="53"/>
      <c r="I544" s="92"/>
      <c r="J544" s="266"/>
    </row>
    <row r="545" spans="1:10" ht="15.75" x14ac:dyDescent="0.3">
      <c r="A545" s="422"/>
      <c r="B545" s="50" t="s">
        <v>218</v>
      </c>
      <c r="C545" s="76"/>
      <c r="D545" s="84"/>
      <c r="E545" s="52"/>
      <c r="F545" s="76"/>
      <c r="G545" s="90"/>
      <c r="H545" s="53"/>
      <c r="I545" s="92"/>
      <c r="J545" s="266"/>
    </row>
    <row r="546" spans="1:10" ht="15.75" x14ac:dyDescent="0.3">
      <c r="A546" s="422"/>
      <c r="B546" s="50" t="s">
        <v>232</v>
      </c>
      <c r="C546" s="76"/>
      <c r="D546" s="84"/>
      <c r="E546" s="52"/>
      <c r="F546" s="51"/>
      <c r="G546" s="52"/>
      <c r="H546" s="53"/>
      <c r="I546" s="92"/>
      <c r="J546" s="266"/>
    </row>
    <row r="547" spans="1:10" ht="15.75" x14ac:dyDescent="0.3">
      <c r="A547" s="422"/>
      <c r="B547" s="50" t="s">
        <v>355</v>
      </c>
      <c r="C547" s="76">
        <f>350</f>
        <v>350</v>
      </c>
      <c r="D547" s="84">
        <v>5</v>
      </c>
      <c r="E547" s="52">
        <f t="shared" si="19"/>
        <v>70</v>
      </c>
      <c r="F547" s="57">
        <f>138.71+311</f>
        <v>449.71000000000004</v>
      </c>
      <c r="G547" s="52">
        <f>2+4.5</f>
        <v>6.5</v>
      </c>
      <c r="H547" s="53">
        <f t="shared" ref="H547:H548" si="20">F547/G547</f>
        <v>69.186153846153857</v>
      </c>
      <c r="I547" s="92">
        <f t="shared" ref="I547" si="21">H547/E547</f>
        <v>0.98837362637362658</v>
      </c>
      <c r="J547" s="266"/>
    </row>
    <row r="548" spans="1:10" ht="15.75" x14ac:dyDescent="0.3">
      <c r="A548" s="422"/>
      <c r="B548" s="50" t="s">
        <v>356</v>
      </c>
      <c r="C548" s="76"/>
      <c r="D548" s="84"/>
      <c r="E548" s="52"/>
      <c r="F548" s="57">
        <v>142.47</v>
      </c>
      <c r="G548" s="52">
        <v>2</v>
      </c>
      <c r="H548" s="53">
        <f t="shared" si="20"/>
        <v>71.234999999999999</v>
      </c>
      <c r="I548" s="92"/>
      <c r="J548" s="266"/>
    </row>
    <row r="549" spans="1:10" ht="15.75" x14ac:dyDescent="0.3">
      <c r="A549" s="422"/>
      <c r="B549" s="50" t="s">
        <v>217</v>
      </c>
      <c r="C549" s="76"/>
      <c r="D549" s="84"/>
      <c r="E549" s="52"/>
      <c r="F549" s="57"/>
      <c r="G549" s="90"/>
      <c r="H549" s="53"/>
      <c r="I549" s="92"/>
      <c r="J549" s="266"/>
    </row>
    <row r="550" spans="1:10" ht="15.75" x14ac:dyDescent="0.3">
      <c r="A550" s="422"/>
      <c r="B550" s="50"/>
      <c r="C550" s="76"/>
      <c r="D550" s="84"/>
      <c r="E550" s="84"/>
      <c r="F550" s="57"/>
      <c r="G550" s="52"/>
      <c r="H550" s="86"/>
      <c r="I550" s="92"/>
      <c r="J550" s="266"/>
    </row>
    <row r="551" spans="1:10" ht="16.5" x14ac:dyDescent="0.35">
      <c r="A551" s="422"/>
      <c r="B551" s="59" t="s">
        <v>146</v>
      </c>
      <c r="C551" s="60"/>
      <c r="D551" s="61">
        <f>SUM(D541:D549)</f>
        <v>27</v>
      </c>
      <c r="E551" s="61"/>
      <c r="F551" s="62"/>
      <c r="G551" s="63">
        <f>SUM(G541:G549)</f>
        <v>8.5</v>
      </c>
      <c r="H551" s="64"/>
      <c r="I551" s="92"/>
      <c r="J551" s="266"/>
    </row>
    <row r="552" spans="1:10" ht="15.75" x14ac:dyDescent="0.3">
      <c r="A552" s="422"/>
      <c r="B552" s="65" t="s">
        <v>148</v>
      </c>
      <c r="C552" s="66"/>
      <c r="D552" s="67">
        <f>30-D551</f>
        <v>3</v>
      </c>
      <c r="E552" s="67"/>
      <c r="F552" s="67"/>
      <c r="G552" s="67">
        <f>30-G551</f>
        <v>21.5</v>
      </c>
      <c r="H552" s="87"/>
      <c r="I552" s="92"/>
      <c r="J552" s="266"/>
    </row>
    <row r="553" spans="1:10" ht="17.25" thickBot="1" x14ac:dyDescent="0.4">
      <c r="A553" s="423"/>
      <c r="B553" s="70" t="s">
        <v>149</v>
      </c>
      <c r="C553" s="71">
        <f>SUM(C541:C549)</f>
        <v>1774</v>
      </c>
      <c r="D553" s="71">
        <f>D551+D552</f>
        <v>30</v>
      </c>
      <c r="E553" s="71">
        <f>SUM(E541:E549)</f>
        <v>247.38461538461539</v>
      </c>
      <c r="F553" s="71">
        <f>SUM(F541:F549)</f>
        <v>592.18000000000006</v>
      </c>
      <c r="G553" s="71">
        <f>G552+G551</f>
        <v>30</v>
      </c>
      <c r="H553" s="82"/>
      <c r="I553" s="73">
        <f>F553/C553</f>
        <v>0.33381059751972947</v>
      </c>
      <c r="J553" s="267"/>
    </row>
    <row r="554" spans="1:10" ht="15.75" x14ac:dyDescent="0.3">
      <c r="A554" s="421" t="s">
        <v>169</v>
      </c>
      <c r="B554" s="88" t="s">
        <v>170</v>
      </c>
      <c r="C554" s="89">
        <v>600</v>
      </c>
      <c r="D554" s="52">
        <v>10</v>
      </c>
      <c r="E554" s="52">
        <f>C554/D554</f>
        <v>60</v>
      </c>
      <c r="F554" s="51">
        <f>576.083+107.91</f>
        <v>683.99299999999994</v>
      </c>
      <c r="G554" s="52">
        <f>9+1.5</f>
        <v>10.5</v>
      </c>
      <c r="H554" s="53">
        <f>F554/G554</f>
        <v>65.142190476190464</v>
      </c>
      <c r="I554" s="92">
        <f>H554/E554</f>
        <v>1.0857031746031744</v>
      </c>
      <c r="J554" s="265"/>
    </row>
    <row r="555" spans="1:10" ht="15.75" x14ac:dyDescent="0.3">
      <c r="A555" s="422"/>
      <c r="B555" s="244" t="s">
        <v>331</v>
      </c>
      <c r="C555" s="51">
        <v>38</v>
      </c>
      <c r="D555" s="90">
        <v>0.5</v>
      </c>
      <c r="E555" s="52">
        <f>C555/D555</f>
        <v>76</v>
      </c>
      <c r="F555" s="51">
        <v>55.783999999999999</v>
      </c>
      <c r="G555" s="52">
        <v>1</v>
      </c>
      <c r="H555" s="53">
        <f>F555/G555</f>
        <v>55.783999999999999</v>
      </c>
      <c r="I555" s="92">
        <f>H555/E555</f>
        <v>0.73399999999999999</v>
      </c>
      <c r="J555" s="266"/>
    </row>
    <row r="556" spans="1:10" ht="15.75" x14ac:dyDescent="0.3">
      <c r="A556" s="422"/>
      <c r="B556" s="80" t="s">
        <v>349</v>
      </c>
      <c r="C556" s="76">
        <v>125</v>
      </c>
      <c r="D556" s="52">
        <v>2</v>
      </c>
      <c r="E556" s="52">
        <f>C556/D556</f>
        <v>62.5</v>
      </c>
      <c r="F556" s="57">
        <v>128.36000000000001</v>
      </c>
      <c r="G556" s="52">
        <v>2</v>
      </c>
      <c r="H556" s="53">
        <f>F556/G556</f>
        <v>64.180000000000007</v>
      </c>
      <c r="I556" s="92">
        <f t="shared" ref="I556:I558" si="22">H556/E556</f>
        <v>1.02688</v>
      </c>
      <c r="J556" s="266"/>
    </row>
    <row r="557" spans="1:10" ht="15.75" x14ac:dyDescent="0.3">
      <c r="A557" s="422"/>
      <c r="B557" s="80" t="s">
        <v>350</v>
      </c>
      <c r="C557" s="76">
        <v>250</v>
      </c>
      <c r="D557" s="52">
        <v>4</v>
      </c>
      <c r="E557" s="52">
        <f>C557/D557</f>
        <v>62.5</v>
      </c>
      <c r="F557" s="57"/>
      <c r="G557" s="52"/>
      <c r="H557" s="53"/>
      <c r="I557" s="92">
        <f t="shared" si="22"/>
        <v>0</v>
      </c>
      <c r="J557" s="266"/>
    </row>
    <row r="558" spans="1:10" ht="15.75" x14ac:dyDescent="0.3">
      <c r="A558" s="422"/>
      <c r="B558" s="80" t="s">
        <v>351</v>
      </c>
      <c r="C558" s="76">
        <f>540</f>
        <v>540</v>
      </c>
      <c r="D558" s="52">
        <v>8</v>
      </c>
      <c r="E558" s="52">
        <f>C558/D558</f>
        <v>67.5</v>
      </c>
      <c r="F558" s="57">
        <v>640.01900000000012</v>
      </c>
      <c r="G558" s="52">
        <v>7</v>
      </c>
      <c r="H558" s="53">
        <f t="shared" ref="H558:H559" si="23">F558/G558</f>
        <v>91.431285714285735</v>
      </c>
      <c r="I558" s="92">
        <f t="shared" si="22"/>
        <v>1.3545375661375665</v>
      </c>
      <c r="J558" s="266"/>
    </row>
    <row r="559" spans="1:10" ht="15.75" x14ac:dyDescent="0.3">
      <c r="A559" s="422"/>
      <c r="B559" s="80" t="s">
        <v>357</v>
      </c>
      <c r="C559" s="76"/>
      <c r="D559" s="52"/>
      <c r="E559" s="52"/>
      <c r="F559" s="57">
        <v>128.48699999999999</v>
      </c>
      <c r="G559" s="52">
        <v>2</v>
      </c>
      <c r="H559" s="53">
        <f t="shared" si="23"/>
        <v>64.243499999999997</v>
      </c>
      <c r="I559" s="92"/>
      <c r="J559" s="266"/>
    </row>
    <row r="560" spans="1:10" ht="15.75" x14ac:dyDescent="0.3">
      <c r="A560" s="422"/>
      <c r="B560" s="80" t="s">
        <v>175</v>
      </c>
      <c r="C560" s="76"/>
      <c r="D560" s="52"/>
      <c r="E560" s="52"/>
      <c r="F560" s="57"/>
      <c r="G560" s="52"/>
      <c r="H560" s="53"/>
      <c r="I560" s="92"/>
      <c r="J560" s="266"/>
    </row>
    <row r="561" spans="1:10" ht="15.75" x14ac:dyDescent="0.3">
      <c r="A561" s="422"/>
      <c r="B561" s="80" t="s">
        <v>222</v>
      </c>
      <c r="C561" s="76"/>
      <c r="D561" s="52"/>
      <c r="E561" s="52"/>
      <c r="F561" s="57"/>
      <c r="G561" s="52"/>
      <c r="H561" s="53"/>
      <c r="I561" s="92"/>
      <c r="J561" s="266"/>
    </row>
    <row r="562" spans="1:10" ht="15.75" x14ac:dyDescent="0.3">
      <c r="A562" s="422"/>
      <c r="B562" s="80" t="s">
        <v>223</v>
      </c>
      <c r="C562" s="76"/>
      <c r="D562" s="52"/>
      <c r="E562" s="52"/>
      <c r="F562" s="52"/>
      <c r="G562" s="52"/>
      <c r="H562" s="53"/>
      <c r="I562" s="92"/>
      <c r="J562" s="266"/>
    </row>
    <row r="563" spans="1:10" ht="16.5" x14ac:dyDescent="0.35">
      <c r="A563" s="422"/>
      <c r="B563" s="59" t="s">
        <v>146</v>
      </c>
      <c r="C563" s="60"/>
      <c r="D563" s="128">
        <f>SUM(D554:D562)</f>
        <v>24.5</v>
      </c>
      <c r="E563" s="61"/>
      <c r="F563" s="62"/>
      <c r="G563" s="63">
        <f>SUM(G554:G562)</f>
        <v>22.5</v>
      </c>
      <c r="H563" s="64"/>
      <c r="I563" s="92"/>
      <c r="J563" s="266"/>
    </row>
    <row r="564" spans="1:10" ht="15.75" x14ac:dyDescent="0.3">
      <c r="A564" s="422"/>
      <c r="B564" s="65" t="s">
        <v>148</v>
      </c>
      <c r="C564" s="66"/>
      <c r="D564" s="275">
        <f>30-D563</f>
        <v>5.5</v>
      </c>
      <c r="E564" s="67"/>
      <c r="F564" s="67"/>
      <c r="G564" s="81">
        <f>30-G563</f>
        <v>7.5</v>
      </c>
      <c r="H564" s="87"/>
      <c r="I564" s="92"/>
      <c r="J564" s="266"/>
    </row>
    <row r="565" spans="1:10" ht="17.25" thickBot="1" x14ac:dyDescent="0.4">
      <c r="A565" s="423"/>
      <c r="B565" s="70" t="s">
        <v>149</v>
      </c>
      <c r="C565" s="71">
        <f>SUM(C554:C562)</f>
        <v>1553</v>
      </c>
      <c r="D565" s="71">
        <f>D563+D564</f>
        <v>30</v>
      </c>
      <c r="E565" s="71"/>
      <c r="F565" s="71">
        <f>SUM(F554:F562)</f>
        <v>1636.643</v>
      </c>
      <c r="G565" s="71">
        <f>G563+G564</f>
        <v>30</v>
      </c>
      <c r="H565" s="58"/>
      <c r="I565" s="73">
        <f>F565/C565</f>
        <v>1.053858982614295</v>
      </c>
      <c r="J565" s="267"/>
    </row>
    <row r="566" spans="1:10" ht="15.75" x14ac:dyDescent="0.3">
      <c r="A566" s="406" t="s">
        <v>176</v>
      </c>
      <c r="B566" s="80" t="s">
        <v>177</v>
      </c>
      <c r="C566" s="76">
        <v>360</v>
      </c>
      <c r="D566" s="52">
        <v>4</v>
      </c>
      <c r="E566" s="52">
        <f>C566/D566</f>
        <v>90</v>
      </c>
      <c r="F566" s="51">
        <v>757.5</v>
      </c>
      <c r="G566" s="93">
        <v>10</v>
      </c>
      <c r="H566" s="53">
        <f t="shared" ref="H566" si="24">F566/G566</f>
        <v>75.75</v>
      </c>
      <c r="I566" s="92">
        <f>H566/E566</f>
        <v>0.84166666666666667</v>
      </c>
      <c r="J566" s="268"/>
    </row>
    <row r="567" spans="1:10" ht="15.75" x14ac:dyDescent="0.3">
      <c r="A567" s="407"/>
      <c r="B567" s="80" t="s">
        <v>224</v>
      </c>
      <c r="C567" s="76"/>
      <c r="D567" s="84"/>
      <c r="E567" s="52"/>
      <c r="F567" s="93"/>
      <c r="G567" s="93"/>
      <c r="H567" s="53"/>
      <c r="I567" s="92"/>
      <c r="J567" s="269"/>
    </row>
    <row r="568" spans="1:10" ht="15.75" x14ac:dyDescent="0.3">
      <c r="A568" s="407"/>
      <c r="B568" s="80" t="s">
        <v>204</v>
      </c>
      <c r="C568" s="76"/>
      <c r="D568" s="52"/>
      <c r="E568" s="52"/>
      <c r="F568" s="51"/>
      <c r="G568" s="93"/>
      <c r="H568" s="53"/>
      <c r="I568" s="92"/>
      <c r="J568" s="269"/>
    </row>
    <row r="569" spans="1:10" ht="15.75" x14ac:dyDescent="0.3">
      <c r="A569" s="407"/>
      <c r="B569" s="80" t="s">
        <v>233</v>
      </c>
      <c r="C569" s="76">
        <v>270</v>
      </c>
      <c r="D569" s="52">
        <v>4</v>
      </c>
      <c r="E569" s="52">
        <f>C569/D569</f>
        <v>67.5</v>
      </c>
      <c r="F569" s="51"/>
      <c r="G569" s="93"/>
      <c r="H569" s="53"/>
      <c r="I569" s="92">
        <f>H569/E569</f>
        <v>0</v>
      </c>
      <c r="J569" s="269"/>
    </row>
    <row r="570" spans="1:10" ht="15.75" x14ac:dyDescent="0.3">
      <c r="A570" s="407"/>
      <c r="B570" s="80" t="s">
        <v>181</v>
      </c>
      <c r="C570" s="51">
        <f>924+336</f>
        <v>1260</v>
      </c>
      <c r="D570" s="52">
        <f>11+4</f>
        <v>15</v>
      </c>
      <c r="E570" s="52">
        <f>C570/D570</f>
        <v>84</v>
      </c>
      <c r="F570" s="51">
        <v>1096.9874999999997</v>
      </c>
      <c r="G570" s="93">
        <v>13.5</v>
      </c>
      <c r="H570" s="53">
        <f t="shared" ref="H570:H571" si="25">F570/G570</f>
        <v>81.258333333333312</v>
      </c>
      <c r="I570" s="92">
        <f>H570/E570</f>
        <v>0.96736111111111089</v>
      </c>
      <c r="J570" s="269"/>
    </row>
    <row r="571" spans="1:10" ht="15.75" x14ac:dyDescent="0.3">
      <c r="A571" s="407"/>
      <c r="B571" s="121" t="s">
        <v>352</v>
      </c>
      <c r="C571" s="94">
        <v>170</v>
      </c>
      <c r="D571" s="86">
        <v>3</v>
      </c>
      <c r="E571" s="52">
        <f>C571/D571</f>
        <v>56.666666666666664</v>
      </c>
      <c r="F571" s="95">
        <v>186.5625</v>
      </c>
      <c r="G571" s="96">
        <v>4</v>
      </c>
      <c r="H571" s="53">
        <f t="shared" si="25"/>
        <v>46.640625</v>
      </c>
      <c r="I571" s="92">
        <f>H571/E571</f>
        <v>0.82306985294117652</v>
      </c>
      <c r="J571" s="269"/>
    </row>
    <row r="572" spans="1:10" ht="16.5" x14ac:dyDescent="0.35">
      <c r="A572" s="407"/>
      <c r="B572" s="59" t="s">
        <v>146</v>
      </c>
      <c r="C572" s="60"/>
      <c r="D572" s="61">
        <f>SUM(D566:D571)</f>
        <v>26</v>
      </c>
      <c r="E572" s="61"/>
      <c r="F572" s="62"/>
      <c r="G572" s="61">
        <f>SUM(G566:G571)</f>
        <v>27.5</v>
      </c>
      <c r="H572" s="61"/>
      <c r="I572" s="92"/>
      <c r="J572" s="269"/>
    </row>
    <row r="573" spans="1:10" ht="15.75" x14ac:dyDescent="0.3">
      <c r="A573" s="407"/>
      <c r="B573" s="65" t="s">
        <v>148</v>
      </c>
      <c r="C573" s="66"/>
      <c r="D573" s="68">
        <f>30-D572</f>
        <v>4</v>
      </c>
      <c r="E573" s="67"/>
      <c r="F573" s="67"/>
      <c r="G573" s="81">
        <f>30-G572</f>
        <v>2.5</v>
      </c>
      <c r="H573" s="97"/>
      <c r="I573" s="92"/>
      <c r="J573" s="269"/>
    </row>
    <row r="574" spans="1:10" ht="17.25" thickBot="1" x14ac:dyDescent="0.4">
      <c r="A574" s="408"/>
      <c r="B574" s="70" t="s">
        <v>149</v>
      </c>
      <c r="C574" s="71">
        <f>SUM(C566:C571)</f>
        <v>2060</v>
      </c>
      <c r="D574" s="71">
        <f>D572+D573</f>
        <v>30</v>
      </c>
      <c r="E574" s="71"/>
      <c r="F574" s="71">
        <f t="shared" ref="F574" si="26">SUM(F566:F571)</f>
        <v>2041.0499999999997</v>
      </c>
      <c r="G574" s="71">
        <f>G573+G572</f>
        <v>30</v>
      </c>
      <c r="H574" s="99"/>
      <c r="I574" s="73">
        <f>F574/C574</f>
        <v>0.99080097087378627</v>
      </c>
      <c r="J574" s="270"/>
    </row>
    <row r="575" spans="1:10" ht="15.75" x14ac:dyDescent="0.3">
      <c r="A575" s="406" t="s">
        <v>183</v>
      </c>
      <c r="B575" s="50" t="s">
        <v>77</v>
      </c>
      <c r="C575" s="51"/>
      <c r="D575" s="52"/>
      <c r="E575" s="52"/>
      <c r="F575" s="51"/>
      <c r="G575" s="93"/>
      <c r="H575" s="96"/>
      <c r="I575" s="92"/>
      <c r="J575" s="271"/>
    </row>
    <row r="576" spans="1:10" ht="15.75" x14ac:dyDescent="0.3">
      <c r="A576" s="407"/>
      <c r="B576" s="50" t="s">
        <v>359</v>
      </c>
      <c r="C576" s="51">
        <v>1100</v>
      </c>
      <c r="D576" s="52">
        <v>7</v>
      </c>
      <c r="E576" s="52">
        <f t="shared" ref="E576:E577" si="27">C576/D576</f>
        <v>157.14285714285714</v>
      </c>
      <c r="F576" s="57">
        <v>807</v>
      </c>
      <c r="G576" s="93">
        <v>5.5</v>
      </c>
      <c r="H576" s="96">
        <f>F576/G576</f>
        <v>146.72727272727272</v>
      </c>
      <c r="I576" s="92">
        <f>H576/E576</f>
        <v>0.93371900826446275</v>
      </c>
      <c r="J576" s="272"/>
    </row>
    <row r="577" spans="1:10" ht="15.75" x14ac:dyDescent="0.3">
      <c r="A577" s="407"/>
      <c r="B577" s="50" t="s">
        <v>184</v>
      </c>
      <c r="C577" s="51">
        <f>2700+900</f>
        <v>3600</v>
      </c>
      <c r="D577" s="52">
        <f>15+5</f>
        <v>20</v>
      </c>
      <c r="E577" s="52">
        <f t="shared" si="27"/>
        <v>180</v>
      </c>
      <c r="F577" s="51">
        <v>3338.7030000000004</v>
      </c>
      <c r="G577" s="93">
        <v>19.5</v>
      </c>
      <c r="H577" s="96">
        <f>F577/G577</f>
        <v>171.21553846153847</v>
      </c>
      <c r="I577" s="92">
        <f>H577/E577</f>
        <v>0.95119743589743599</v>
      </c>
      <c r="J577" s="272"/>
    </row>
    <row r="578" spans="1:10" ht="15.75" x14ac:dyDescent="0.3">
      <c r="A578" s="407"/>
      <c r="B578" s="50" t="s">
        <v>186</v>
      </c>
      <c r="C578" s="51"/>
      <c r="D578" s="52"/>
      <c r="E578" s="52"/>
      <c r="F578" s="51"/>
      <c r="G578" s="93"/>
      <c r="H578" s="96"/>
      <c r="I578" s="92"/>
      <c r="J578" s="272"/>
    </row>
    <row r="579" spans="1:10" ht="15.75" x14ac:dyDescent="0.3">
      <c r="A579" s="407"/>
      <c r="B579" s="50"/>
      <c r="C579" s="51"/>
      <c r="D579" s="52"/>
      <c r="E579" s="52"/>
      <c r="F579" s="57"/>
      <c r="G579" s="93"/>
      <c r="H579" s="96"/>
      <c r="I579" s="92"/>
      <c r="J579" s="272"/>
    </row>
    <row r="580" spans="1:10" ht="15.75" x14ac:dyDescent="0.3">
      <c r="A580" s="407"/>
      <c r="B580" s="101" t="s">
        <v>79</v>
      </c>
      <c r="C580" s="95"/>
      <c r="D580" s="102"/>
      <c r="E580" s="52"/>
      <c r="F580" s="95"/>
      <c r="G580" s="103"/>
      <c r="H580" s="99"/>
      <c r="I580" s="92"/>
      <c r="J580" s="272"/>
    </row>
    <row r="581" spans="1:10" ht="16.5" x14ac:dyDescent="0.35">
      <c r="A581" s="407"/>
      <c r="B581" s="59" t="s">
        <v>146</v>
      </c>
      <c r="C581" s="60"/>
      <c r="D581" s="61">
        <f>SUM(D575:D580)</f>
        <v>27</v>
      </c>
      <c r="E581" s="61"/>
      <c r="F581" s="62"/>
      <c r="G581" s="60">
        <f>SUM(G575:G580)</f>
        <v>25</v>
      </c>
      <c r="H581" s="61"/>
      <c r="I581" s="92"/>
      <c r="J581" s="272"/>
    </row>
    <row r="582" spans="1:10" ht="16.5" x14ac:dyDescent="0.35">
      <c r="A582" s="407"/>
      <c r="B582" s="130" t="s">
        <v>244</v>
      </c>
      <c r="C582" s="131"/>
      <c r="D582" s="132"/>
      <c r="E582" s="133"/>
      <c r="F582" s="133"/>
      <c r="G582" s="132"/>
      <c r="H582" s="134"/>
      <c r="I582" s="92"/>
      <c r="J582" s="272"/>
    </row>
    <row r="583" spans="1:10" ht="15.75" x14ac:dyDescent="0.3">
      <c r="A583" s="407"/>
      <c r="B583" s="65" t="s">
        <v>148</v>
      </c>
      <c r="C583" s="66"/>
      <c r="D583" s="66">
        <f>30-D581</f>
        <v>3</v>
      </c>
      <c r="E583" s="67"/>
      <c r="F583" s="67"/>
      <c r="G583" s="81">
        <f>30-G581-G582</f>
        <v>5</v>
      </c>
      <c r="H583" s="97"/>
      <c r="I583" s="92"/>
      <c r="J583" s="272"/>
    </row>
    <row r="584" spans="1:10" ht="17.25" thickBot="1" x14ac:dyDescent="0.4">
      <c r="A584" s="408"/>
      <c r="B584" s="70" t="s">
        <v>149</v>
      </c>
      <c r="C584" s="71">
        <f>SUM(C575:C580)</f>
        <v>4700</v>
      </c>
      <c r="D584" s="71">
        <f>D583+D581</f>
        <v>30</v>
      </c>
      <c r="E584" s="71"/>
      <c r="F584" s="71">
        <f>SUM(F575:F580)</f>
        <v>4145.7030000000004</v>
      </c>
      <c r="G584" s="104">
        <f>G583+G581+G582</f>
        <v>30</v>
      </c>
      <c r="H584" s="105"/>
      <c r="I584" s="73">
        <f>F584/C584</f>
        <v>0.88206446808510652</v>
      </c>
      <c r="J584" s="273"/>
    </row>
    <row r="585" spans="1:10" ht="15.75" x14ac:dyDescent="0.3">
      <c r="A585" s="406" t="s">
        <v>188</v>
      </c>
      <c r="B585" s="106" t="s">
        <v>184</v>
      </c>
      <c r="C585" s="76"/>
      <c r="D585" s="84"/>
      <c r="E585" s="52"/>
      <c r="F585" s="57"/>
      <c r="G585" s="93"/>
      <c r="H585" s="93"/>
      <c r="I585" s="107"/>
      <c r="J585" s="271"/>
    </row>
    <row r="586" spans="1:10" ht="15.75" x14ac:dyDescent="0.3">
      <c r="A586" s="407"/>
      <c r="B586" s="106" t="s">
        <v>77</v>
      </c>
      <c r="C586" s="76">
        <f>2300+900</f>
        <v>3200</v>
      </c>
      <c r="D586" s="84">
        <v>10</v>
      </c>
      <c r="E586" s="52">
        <f>C586/D586</f>
        <v>320</v>
      </c>
      <c r="F586" s="51">
        <v>1021.8910000000001</v>
      </c>
      <c r="G586" s="93">
        <v>3.5</v>
      </c>
      <c r="H586" s="99">
        <f>F586/G586</f>
        <v>291.96885714285719</v>
      </c>
      <c r="I586" s="92">
        <f>H586/E586</f>
        <v>0.91240267857142876</v>
      </c>
      <c r="J586" s="272"/>
    </row>
    <row r="587" spans="1:10" ht="15.75" x14ac:dyDescent="0.3">
      <c r="A587" s="407"/>
      <c r="B587" s="245" t="s">
        <v>191</v>
      </c>
      <c r="C587" s="246"/>
      <c r="D587" s="84"/>
      <c r="E587" s="86"/>
      <c r="F587" s="95"/>
      <c r="G587" s="53"/>
      <c r="H587" s="99"/>
      <c r="I587" s="107"/>
      <c r="J587" s="272"/>
    </row>
    <row r="588" spans="1:10" ht="16.5" x14ac:dyDescent="0.35">
      <c r="A588" s="407"/>
      <c r="B588" s="65" t="s">
        <v>189</v>
      </c>
      <c r="C588" s="66"/>
      <c r="D588" s="108">
        <f>30-D585-D586</f>
        <v>20</v>
      </c>
      <c r="E588" s="109"/>
      <c r="F588" s="109"/>
      <c r="G588" s="110">
        <f>30-G585-G586-G587</f>
        <v>26.5</v>
      </c>
      <c r="H588" s="68"/>
      <c r="I588" s="92"/>
      <c r="J588" s="272"/>
    </row>
    <row r="589" spans="1:10" ht="17.25" thickBot="1" x14ac:dyDescent="0.4">
      <c r="A589" s="408"/>
      <c r="B589" s="111" t="s">
        <v>149</v>
      </c>
      <c r="C589" s="82">
        <f>SUM(C585:C588)</f>
        <v>3200</v>
      </c>
      <c r="D589" s="82"/>
      <c r="E589" s="82"/>
      <c r="F589" s="82">
        <f>SUM(F585:F588)</f>
        <v>1021.8910000000001</v>
      </c>
      <c r="G589" s="82"/>
      <c r="H589" s="112"/>
      <c r="I589" s="73">
        <f>F589/C589</f>
        <v>0.31934093750000003</v>
      </c>
      <c r="J589" s="273"/>
    </row>
    <row r="590" spans="1:10" ht="15.75" x14ac:dyDescent="0.3">
      <c r="A590" s="406" t="s">
        <v>190</v>
      </c>
      <c r="B590" s="50"/>
      <c r="C590" s="51"/>
      <c r="D590" s="52"/>
      <c r="E590" s="52"/>
      <c r="F590" s="51"/>
      <c r="G590" s="93"/>
      <c r="H590" s="99"/>
      <c r="I590" s="92"/>
      <c r="J590" s="271"/>
    </row>
    <row r="591" spans="1:10" ht="15.75" x14ac:dyDescent="0.3">
      <c r="A591" s="407"/>
      <c r="B591" s="101" t="s">
        <v>206</v>
      </c>
      <c r="C591" s="95">
        <v>170</v>
      </c>
      <c r="D591" s="102">
        <v>10</v>
      </c>
      <c r="E591" s="86">
        <f>C591/D591</f>
        <v>17</v>
      </c>
      <c r="F591" s="95"/>
      <c r="G591" s="103"/>
      <c r="H591" s="86"/>
      <c r="I591" s="92">
        <f>H591/E591</f>
        <v>0</v>
      </c>
      <c r="J591" s="272"/>
    </row>
    <row r="592" spans="1:10" ht="15.75" x14ac:dyDescent="0.3">
      <c r="A592" s="407"/>
      <c r="B592" s="101" t="s">
        <v>192</v>
      </c>
      <c r="C592" s="114"/>
      <c r="D592" s="102"/>
      <c r="E592" s="86"/>
      <c r="F592" s="95"/>
      <c r="G592" s="103"/>
      <c r="H592" s="99"/>
      <c r="I592" s="92"/>
      <c r="J592" s="272"/>
    </row>
    <row r="593" spans="1:10" ht="16.5" x14ac:dyDescent="0.35">
      <c r="A593" s="407"/>
      <c r="B593" s="59" t="s">
        <v>146</v>
      </c>
      <c r="C593" s="60"/>
      <c r="D593" s="61">
        <f>SUM(D591:D592)</f>
        <v>10</v>
      </c>
      <c r="E593" s="61"/>
      <c r="F593" s="62"/>
      <c r="G593" s="61">
        <f>SUM(G591:G592)</f>
        <v>0</v>
      </c>
      <c r="H593" s="61"/>
      <c r="I593" s="92"/>
      <c r="J593" s="272"/>
    </row>
    <row r="594" spans="1:10" ht="15.75" x14ac:dyDescent="0.3">
      <c r="A594" s="407"/>
      <c r="B594" s="65" t="s">
        <v>148</v>
      </c>
      <c r="C594" s="66"/>
      <c r="D594" s="68">
        <f>30-D593</f>
        <v>20</v>
      </c>
      <c r="E594" s="67"/>
      <c r="F594" s="67"/>
      <c r="G594" s="81">
        <f>30-G593</f>
        <v>30</v>
      </c>
      <c r="H594" s="97"/>
      <c r="I594" s="92"/>
      <c r="J594" s="272"/>
    </row>
    <row r="595" spans="1:10" ht="17.25" thickBot="1" x14ac:dyDescent="0.4">
      <c r="A595" s="408"/>
      <c r="B595" s="70" t="s">
        <v>149</v>
      </c>
      <c r="C595" s="71">
        <f>SUM(C591:C592)</f>
        <v>170</v>
      </c>
      <c r="D595" s="71">
        <f>D594+D593</f>
        <v>30</v>
      </c>
      <c r="E595" s="71"/>
      <c r="F595" s="71">
        <f>SUM(F591:F592)</f>
        <v>0</v>
      </c>
      <c r="G595" s="71">
        <f>G594+G593</f>
        <v>30</v>
      </c>
      <c r="H595" s="105"/>
      <c r="I595" s="247">
        <v>0</v>
      </c>
      <c r="J595" s="273"/>
    </row>
    <row r="596" spans="1:10" ht="19.5" x14ac:dyDescent="0.3">
      <c r="A596" s="250"/>
      <c r="B596" s="101" t="s">
        <v>185</v>
      </c>
      <c r="C596" s="95">
        <v>150</v>
      </c>
      <c r="D596" s="102">
        <v>3</v>
      </c>
      <c r="E596" s="86">
        <f>C596/D596</f>
        <v>50</v>
      </c>
      <c r="F596" s="95"/>
      <c r="G596" s="103"/>
      <c r="H596" s="86"/>
      <c r="I596" s="92"/>
      <c r="J596" s="271"/>
    </row>
    <row r="597" spans="1:10" ht="15.75" x14ac:dyDescent="0.3">
      <c r="A597" s="407" t="s">
        <v>194</v>
      </c>
      <c r="B597" s="101" t="s">
        <v>208</v>
      </c>
      <c r="C597" s="95"/>
      <c r="D597" s="102"/>
      <c r="E597" s="86"/>
      <c r="F597" s="95"/>
      <c r="G597" s="103"/>
      <c r="H597" s="99"/>
      <c r="I597" s="92"/>
      <c r="J597" s="272"/>
    </row>
    <row r="598" spans="1:10" ht="15.75" x14ac:dyDescent="0.3">
      <c r="A598" s="407"/>
      <c r="B598" s="101" t="s">
        <v>358</v>
      </c>
      <c r="C598" s="114"/>
      <c r="D598" s="102"/>
      <c r="E598" s="86"/>
      <c r="F598" s="103">
        <v>253.49999999999997</v>
      </c>
      <c r="G598" s="103">
        <v>4</v>
      </c>
      <c r="H598" s="99">
        <f>F598/G598</f>
        <v>63.374999999999993</v>
      </c>
      <c r="I598" s="92"/>
      <c r="J598" s="272"/>
    </row>
    <row r="599" spans="1:10" ht="16.5" x14ac:dyDescent="0.35">
      <c r="A599" s="407"/>
      <c r="B599" s="59" t="s">
        <v>146</v>
      </c>
      <c r="C599" s="60"/>
      <c r="D599" s="61">
        <f>SUM(D596:D598)</f>
        <v>3</v>
      </c>
      <c r="E599" s="61"/>
      <c r="F599" s="62"/>
      <c r="G599" s="61">
        <f>SUM(G596:G598)</f>
        <v>4</v>
      </c>
      <c r="H599" s="61"/>
      <c r="I599" s="92"/>
      <c r="J599" s="272"/>
    </row>
    <row r="600" spans="1:10" ht="15.75" x14ac:dyDescent="0.3">
      <c r="A600" s="407"/>
      <c r="B600" s="65" t="s">
        <v>148</v>
      </c>
      <c r="C600" s="66"/>
      <c r="D600" s="68">
        <f>30-D599</f>
        <v>27</v>
      </c>
      <c r="E600" s="67"/>
      <c r="F600" s="67"/>
      <c r="G600" s="81">
        <f>30-G599</f>
        <v>26</v>
      </c>
      <c r="H600" s="97"/>
      <c r="I600" s="92"/>
      <c r="J600" s="272"/>
    </row>
    <row r="601" spans="1:10" ht="17.25" thickBot="1" x14ac:dyDescent="0.4">
      <c r="A601" s="408"/>
      <c r="B601" s="70" t="s">
        <v>149</v>
      </c>
      <c r="C601" s="71">
        <f>SUM(C596:C598)</f>
        <v>150</v>
      </c>
      <c r="D601" s="71">
        <f>D600+D599</f>
        <v>30</v>
      </c>
      <c r="E601" s="71"/>
      <c r="F601" s="71">
        <f>SUM(F596:F598)</f>
        <v>253.49999999999997</v>
      </c>
      <c r="G601" s="71">
        <f>G600+G599</f>
        <v>30</v>
      </c>
      <c r="H601" s="105"/>
      <c r="I601" s="73">
        <f>F601/C601</f>
        <v>1.6899999999999997</v>
      </c>
      <c r="J601" s="273"/>
    </row>
    <row r="602" spans="1:10" x14ac:dyDescent="0.25">
      <c r="J602" s="274"/>
    </row>
    <row r="603" spans="1:10" ht="21" x14ac:dyDescent="0.4">
      <c r="A603" s="37" t="s">
        <v>342</v>
      </c>
      <c r="B603" s="37"/>
      <c r="C603" s="37"/>
      <c r="D603" s="37"/>
      <c r="E603" s="37"/>
      <c r="F603" s="37"/>
      <c r="G603" s="37"/>
      <c r="H603" s="37"/>
      <c r="I603" s="37"/>
      <c r="J603" s="255"/>
    </row>
    <row r="604" spans="1:10" ht="17.25" thickBot="1" x14ac:dyDescent="0.4">
      <c r="A604" s="40"/>
      <c r="B604" s="41"/>
      <c r="C604" s="42"/>
      <c r="D604" s="42"/>
      <c r="E604" s="42"/>
      <c r="F604" s="42"/>
      <c r="G604" s="42"/>
      <c r="H604" s="42"/>
      <c r="I604" s="42"/>
      <c r="J604" s="256"/>
    </row>
    <row r="605" spans="1:10" ht="16.5" x14ac:dyDescent="0.35">
      <c r="A605" s="409" t="s">
        <v>128</v>
      </c>
      <c r="B605" s="44"/>
      <c r="C605" s="45"/>
      <c r="D605" s="45"/>
      <c r="E605" s="45"/>
      <c r="F605" s="45"/>
      <c r="G605" s="411" t="s">
        <v>129</v>
      </c>
      <c r="H605" s="251"/>
      <c r="I605" s="413" t="s">
        <v>130</v>
      </c>
      <c r="J605" s="257" t="s">
        <v>131</v>
      </c>
    </row>
    <row r="606" spans="1:10" ht="66.75" thickBot="1" x14ac:dyDescent="0.3">
      <c r="A606" s="410"/>
      <c r="B606" s="46"/>
      <c r="C606" s="47" t="s">
        <v>132</v>
      </c>
      <c r="D606" s="48" t="s">
        <v>133</v>
      </c>
      <c r="E606" s="48" t="s">
        <v>134</v>
      </c>
      <c r="F606" s="49" t="s">
        <v>135</v>
      </c>
      <c r="G606" s="412"/>
      <c r="H606" s="48" t="s">
        <v>136</v>
      </c>
      <c r="I606" s="414"/>
      <c r="J606" s="258"/>
    </row>
    <row r="607" spans="1:10" ht="15.75" x14ac:dyDescent="0.3">
      <c r="A607" s="415" t="s">
        <v>137</v>
      </c>
      <c r="B607" s="50" t="s">
        <v>340</v>
      </c>
      <c r="C607" s="51">
        <f>2970+600</f>
        <v>3570</v>
      </c>
      <c r="D607" s="123">
        <v>13</v>
      </c>
      <c r="E607" s="52">
        <f>C607/D607</f>
        <v>274.61538461538464</v>
      </c>
      <c r="F607" s="51">
        <v>3316.482</v>
      </c>
      <c r="G607" s="53">
        <v>12</v>
      </c>
      <c r="H607" s="53">
        <f>F607/G607</f>
        <v>276.37349999999998</v>
      </c>
      <c r="I607" s="54">
        <f>H607/E607</f>
        <v>1.0064021008403359</v>
      </c>
      <c r="J607" s="259" t="s">
        <v>343</v>
      </c>
    </row>
    <row r="608" spans="1:10" ht="15.75" x14ac:dyDescent="0.3">
      <c r="A608" s="416"/>
      <c r="B608" s="56" t="s">
        <v>140</v>
      </c>
      <c r="C608" s="57"/>
      <c r="D608" s="53"/>
      <c r="E608" s="52"/>
      <c r="F608" s="57"/>
      <c r="G608" s="53"/>
      <c r="H608" s="53"/>
      <c r="I608" s="54"/>
      <c r="J608" s="260" t="s">
        <v>344</v>
      </c>
    </row>
    <row r="609" spans="1:10" ht="15.75" x14ac:dyDescent="0.3">
      <c r="A609" s="416"/>
      <c r="B609" s="56" t="s">
        <v>325</v>
      </c>
      <c r="C609" s="57">
        <v>1300</v>
      </c>
      <c r="D609" s="58">
        <v>7</v>
      </c>
      <c r="E609" s="52">
        <f>C609/D609</f>
        <v>185.71428571428572</v>
      </c>
      <c r="F609" s="57">
        <v>317.52000000000004</v>
      </c>
      <c r="G609" s="53">
        <v>2</v>
      </c>
      <c r="H609" s="53">
        <f>F609/G609</f>
        <v>158.76000000000002</v>
      </c>
      <c r="I609" s="54">
        <f>H609/E609</f>
        <v>0.85486153846153856</v>
      </c>
      <c r="J609" s="260"/>
    </row>
    <row r="610" spans="1:10" ht="15.75" x14ac:dyDescent="0.3">
      <c r="A610" s="416"/>
      <c r="B610" s="56" t="s">
        <v>143</v>
      </c>
      <c r="C610" s="57">
        <v>500</v>
      </c>
      <c r="D610" s="58">
        <v>4</v>
      </c>
      <c r="E610" s="52">
        <f>C610/D610</f>
        <v>125</v>
      </c>
      <c r="F610" s="57">
        <v>495.65300000000002</v>
      </c>
      <c r="G610" s="53">
        <v>3.5</v>
      </c>
      <c r="H610" s="53">
        <f>F610/G610</f>
        <v>141.61514285714287</v>
      </c>
      <c r="I610" s="54"/>
      <c r="J610" s="260"/>
    </row>
    <row r="611" spans="1:10" ht="15.75" x14ac:dyDescent="0.3">
      <c r="A611" s="416"/>
      <c r="B611" s="56" t="s">
        <v>144</v>
      </c>
      <c r="C611" s="57"/>
      <c r="D611" s="58"/>
      <c r="E611" s="52"/>
      <c r="F611" s="57"/>
      <c r="G611" s="53"/>
      <c r="H611" s="53"/>
      <c r="I611" s="53"/>
      <c r="J611" s="260"/>
    </row>
    <row r="612" spans="1:10" ht="15.75" x14ac:dyDescent="0.3">
      <c r="A612" s="416"/>
      <c r="B612" s="56" t="s">
        <v>145</v>
      </c>
      <c r="C612" s="57"/>
      <c r="D612" s="58"/>
      <c r="E612" s="52"/>
      <c r="F612" s="57"/>
      <c r="G612" s="53"/>
      <c r="H612" s="53"/>
      <c r="I612" s="54"/>
      <c r="J612" s="260"/>
    </row>
    <row r="613" spans="1:10" ht="15.75" x14ac:dyDescent="0.3">
      <c r="A613" s="416"/>
      <c r="B613" s="56"/>
      <c r="C613" s="57"/>
      <c r="D613" s="58"/>
      <c r="E613" s="52"/>
      <c r="F613" s="57"/>
      <c r="G613" s="53"/>
      <c r="H613" s="53"/>
      <c r="I613" s="53"/>
      <c r="J613" s="260"/>
    </row>
    <row r="614" spans="1:10" ht="16.5" x14ac:dyDescent="0.35">
      <c r="A614" s="416"/>
      <c r="B614" s="59" t="s">
        <v>146</v>
      </c>
      <c r="C614" s="60"/>
      <c r="D614" s="61">
        <f>SUM(D607:D613)</f>
        <v>24</v>
      </c>
      <c r="E614" s="61"/>
      <c r="F614" s="62"/>
      <c r="G614" s="125">
        <f>SUM(G607:G613)</f>
        <v>17.5</v>
      </c>
      <c r="H614" s="64"/>
      <c r="I614" s="53"/>
      <c r="J614" s="260"/>
    </row>
    <row r="615" spans="1:10" ht="16.5" x14ac:dyDescent="0.35">
      <c r="A615" s="416"/>
      <c r="B615" s="59" t="s">
        <v>147</v>
      </c>
      <c r="C615" s="60"/>
      <c r="D615" s="128">
        <v>3.5</v>
      </c>
      <c r="E615" s="62"/>
      <c r="F615" s="62"/>
      <c r="G615" s="63">
        <v>11</v>
      </c>
      <c r="H615" s="64"/>
      <c r="I615" s="53"/>
      <c r="J615" s="260"/>
    </row>
    <row r="616" spans="1:10" ht="15.75" x14ac:dyDescent="0.3">
      <c r="A616" s="416"/>
      <c r="B616" s="65" t="s">
        <v>148</v>
      </c>
      <c r="C616" s="66"/>
      <c r="D616" s="129">
        <v>3.5</v>
      </c>
      <c r="E616" s="67"/>
      <c r="F616" s="67"/>
      <c r="G616" s="275">
        <v>2.5</v>
      </c>
      <c r="H616" s="69"/>
      <c r="I616" s="53"/>
      <c r="J616" s="260"/>
    </row>
    <row r="617" spans="1:10" ht="17.25" thickBot="1" x14ac:dyDescent="0.4">
      <c r="A617" s="417"/>
      <c r="B617" s="70" t="s">
        <v>149</v>
      </c>
      <c r="C617" s="71">
        <f>SUM(C607:C612)</f>
        <v>5370</v>
      </c>
      <c r="D617" s="71">
        <f>D614+D615+D616</f>
        <v>31</v>
      </c>
      <c r="E617" s="71">
        <f>E614+E615+E616</f>
        <v>0</v>
      </c>
      <c r="F617" s="72">
        <f>SUM(F607:F613)</f>
        <v>4129.6549999999997</v>
      </c>
      <c r="G617" s="71">
        <f>G614+G615+G616</f>
        <v>31</v>
      </c>
      <c r="H617" s="71"/>
      <c r="I617" s="73">
        <f>F617/C617</f>
        <v>0.7690232774674115</v>
      </c>
      <c r="J617" s="261"/>
    </row>
    <row r="618" spans="1:10" ht="15.75" x14ac:dyDescent="0.3">
      <c r="A618" s="421" t="s">
        <v>150</v>
      </c>
      <c r="B618" s="50" t="s">
        <v>211</v>
      </c>
      <c r="C618" s="76">
        <f>3600+660+600</f>
        <v>4860</v>
      </c>
      <c r="D618" s="52">
        <v>12.5</v>
      </c>
      <c r="E618" s="52">
        <f>C618/D618</f>
        <v>388.8</v>
      </c>
      <c r="F618" s="51">
        <f>1099.28+2489.025</f>
        <v>3588.3050000000003</v>
      </c>
      <c r="G618" s="52">
        <v>12</v>
      </c>
      <c r="H618" s="241">
        <f>F618/G618</f>
        <v>299.02541666666667</v>
      </c>
      <c r="I618" s="91">
        <f>H618/E618</f>
        <v>0.76909829389574758</v>
      </c>
      <c r="J618" s="262"/>
    </row>
    <row r="619" spans="1:10" ht="15.75" x14ac:dyDescent="0.3">
      <c r="A619" s="422"/>
      <c r="B619" s="50" t="s">
        <v>154</v>
      </c>
      <c r="C619" s="76"/>
      <c r="D619" s="52"/>
      <c r="E619" s="52"/>
      <c r="F619" s="52"/>
      <c r="G619" s="127"/>
      <c r="H619" s="117"/>
      <c r="I619" s="92"/>
      <c r="J619" s="263"/>
    </row>
    <row r="620" spans="1:10" ht="15.75" x14ac:dyDescent="0.3">
      <c r="A620" s="422"/>
      <c r="B620" s="50" t="s">
        <v>155</v>
      </c>
      <c r="C620" s="57">
        <v>800</v>
      </c>
      <c r="D620" s="58">
        <v>8</v>
      </c>
      <c r="E620" s="52">
        <f>C620/D620</f>
        <v>100</v>
      </c>
      <c r="F620" s="57">
        <v>799.07899999999995</v>
      </c>
      <c r="G620" s="52">
        <v>7.5</v>
      </c>
      <c r="H620" s="241">
        <f>F620/G620</f>
        <v>106.54386666666666</v>
      </c>
      <c r="I620" s="92">
        <f>H620/E620</f>
        <v>1.0654386666666666</v>
      </c>
      <c r="J620" s="263"/>
    </row>
    <row r="621" spans="1:10" ht="15.75" x14ac:dyDescent="0.3">
      <c r="A621" s="422"/>
      <c r="B621" s="78" t="s">
        <v>361</v>
      </c>
      <c r="C621" s="51">
        <v>60</v>
      </c>
      <c r="D621" s="52">
        <v>1</v>
      </c>
      <c r="E621" s="52">
        <f>C621/D621</f>
        <v>60</v>
      </c>
      <c r="F621" s="79"/>
      <c r="G621" s="52"/>
      <c r="H621" s="241"/>
      <c r="I621" s="92">
        <f>H621/E621</f>
        <v>0</v>
      </c>
      <c r="J621" s="263"/>
    </row>
    <row r="622" spans="1:10" ht="15.75" x14ac:dyDescent="0.3">
      <c r="A622" s="422"/>
      <c r="B622" s="78" t="s">
        <v>213</v>
      </c>
      <c r="C622" s="51"/>
      <c r="D622" s="52"/>
      <c r="E622" s="52"/>
      <c r="F622" s="51">
        <v>427.71999999999997</v>
      </c>
      <c r="G622" s="52">
        <v>5</v>
      </c>
      <c r="H622" s="241">
        <f>F622/G622</f>
        <v>85.543999999999997</v>
      </c>
      <c r="I622" s="99"/>
      <c r="J622" s="263"/>
    </row>
    <row r="623" spans="1:10" ht="15.75" x14ac:dyDescent="0.3">
      <c r="A623" s="422"/>
      <c r="B623" s="78" t="s">
        <v>327</v>
      </c>
      <c r="C623" s="51"/>
      <c r="D623" s="52"/>
      <c r="E623" s="52"/>
      <c r="F623" s="52"/>
      <c r="G623" s="52"/>
      <c r="H623" s="241"/>
      <c r="I623" s="99"/>
      <c r="J623" s="263"/>
    </row>
    <row r="624" spans="1:10" ht="15.75" x14ac:dyDescent="0.3">
      <c r="A624" s="422"/>
      <c r="B624" s="78" t="s">
        <v>157</v>
      </c>
      <c r="C624" s="51"/>
      <c r="D624" s="52"/>
      <c r="E624" s="52"/>
      <c r="F624" s="79"/>
      <c r="G624" s="52"/>
      <c r="H624" s="241"/>
      <c r="I624" s="92" t="e">
        <f>H624/E624</f>
        <v>#DIV/0!</v>
      </c>
      <c r="J624" s="263"/>
    </row>
    <row r="625" spans="1:10" ht="15.75" x14ac:dyDescent="0.3">
      <c r="A625" s="422"/>
      <c r="B625" s="78" t="s">
        <v>328</v>
      </c>
      <c r="C625" s="51"/>
      <c r="D625" s="52"/>
      <c r="E625" s="52"/>
      <c r="F625" s="79"/>
      <c r="G625" s="52"/>
      <c r="H625" s="241"/>
      <c r="I625" s="99"/>
      <c r="J625" s="263"/>
    </row>
    <row r="626" spans="1:10" ht="15.75" x14ac:dyDescent="0.3">
      <c r="A626" s="422"/>
      <c r="B626" s="78" t="s">
        <v>360</v>
      </c>
      <c r="C626" s="51">
        <v>250</v>
      </c>
      <c r="D626" s="52">
        <v>2.5</v>
      </c>
      <c r="E626" s="52">
        <f t="shared" ref="E626" si="28">C626/D626</f>
        <v>100</v>
      </c>
      <c r="F626" s="51">
        <v>240.18100000000001</v>
      </c>
      <c r="G626" s="52">
        <v>1.5</v>
      </c>
      <c r="H626" s="241">
        <f>F626/G626</f>
        <v>160.12066666666666</v>
      </c>
      <c r="I626" s="99"/>
      <c r="J626" s="263"/>
    </row>
    <row r="627" spans="1:10" ht="16.5" x14ac:dyDescent="0.35">
      <c r="A627" s="422"/>
      <c r="B627" s="59" t="s">
        <v>146</v>
      </c>
      <c r="C627" s="60"/>
      <c r="D627" s="61">
        <f>SUM(D618:D625)</f>
        <v>21.5</v>
      </c>
      <c r="E627" s="61"/>
      <c r="F627" s="62"/>
      <c r="G627" s="63">
        <f>SUM(G618:G626)</f>
        <v>26</v>
      </c>
      <c r="H627" s="242"/>
      <c r="I627" s="99"/>
      <c r="J627" s="263"/>
    </row>
    <row r="628" spans="1:10" ht="15.75" x14ac:dyDescent="0.3">
      <c r="A628" s="422"/>
      <c r="B628" s="65" t="s">
        <v>148</v>
      </c>
      <c r="C628" s="66"/>
      <c r="D628" s="68">
        <f>31-D627</f>
        <v>9.5</v>
      </c>
      <c r="E628" s="67"/>
      <c r="F628" s="67"/>
      <c r="G628" s="81">
        <f>31-G627</f>
        <v>5</v>
      </c>
      <c r="H628" s="243"/>
      <c r="I628" s="112"/>
      <c r="J628" s="263"/>
    </row>
    <row r="629" spans="1:10" ht="17.25" thickBot="1" x14ac:dyDescent="0.4">
      <c r="A629" s="423"/>
      <c r="B629" s="70" t="s">
        <v>149</v>
      </c>
      <c r="C629" s="71">
        <f>SUM(C618:C626)</f>
        <v>5970</v>
      </c>
      <c r="D629" s="71">
        <f>D627+D628</f>
        <v>31</v>
      </c>
      <c r="E629" s="71"/>
      <c r="F629" s="71">
        <f>SUM(F618:F626)</f>
        <v>5055.2849999999999</v>
      </c>
      <c r="G629" s="71">
        <f>G627+G628</f>
        <v>31</v>
      </c>
      <c r="H629" s="82"/>
      <c r="I629" s="73">
        <f>F629/C629</f>
        <v>0.8467814070351759</v>
      </c>
      <c r="J629" s="264"/>
    </row>
    <row r="630" spans="1:10" ht="15.75" x14ac:dyDescent="0.3">
      <c r="A630" s="421" t="s">
        <v>161</v>
      </c>
      <c r="B630" s="50" t="s">
        <v>199</v>
      </c>
      <c r="C630" s="51">
        <v>406</v>
      </c>
      <c r="D630" s="83">
        <v>5</v>
      </c>
      <c r="E630" s="52">
        <f t="shared" ref="E630" si="29">C630/D630</f>
        <v>81.2</v>
      </c>
      <c r="F630" s="51"/>
      <c r="G630" s="83"/>
      <c r="H630" s="52"/>
      <c r="I630" s="92">
        <f>H630/E630</f>
        <v>0</v>
      </c>
      <c r="J630" s="265"/>
    </row>
    <row r="631" spans="1:10" ht="15.75" x14ac:dyDescent="0.3">
      <c r="A631" s="422"/>
      <c r="B631" s="50" t="s">
        <v>217</v>
      </c>
      <c r="C631" s="76">
        <v>300</v>
      </c>
      <c r="D631" s="52">
        <v>4</v>
      </c>
      <c r="E631" s="52">
        <f t="shared" ref="E631:E633" si="30">C631/D631</f>
        <v>75</v>
      </c>
      <c r="F631" s="51">
        <v>260.18999999999994</v>
      </c>
      <c r="G631" s="52">
        <v>3.5</v>
      </c>
      <c r="H631" s="52">
        <f t="shared" ref="H631" si="31">F631/G631</f>
        <v>74.339999999999989</v>
      </c>
      <c r="I631" s="92">
        <f>H631/E631</f>
        <v>0.99119999999999986</v>
      </c>
      <c r="J631" s="266"/>
    </row>
    <row r="632" spans="1:10" ht="15.75" x14ac:dyDescent="0.3">
      <c r="A632" s="422"/>
      <c r="B632" s="50" t="s">
        <v>216</v>
      </c>
      <c r="C632" s="76"/>
      <c r="D632" s="84"/>
      <c r="E632" s="52"/>
      <c r="F632" s="57"/>
      <c r="G632" s="52"/>
      <c r="H632" s="52"/>
      <c r="I632" s="92"/>
      <c r="J632" s="266"/>
    </row>
    <row r="633" spans="1:10" ht="16.5" thickBot="1" x14ac:dyDescent="0.35">
      <c r="A633" s="422"/>
      <c r="B633" s="50" t="s">
        <v>347</v>
      </c>
      <c r="C633" s="76">
        <v>370</v>
      </c>
      <c r="D633" s="84">
        <v>6.5</v>
      </c>
      <c r="E633" s="52">
        <f t="shared" si="30"/>
        <v>56.92307692307692</v>
      </c>
      <c r="F633" s="57">
        <v>379.12599999999998</v>
      </c>
      <c r="G633" s="52">
        <v>5</v>
      </c>
      <c r="H633" s="52">
        <f t="shared" ref="H633" si="32">F633/G633</f>
        <v>75.825199999999995</v>
      </c>
      <c r="I633" s="92">
        <f t="shared" ref="I633" si="33">H633/E633</f>
        <v>1.3320643243243244</v>
      </c>
      <c r="J633" s="266"/>
    </row>
    <row r="634" spans="1:10" ht="15.75" x14ac:dyDescent="0.3">
      <c r="A634" s="422"/>
      <c r="B634" s="50" t="s">
        <v>362</v>
      </c>
      <c r="C634" s="76">
        <f>560+510</f>
        <v>1070</v>
      </c>
      <c r="D634" s="83">
        <f>4+4.5</f>
        <v>8.5</v>
      </c>
      <c r="E634" s="52">
        <f t="shared" ref="E634:E636" si="34">C634/D634</f>
        <v>125.88235294117646</v>
      </c>
      <c r="F634" s="51">
        <f>317.244+470.25</f>
        <v>787.49400000000003</v>
      </c>
      <c r="G634" s="90">
        <v>10</v>
      </c>
      <c r="H634" s="53">
        <f t="shared" ref="H634" si="35">F634/G634</f>
        <v>78.749400000000009</v>
      </c>
      <c r="I634" s="92">
        <f>H634/E634</f>
        <v>0.62557934579439267</v>
      </c>
      <c r="J634" s="266"/>
    </row>
    <row r="635" spans="1:10" ht="15.75" x14ac:dyDescent="0.3">
      <c r="A635" s="422"/>
      <c r="B635" s="50" t="s">
        <v>232</v>
      </c>
      <c r="C635" s="76"/>
      <c r="D635" s="84"/>
      <c r="E635" s="52"/>
      <c r="F635" s="51"/>
      <c r="G635" s="52"/>
      <c r="H635" s="53"/>
      <c r="I635" s="92"/>
      <c r="J635" s="266"/>
    </row>
    <row r="636" spans="1:10" ht="15.75" x14ac:dyDescent="0.3">
      <c r="A636" s="422"/>
      <c r="B636" s="50" t="s">
        <v>167</v>
      </c>
      <c r="C636" s="76">
        <v>200</v>
      </c>
      <c r="D636" s="84">
        <v>3</v>
      </c>
      <c r="E636" s="52">
        <f t="shared" si="34"/>
        <v>66.666666666666671</v>
      </c>
      <c r="F636" s="57">
        <v>443.99500000000006</v>
      </c>
      <c r="G636" s="90">
        <v>10</v>
      </c>
      <c r="H636" s="53">
        <f t="shared" ref="H636" si="36">F636/G636</f>
        <v>44.399500000000003</v>
      </c>
      <c r="I636" s="92"/>
      <c r="J636" s="266"/>
    </row>
    <row r="637" spans="1:10" ht="15.75" x14ac:dyDescent="0.3">
      <c r="A637" s="422"/>
      <c r="B637" s="50" t="s">
        <v>168</v>
      </c>
      <c r="C637" s="76"/>
      <c r="D637" s="84"/>
      <c r="E637" s="52"/>
      <c r="F637" s="57"/>
      <c r="G637" s="52"/>
      <c r="H637" s="86"/>
      <c r="I637" s="92"/>
      <c r="J637" s="266"/>
    </row>
    <row r="638" spans="1:10" ht="15.75" x14ac:dyDescent="0.3">
      <c r="A638" s="422"/>
      <c r="B638" s="50"/>
      <c r="C638" s="76"/>
      <c r="D638" s="84"/>
      <c r="E638" s="52"/>
      <c r="F638" s="57"/>
      <c r="G638" s="90"/>
      <c r="H638" s="53"/>
      <c r="I638" s="92"/>
      <c r="J638" s="266"/>
    </row>
    <row r="639" spans="1:10" ht="15.75" x14ac:dyDescent="0.3">
      <c r="A639" s="422"/>
      <c r="B639" s="50"/>
      <c r="C639" s="76"/>
      <c r="D639" s="84"/>
      <c r="E639" s="84"/>
      <c r="F639" s="57"/>
      <c r="G639" s="52"/>
      <c r="H639" s="86"/>
      <c r="I639" s="92"/>
      <c r="J639" s="266"/>
    </row>
    <row r="640" spans="1:10" ht="16.5" x14ac:dyDescent="0.35">
      <c r="A640" s="422"/>
      <c r="B640" s="59" t="s">
        <v>146</v>
      </c>
      <c r="C640" s="60"/>
      <c r="D640" s="61">
        <f>SUM(D630:D638)</f>
        <v>27</v>
      </c>
      <c r="E640" s="61"/>
      <c r="F640" s="62"/>
      <c r="G640" s="63">
        <f>SUM(G630:G638)</f>
        <v>28.5</v>
      </c>
      <c r="H640" s="64"/>
      <c r="I640" s="92"/>
      <c r="J640" s="266"/>
    </row>
    <row r="641" spans="1:10" ht="15.75" x14ac:dyDescent="0.3">
      <c r="A641" s="422"/>
      <c r="B641" s="65" t="s">
        <v>148</v>
      </c>
      <c r="C641" s="66"/>
      <c r="D641" s="67">
        <f>31-D640</f>
        <v>4</v>
      </c>
      <c r="E641" s="67"/>
      <c r="F641" s="67"/>
      <c r="G641" s="67">
        <f>31-G640</f>
        <v>2.5</v>
      </c>
      <c r="H641" s="87"/>
      <c r="I641" s="92"/>
      <c r="J641" s="266"/>
    </row>
    <row r="642" spans="1:10" ht="17.25" thickBot="1" x14ac:dyDescent="0.4">
      <c r="A642" s="423"/>
      <c r="B642" s="70" t="s">
        <v>149</v>
      </c>
      <c r="C642" s="71">
        <f>SUM(C630:C638)</f>
        <v>2346</v>
      </c>
      <c r="D642" s="71">
        <f>D640+D641</f>
        <v>31</v>
      </c>
      <c r="E642" s="71">
        <f>SUM(E630:E638)</f>
        <v>405.67209653092004</v>
      </c>
      <c r="F642" s="71">
        <f>SUM(F630:F638)</f>
        <v>1870.8050000000001</v>
      </c>
      <c r="G642" s="71">
        <f>G641+G640</f>
        <v>31</v>
      </c>
      <c r="H642" s="82"/>
      <c r="I642" s="73">
        <f>F642/C642</f>
        <v>0.79744458653026429</v>
      </c>
      <c r="J642" s="267"/>
    </row>
    <row r="643" spans="1:10" ht="15.75" x14ac:dyDescent="0.3">
      <c r="A643" s="421" t="s">
        <v>169</v>
      </c>
      <c r="B643" s="88" t="s">
        <v>170</v>
      </c>
      <c r="C643" s="89">
        <v>635</v>
      </c>
      <c r="D643" s="52">
        <v>10</v>
      </c>
      <c r="E643" s="52">
        <f>C643/D643</f>
        <v>63.5</v>
      </c>
      <c r="F643" s="51">
        <f>458.068+111.12</f>
        <v>569.18799999999999</v>
      </c>
      <c r="G643" s="52">
        <v>9</v>
      </c>
      <c r="H643" s="53">
        <f>F643/G643</f>
        <v>63.243111111111112</v>
      </c>
      <c r="I643" s="92">
        <f>H643/E643</f>
        <v>0.99595450568678912</v>
      </c>
      <c r="J643" s="265"/>
    </row>
    <row r="644" spans="1:10" ht="15.75" x14ac:dyDescent="0.3">
      <c r="A644" s="422"/>
      <c r="B644" s="244" t="s">
        <v>331</v>
      </c>
      <c r="C644" s="51"/>
      <c r="D644" s="52"/>
      <c r="E644" s="52"/>
      <c r="F644" s="51"/>
      <c r="G644" s="52"/>
      <c r="H644" s="53"/>
      <c r="I644" s="92"/>
      <c r="J644" s="266"/>
    </row>
    <row r="645" spans="1:10" ht="15.75" x14ac:dyDescent="0.3">
      <c r="A645" s="422"/>
      <c r="B645" s="80" t="s">
        <v>332</v>
      </c>
      <c r="C645" s="76"/>
      <c r="D645" s="52"/>
      <c r="E645" s="52"/>
      <c r="F645" s="57"/>
      <c r="G645" s="52"/>
      <c r="H645" s="53"/>
      <c r="I645" s="92"/>
      <c r="J645" s="266"/>
    </row>
    <row r="646" spans="1:10" ht="15.75" x14ac:dyDescent="0.3">
      <c r="A646" s="422"/>
      <c r="B646" s="80" t="s">
        <v>159</v>
      </c>
      <c r="C646" s="76">
        <v>500</v>
      </c>
      <c r="D646" s="52">
        <v>7</v>
      </c>
      <c r="E646" s="52">
        <f t="shared" ref="E646:E651" si="37">C646/D646</f>
        <v>71.428571428571431</v>
      </c>
      <c r="F646" s="57">
        <v>332.55700000000002</v>
      </c>
      <c r="G646" s="52">
        <v>6.5</v>
      </c>
      <c r="H646" s="53">
        <f>F646/G646</f>
        <v>51.162615384615385</v>
      </c>
      <c r="I646" s="92">
        <f>H646/E646</f>
        <v>0.7162766153846154</v>
      </c>
      <c r="J646" s="266"/>
    </row>
    <row r="647" spans="1:10" ht="15.75" x14ac:dyDescent="0.3">
      <c r="A647" s="422"/>
      <c r="B647" s="80" t="s">
        <v>220</v>
      </c>
      <c r="C647" s="76"/>
      <c r="D647" s="52"/>
      <c r="E647" s="52"/>
      <c r="F647" s="57">
        <v>138.869</v>
      </c>
      <c r="G647" s="52">
        <v>1.5</v>
      </c>
      <c r="H647" s="53">
        <f>F647/G647</f>
        <v>92.579333333333338</v>
      </c>
      <c r="I647" s="92"/>
      <c r="J647" s="266"/>
    </row>
    <row r="648" spans="1:10" ht="15.75" x14ac:dyDescent="0.3">
      <c r="A648" s="422"/>
      <c r="B648" s="80" t="s">
        <v>221</v>
      </c>
      <c r="C648" s="76"/>
      <c r="D648" s="52"/>
      <c r="E648" s="52"/>
      <c r="F648" s="57"/>
      <c r="G648" s="52"/>
      <c r="H648" s="53"/>
      <c r="I648" s="53"/>
      <c r="J648" s="266"/>
    </row>
    <row r="649" spans="1:10" ht="15.75" x14ac:dyDescent="0.3">
      <c r="A649" s="422"/>
      <c r="B649" s="80" t="s">
        <v>175</v>
      </c>
      <c r="C649" s="76"/>
      <c r="D649" s="52"/>
      <c r="E649" s="52"/>
      <c r="F649" s="57"/>
      <c r="G649" s="52"/>
      <c r="H649" s="53"/>
      <c r="I649" s="92"/>
      <c r="J649" s="266"/>
    </row>
    <row r="650" spans="1:10" ht="15.75" x14ac:dyDescent="0.3">
      <c r="A650" s="422"/>
      <c r="B650" s="80" t="s">
        <v>374</v>
      </c>
      <c r="C650" s="76"/>
      <c r="D650" s="52"/>
      <c r="E650" s="52"/>
      <c r="F650" s="57">
        <v>41.421999999999997</v>
      </c>
      <c r="G650" s="52">
        <v>1</v>
      </c>
      <c r="H650" s="53">
        <f>F650/G650</f>
        <v>41.421999999999997</v>
      </c>
      <c r="I650" s="92" t="e">
        <f>H650/E650</f>
        <v>#DIV/0!</v>
      </c>
      <c r="J650" s="266"/>
    </row>
    <row r="651" spans="1:10" ht="15.75" x14ac:dyDescent="0.3">
      <c r="A651" s="422"/>
      <c r="B651" s="80" t="s">
        <v>223</v>
      </c>
      <c r="C651" s="76">
        <v>255</v>
      </c>
      <c r="D651" s="52">
        <v>3.5</v>
      </c>
      <c r="E651" s="52">
        <f t="shared" si="37"/>
        <v>72.857142857142861</v>
      </c>
      <c r="F651" s="52">
        <v>519.26599999999996</v>
      </c>
      <c r="G651" s="52">
        <v>5.5</v>
      </c>
      <c r="H651" s="53">
        <f>F651/G651</f>
        <v>94.411999999999992</v>
      </c>
      <c r="I651" s="92">
        <f>H651/E651</f>
        <v>1.2958509803921567</v>
      </c>
      <c r="J651" s="266"/>
    </row>
    <row r="652" spans="1:10" ht="16.5" x14ac:dyDescent="0.35">
      <c r="A652" s="422"/>
      <c r="B652" s="59" t="s">
        <v>146</v>
      </c>
      <c r="C652" s="61">
        <f>SUM(C643:C651)</f>
        <v>1390</v>
      </c>
      <c r="D652" s="61">
        <f>SUM(D643:D651)</f>
        <v>20.5</v>
      </c>
      <c r="E652" s="61"/>
      <c r="F652" s="62"/>
      <c r="G652" s="63">
        <f>SUM(G643:G651)</f>
        <v>23.5</v>
      </c>
      <c r="H652" s="64"/>
      <c r="I652" s="92"/>
      <c r="J652" s="266"/>
    </row>
    <row r="653" spans="1:10" ht="15.75" x14ac:dyDescent="0.3">
      <c r="A653" s="422"/>
      <c r="B653" s="65" t="s">
        <v>148</v>
      </c>
      <c r="C653" s="66"/>
      <c r="D653" s="68">
        <f>31-D652</f>
        <v>10.5</v>
      </c>
      <c r="E653" s="67"/>
      <c r="F653" s="67"/>
      <c r="G653" s="81">
        <f>31-G652</f>
        <v>7.5</v>
      </c>
      <c r="H653" s="87"/>
      <c r="I653" s="92"/>
      <c r="J653" s="266"/>
    </row>
    <row r="654" spans="1:10" ht="17.25" thickBot="1" x14ac:dyDescent="0.4">
      <c r="A654" s="423"/>
      <c r="B654" s="70" t="s">
        <v>149</v>
      </c>
      <c r="C654" s="71">
        <f>SUM(C643:C651)</f>
        <v>1390</v>
      </c>
      <c r="D654" s="71">
        <f>D652+D653</f>
        <v>31</v>
      </c>
      <c r="E654" s="71"/>
      <c r="F654" s="71">
        <f>SUM(F643:F651)</f>
        <v>1601.3020000000001</v>
      </c>
      <c r="G654" s="71">
        <f>G652+G653</f>
        <v>31</v>
      </c>
      <c r="H654" s="58"/>
      <c r="I654" s="73">
        <f>F654/C654</f>
        <v>1.1520158273381296</v>
      </c>
      <c r="J654" s="267"/>
    </row>
    <row r="655" spans="1:10" ht="15.75" x14ac:dyDescent="0.3">
      <c r="A655" s="406" t="s">
        <v>176</v>
      </c>
      <c r="B655" s="80" t="s">
        <v>177</v>
      </c>
      <c r="C655" s="76">
        <v>20</v>
      </c>
      <c r="D655" s="52">
        <v>0.3</v>
      </c>
      <c r="E655" s="52">
        <f>C655/D655</f>
        <v>66.666666666666671</v>
      </c>
      <c r="F655" s="51">
        <v>74.625</v>
      </c>
      <c r="G655" s="93">
        <v>1.5</v>
      </c>
      <c r="H655" s="53">
        <f t="shared" ref="H655" si="38">F655/G655</f>
        <v>49.75</v>
      </c>
      <c r="I655" s="92">
        <f>H655/E655</f>
        <v>0.74624999999999997</v>
      </c>
      <c r="J655" s="268"/>
    </row>
    <row r="656" spans="1:10" ht="15.75" x14ac:dyDescent="0.3">
      <c r="A656" s="407"/>
      <c r="B656" s="80" t="s">
        <v>363</v>
      </c>
      <c r="C656" s="76">
        <v>122</v>
      </c>
      <c r="D656" s="84">
        <v>1.5</v>
      </c>
      <c r="E656" s="52">
        <f>C656/D656</f>
        <v>81.333333333333329</v>
      </c>
      <c r="F656" s="93"/>
      <c r="G656" s="93"/>
      <c r="H656" s="53"/>
      <c r="I656" s="92">
        <f>H656/E656</f>
        <v>0</v>
      </c>
      <c r="J656" s="269"/>
    </row>
    <row r="657" spans="1:10" ht="15.75" x14ac:dyDescent="0.3">
      <c r="A657" s="407"/>
      <c r="B657" s="80" t="s">
        <v>204</v>
      </c>
      <c r="C657" s="76"/>
      <c r="D657" s="52"/>
      <c r="E657" s="52"/>
      <c r="F657" s="51"/>
      <c r="G657" s="93"/>
      <c r="H657" s="53"/>
      <c r="I657" s="92"/>
      <c r="J657" s="269"/>
    </row>
    <row r="658" spans="1:10" ht="15.75" x14ac:dyDescent="0.3">
      <c r="A658" s="407"/>
      <c r="B658" s="80" t="s">
        <v>233</v>
      </c>
      <c r="C658" s="76">
        <v>370</v>
      </c>
      <c r="D658" s="52">
        <v>6</v>
      </c>
      <c r="E658" s="52">
        <f>C658/D658</f>
        <v>61.666666666666664</v>
      </c>
      <c r="F658" s="51">
        <v>406.95499999999993</v>
      </c>
      <c r="G658" s="93">
        <v>6.5</v>
      </c>
      <c r="H658" s="53">
        <f t="shared" ref="H658:H659" si="39">F658/G658</f>
        <v>62.608461538461526</v>
      </c>
      <c r="I658" s="92">
        <f>H658/E658</f>
        <v>1.0152723492723492</v>
      </c>
      <c r="J658" s="269"/>
    </row>
    <row r="659" spans="1:10" ht="15.75" x14ac:dyDescent="0.3">
      <c r="A659" s="407"/>
      <c r="B659" s="80" t="s">
        <v>181</v>
      </c>
      <c r="C659" s="51">
        <f>840+660</f>
        <v>1500</v>
      </c>
      <c r="D659" s="52">
        <f>10+8</f>
        <v>18</v>
      </c>
      <c r="E659" s="52">
        <f>C659/D659</f>
        <v>83.333333333333329</v>
      </c>
      <c r="F659" s="51">
        <v>1492.4999999999998</v>
      </c>
      <c r="G659" s="93">
        <v>19</v>
      </c>
      <c r="H659" s="53">
        <f t="shared" si="39"/>
        <v>78.552631578947356</v>
      </c>
      <c r="I659" s="92">
        <f>H659/E659</f>
        <v>0.94263157894736838</v>
      </c>
      <c r="J659" s="269"/>
    </row>
    <row r="660" spans="1:10" ht="15.75" x14ac:dyDescent="0.3">
      <c r="A660" s="407"/>
      <c r="B660" s="121" t="s">
        <v>242</v>
      </c>
      <c r="C660" s="94"/>
      <c r="D660" s="86"/>
      <c r="E660" s="86"/>
      <c r="F660" s="95"/>
      <c r="G660" s="96"/>
      <c r="H660" s="53"/>
      <c r="I660" s="92"/>
      <c r="J660" s="269"/>
    </row>
    <row r="661" spans="1:10" ht="16.5" x14ac:dyDescent="0.35">
      <c r="A661" s="407"/>
      <c r="B661" s="59" t="s">
        <v>146</v>
      </c>
      <c r="C661" s="60"/>
      <c r="D661" s="61">
        <f>SUM(D655:D659)</f>
        <v>25.8</v>
      </c>
      <c r="E661" s="61"/>
      <c r="F661" s="62"/>
      <c r="G661" s="61">
        <f>SUM(G655:G659)</f>
        <v>27</v>
      </c>
      <c r="H661" s="61"/>
      <c r="I661" s="92"/>
      <c r="J661" s="269"/>
    </row>
    <row r="662" spans="1:10" ht="15.75" x14ac:dyDescent="0.3">
      <c r="A662" s="407"/>
      <c r="B662" s="65" t="s">
        <v>148</v>
      </c>
      <c r="C662" s="66"/>
      <c r="D662" s="68">
        <f>31-D661</f>
        <v>5.1999999999999993</v>
      </c>
      <c r="E662" s="67"/>
      <c r="F662" s="67"/>
      <c r="G662" s="81">
        <f>31-G661</f>
        <v>4</v>
      </c>
      <c r="H662" s="97"/>
      <c r="I662" s="92"/>
      <c r="J662" s="269"/>
    </row>
    <row r="663" spans="1:10" ht="17.25" thickBot="1" x14ac:dyDescent="0.4">
      <c r="A663" s="408"/>
      <c r="B663" s="70" t="s">
        <v>149</v>
      </c>
      <c r="C663" s="71">
        <f>SUM(C655:C659)</f>
        <v>2012</v>
      </c>
      <c r="D663" s="71">
        <f>D662+D661</f>
        <v>31</v>
      </c>
      <c r="E663" s="98"/>
      <c r="F663" s="71">
        <f>SUM(F655:F660)</f>
        <v>1974.0799999999997</v>
      </c>
      <c r="G663" s="71">
        <f>G662+G661</f>
        <v>31</v>
      </c>
      <c r="H663" s="99"/>
      <c r="I663" s="73">
        <f>F663/C663</f>
        <v>0.98115308151093428</v>
      </c>
      <c r="J663" s="270"/>
    </row>
    <row r="664" spans="1:10" ht="15.75" x14ac:dyDescent="0.3">
      <c r="A664" s="406" t="s">
        <v>183</v>
      </c>
      <c r="B664" s="50" t="s">
        <v>77</v>
      </c>
      <c r="C664" s="51"/>
      <c r="D664" s="52"/>
      <c r="E664" s="52"/>
      <c r="F664" s="51"/>
      <c r="G664" s="93"/>
      <c r="H664" s="96"/>
      <c r="I664" s="92"/>
      <c r="J664" s="271"/>
    </row>
    <row r="665" spans="1:10" ht="15.75" x14ac:dyDescent="0.3">
      <c r="A665" s="407"/>
      <c r="B665" s="50" t="s">
        <v>364</v>
      </c>
      <c r="C665" s="51">
        <v>660</v>
      </c>
      <c r="D665" s="52">
        <v>5</v>
      </c>
      <c r="E665" s="52">
        <f>C665/D665</f>
        <v>132</v>
      </c>
      <c r="F665" s="57">
        <v>1216.8390000000002</v>
      </c>
      <c r="G665" s="93">
        <v>9</v>
      </c>
      <c r="H665" s="96">
        <f>F665/G665</f>
        <v>135.20433333333335</v>
      </c>
      <c r="I665" s="92">
        <f>H665/E665</f>
        <v>1.0242752525252528</v>
      </c>
      <c r="J665" s="272"/>
    </row>
    <row r="666" spans="1:10" ht="15.75" x14ac:dyDescent="0.3">
      <c r="A666" s="407"/>
      <c r="B666" s="50" t="s">
        <v>184</v>
      </c>
      <c r="C666" s="51">
        <f>360+1260</f>
        <v>1620</v>
      </c>
      <c r="D666" s="52">
        <v>9</v>
      </c>
      <c r="E666" s="52">
        <f>C666/D666</f>
        <v>180</v>
      </c>
      <c r="F666" s="51">
        <v>1304.5349999999999</v>
      </c>
      <c r="G666" s="93">
        <v>7</v>
      </c>
      <c r="H666" s="96">
        <f>F666/G666</f>
        <v>186.36214285714283</v>
      </c>
      <c r="I666" s="92">
        <f>H666/E666</f>
        <v>1.0353452380952379</v>
      </c>
      <c r="J666" s="272"/>
    </row>
    <row r="667" spans="1:10" ht="15.75" x14ac:dyDescent="0.3">
      <c r="A667" s="407"/>
      <c r="B667" s="50" t="s">
        <v>186</v>
      </c>
      <c r="C667" s="51"/>
      <c r="D667" s="52"/>
      <c r="E667" s="52"/>
      <c r="F667" s="51"/>
      <c r="G667" s="93"/>
      <c r="H667" s="96"/>
      <c r="I667" s="92"/>
      <c r="J667" s="272"/>
    </row>
    <row r="668" spans="1:10" ht="15.75" x14ac:dyDescent="0.3">
      <c r="A668" s="407"/>
      <c r="B668" s="50" t="s">
        <v>226</v>
      </c>
      <c r="C668" s="51">
        <v>350</v>
      </c>
      <c r="D668" s="52">
        <v>3</v>
      </c>
      <c r="E668" s="52">
        <f>C668/D668</f>
        <v>116.66666666666667</v>
      </c>
      <c r="F668" s="57">
        <v>475.91300000000001</v>
      </c>
      <c r="G668" s="93">
        <v>3.5</v>
      </c>
      <c r="H668" s="96">
        <f>F668/G668</f>
        <v>135.97514285714286</v>
      </c>
      <c r="I668" s="92">
        <f>H668/E668</f>
        <v>1.1655012244897958</v>
      </c>
      <c r="J668" s="272"/>
    </row>
    <row r="669" spans="1:10" ht="15.75" x14ac:dyDescent="0.3">
      <c r="A669" s="407"/>
      <c r="B669" s="101" t="s">
        <v>79</v>
      </c>
      <c r="C669" s="95"/>
      <c r="D669" s="102"/>
      <c r="E669" s="52"/>
      <c r="F669" s="95"/>
      <c r="G669" s="103"/>
      <c r="H669" s="99"/>
      <c r="I669" s="92"/>
      <c r="J669" s="272"/>
    </row>
    <row r="670" spans="1:10" ht="16.5" x14ac:dyDescent="0.35">
      <c r="A670" s="407"/>
      <c r="B670" s="59" t="s">
        <v>146</v>
      </c>
      <c r="C670" s="60"/>
      <c r="D670" s="61">
        <f>SUM(D664:D669)</f>
        <v>17</v>
      </c>
      <c r="E670" s="61"/>
      <c r="F670" s="62"/>
      <c r="G670" s="60">
        <f>SUM(G664:G669)</f>
        <v>19.5</v>
      </c>
      <c r="H670" s="61"/>
      <c r="I670" s="92"/>
      <c r="J670" s="272"/>
    </row>
    <row r="671" spans="1:10" ht="16.5" x14ac:dyDescent="0.35">
      <c r="A671" s="407"/>
      <c r="B671" s="130" t="s">
        <v>244</v>
      </c>
      <c r="C671" s="131"/>
      <c r="D671" s="132"/>
      <c r="E671" s="133"/>
      <c r="F671" s="133"/>
      <c r="G671" s="132"/>
      <c r="H671" s="134"/>
      <c r="I671" s="92"/>
      <c r="J671" s="272"/>
    </row>
    <row r="672" spans="1:10" ht="15.75" x14ac:dyDescent="0.3">
      <c r="A672" s="407"/>
      <c r="B672" s="65" t="s">
        <v>148</v>
      </c>
      <c r="C672" s="66"/>
      <c r="D672" s="68">
        <f>31-D670</f>
        <v>14</v>
      </c>
      <c r="E672" s="67"/>
      <c r="F672" s="67"/>
      <c r="G672" s="68">
        <f>31-G670</f>
        <v>11.5</v>
      </c>
      <c r="H672" s="97"/>
      <c r="I672" s="92"/>
      <c r="J672" s="272"/>
    </row>
    <row r="673" spans="1:10" ht="17.25" thickBot="1" x14ac:dyDescent="0.4">
      <c r="A673" s="408"/>
      <c r="B673" s="70" t="s">
        <v>149</v>
      </c>
      <c r="C673" s="71">
        <f>SUM(C664:C669)</f>
        <v>2630</v>
      </c>
      <c r="D673" s="71">
        <f>D672+D670</f>
        <v>31</v>
      </c>
      <c r="E673" s="71"/>
      <c r="F673" s="71">
        <f>SUM(F664:F669)</f>
        <v>2997.2869999999998</v>
      </c>
      <c r="G673" s="71">
        <f>G672+G670</f>
        <v>31</v>
      </c>
      <c r="H673" s="105"/>
      <c r="I673" s="73">
        <f>F673/C673</f>
        <v>1.1396528517110265</v>
      </c>
      <c r="J673" s="273"/>
    </row>
    <row r="674" spans="1:10" ht="15.75" x14ac:dyDescent="0.3">
      <c r="A674" s="406" t="s">
        <v>188</v>
      </c>
      <c r="B674" s="106" t="s">
        <v>184</v>
      </c>
      <c r="C674" s="76"/>
      <c r="D674" s="84"/>
      <c r="E674" s="52"/>
      <c r="F674" s="57"/>
      <c r="G674" s="93"/>
      <c r="H674" s="93"/>
      <c r="I674" s="107"/>
      <c r="J674" s="271"/>
    </row>
    <row r="675" spans="1:10" ht="15.75" x14ac:dyDescent="0.3">
      <c r="A675" s="407"/>
      <c r="B675" s="106" t="s">
        <v>77</v>
      </c>
      <c r="C675" s="76">
        <v>2200</v>
      </c>
      <c r="D675" s="84">
        <v>6</v>
      </c>
      <c r="E675" s="52">
        <f>C675/D675</f>
        <v>366.66666666666669</v>
      </c>
      <c r="F675" s="51">
        <v>2163.4720000000002</v>
      </c>
      <c r="G675" s="93">
        <v>7</v>
      </c>
      <c r="H675" s="93">
        <f>F675/G675</f>
        <v>309.06742857142859</v>
      </c>
      <c r="I675" s="92">
        <f>H675/E675</f>
        <v>0.8429111688311689</v>
      </c>
      <c r="J675" s="272"/>
    </row>
    <row r="676" spans="1:10" ht="15.75" x14ac:dyDescent="0.3">
      <c r="A676" s="407"/>
      <c r="B676" s="245" t="s">
        <v>365</v>
      </c>
      <c r="C676" s="246">
        <v>1100</v>
      </c>
      <c r="D676" s="84">
        <v>3</v>
      </c>
      <c r="E676" s="52">
        <f>C676/D676</f>
        <v>366.66666666666669</v>
      </c>
      <c r="F676" s="95"/>
      <c r="G676" s="53"/>
      <c r="H676" s="99"/>
      <c r="I676" s="107"/>
      <c r="J676" s="272"/>
    </row>
    <row r="677" spans="1:10" ht="16.5" x14ac:dyDescent="0.35">
      <c r="A677" s="407"/>
      <c r="B677" s="65" t="s">
        <v>189</v>
      </c>
      <c r="C677" s="66"/>
      <c r="D677" s="108">
        <f>31-D674-D675</f>
        <v>25</v>
      </c>
      <c r="E677" s="109"/>
      <c r="F677" s="109"/>
      <c r="G677" s="110">
        <f>31-G674-G675-G676</f>
        <v>24</v>
      </c>
      <c r="H677" s="68"/>
      <c r="I677" s="92"/>
      <c r="J677" s="272"/>
    </row>
    <row r="678" spans="1:10" ht="17.25" thickBot="1" x14ac:dyDescent="0.4">
      <c r="A678" s="408"/>
      <c r="B678" s="111" t="s">
        <v>149</v>
      </c>
      <c r="C678" s="82">
        <f>SUM(C674:C677)</f>
        <v>3300</v>
      </c>
      <c r="D678" s="82"/>
      <c r="E678" s="82"/>
      <c r="F678" s="82">
        <f>SUM(F674:F677)</f>
        <v>2163.4720000000002</v>
      </c>
      <c r="G678" s="82"/>
      <c r="H678" s="112"/>
      <c r="I678" s="73">
        <f>F678/C678</f>
        <v>0.65559757575757582</v>
      </c>
      <c r="J678" s="273"/>
    </row>
    <row r="679" spans="1:10" ht="15.75" x14ac:dyDescent="0.3">
      <c r="A679" s="406" t="s">
        <v>190</v>
      </c>
      <c r="B679" s="50"/>
      <c r="C679" s="51"/>
      <c r="D679" s="52"/>
      <c r="E679" s="52"/>
      <c r="F679" s="51"/>
      <c r="G679" s="93"/>
      <c r="H679" s="99"/>
      <c r="I679" s="92"/>
      <c r="J679" s="271"/>
    </row>
    <row r="680" spans="1:10" ht="15.75" x14ac:dyDescent="0.3">
      <c r="A680" s="407"/>
      <c r="B680" s="101" t="s">
        <v>206</v>
      </c>
      <c r="C680" s="95">
        <v>187</v>
      </c>
      <c r="D680" s="102">
        <v>11</v>
      </c>
      <c r="E680" s="86">
        <f>C680/D680</f>
        <v>17</v>
      </c>
      <c r="F680" s="95">
        <v>238</v>
      </c>
      <c r="G680" s="103">
        <v>14</v>
      </c>
      <c r="H680" s="86">
        <f>F680/G680</f>
        <v>17</v>
      </c>
      <c r="I680" s="92">
        <f>H680/E680</f>
        <v>1</v>
      </c>
      <c r="J680" s="272"/>
    </row>
    <row r="681" spans="1:10" ht="15.75" x14ac:dyDescent="0.3">
      <c r="A681" s="407"/>
      <c r="B681" s="101" t="s">
        <v>192</v>
      </c>
      <c r="C681" s="114"/>
      <c r="D681" s="102"/>
      <c r="E681" s="86"/>
      <c r="F681" s="95"/>
      <c r="G681" s="103"/>
      <c r="H681" s="99"/>
      <c r="I681" s="92"/>
      <c r="J681" s="272"/>
    </row>
    <row r="682" spans="1:10" ht="16.5" x14ac:dyDescent="0.35">
      <c r="A682" s="407"/>
      <c r="B682" s="59" t="s">
        <v>146</v>
      </c>
      <c r="C682" s="60"/>
      <c r="D682" s="61">
        <f>SUM(D680:D681)</f>
        <v>11</v>
      </c>
      <c r="E682" s="61"/>
      <c r="F682" s="62"/>
      <c r="G682" s="61">
        <f>SUM(G680:G681)</f>
        <v>14</v>
      </c>
      <c r="H682" s="61"/>
      <c r="I682" s="92"/>
      <c r="J682" s="272"/>
    </row>
    <row r="683" spans="1:10" ht="15.75" x14ac:dyDescent="0.3">
      <c r="A683" s="407"/>
      <c r="B683" s="65" t="s">
        <v>148</v>
      </c>
      <c r="C683" s="66"/>
      <c r="D683" s="68">
        <f>31-D682</f>
        <v>20</v>
      </c>
      <c r="E683" s="67"/>
      <c r="F683" s="67"/>
      <c r="G683" s="81">
        <f>31-G682</f>
        <v>17</v>
      </c>
      <c r="H683" s="97"/>
      <c r="I683" s="92"/>
      <c r="J683" s="272"/>
    </row>
    <row r="684" spans="1:10" ht="17.25" thickBot="1" x14ac:dyDescent="0.4">
      <c r="A684" s="408"/>
      <c r="B684" s="70" t="s">
        <v>149</v>
      </c>
      <c r="C684" s="71">
        <f>SUM(C680:C681)</f>
        <v>187</v>
      </c>
      <c r="D684" s="71">
        <f>D683+D682</f>
        <v>31</v>
      </c>
      <c r="E684" s="71"/>
      <c r="F684" s="71">
        <f>SUM(F680:F681)</f>
        <v>238</v>
      </c>
      <c r="G684" s="71">
        <f>G683+G682</f>
        <v>31</v>
      </c>
      <c r="H684" s="105"/>
      <c r="I684" s="247">
        <v>0</v>
      </c>
      <c r="J684" s="273"/>
    </row>
    <row r="685" spans="1:10" ht="19.5" x14ac:dyDescent="0.3">
      <c r="A685" s="250"/>
      <c r="B685" s="101" t="s">
        <v>185</v>
      </c>
      <c r="C685" s="95">
        <v>150</v>
      </c>
      <c r="D685" s="102">
        <v>2.5</v>
      </c>
      <c r="E685" s="86">
        <f>C685/D685</f>
        <v>60</v>
      </c>
      <c r="F685" s="95"/>
      <c r="G685" s="103"/>
      <c r="H685" s="86"/>
      <c r="I685" s="92"/>
      <c r="J685" s="271"/>
    </row>
    <row r="686" spans="1:10" ht="15.75" x14ac:dyDescent="0.3">
      <c r="A686" s="407" t="s">
        <v>194</v>
      </c>
      <c r="B686" s="101" t="s">
        <v>208</v>
      </c>
      <c r="C686" s="95">
        <v>450</v>
      </c>
      <c r="D686" s="102">
        <v>7.5</v>
      </c>
      <c r="E686" s="86">
        <f>C686/D686</f>
        <v>60</v>
      </c>
      <c r="F686" s="95">
        <v>456.59999999999997</v>
      </c>
      <c r="G686" s="103">
        <v>8</v>
      </c>
      <c r="H686" s="86">
        <f>F686/G686</f>
        <v>57.074999999999996</v>
      </c>
      <c r="I686" s="92">
        <f>H686/E686</f>
        <v>0.95124999999999993</v>
      </c>
      <c r="J686" s="272"/>
    </row>
    <row r="687" spans="1:10" ht="15.75" x14ac:dyDescent="0.3">
      <c r="A687" s="407"/>
      <c r="B687" s="101" t="s">
        <v>234</v>
      </c>
      <c r="C687" s="114"/>
      <c r="D687" s="102"/>
      <c r="E687" s="86"/>
      <c r="F687" s="103"/>
      <c r="G687" s="103"/>
      <c r="H687" s="86"/>
      <c r="I687" s="92"/>
      <c r="J687" s="272"/>
    </row>
    <row r="688" spans="1:10" ht="16.5" x14ac:dyDescent="0.35">
      <c r="A688" s="407"/>
      <c r="B688" s="59" t="s">
        <v>146</v>
      </c>
      <c r="C688" s="60"/>
      <c r="D688" s="61">
        <f>SUM(D685:D687)</f>
        <v>10</v>
      </c>
      <c r="E688" s="61"/>
      <c r="F688" s="62"/>
      <c r="G688" s="61">
        <f>SUM(G685:G687)</f>
        <v>8</v>
      </c>
      <c r="H688" s="61"/>
      <c r="I688" s="92"/>
      <c r="J688" s="272"/>
    </row>
    <row r="689" spans="1:10" ht="15.75" x14ac:dyDescent="0.3">
      <c r="A689" s="407"/>
      <c r="B689" s="65" t="s">
        <v>148</v>
      </c>
      <c r="C689" s="66"/>
      <c r="D689" s="68">
        <f>31-D688</f>
        <v>21</v>
      </c>
      <c r="E689" s="67"/>
      <c r="F689" s="67"/>
      <c r="G689" s="81">
        <f>31-G688</f>
        <v>23</v>
      </c>
      <c r="H689" s="97"/>
      <c r="I689" s="92"/>
      <c r="J689" s="272"/>
    </row>
    <row r="690" spans="1:10" ht="17.25" thickBot="1" x14ac:dyDescent="0.4">
      <c r="A690" s="408"/>
      <c r="B690" s="70" t="s">
        <v>149</v>
      </c>
      <c r="C690" s="71">
        <f>SUM(C685:C687)</f>
        <v>600</v>
      </c>
      <c r="D690" s="71">
        <f>D689+D688</f>
        <v>31</v>
      </c>
      <c r="E690" s="71"/>
      <c r="F690" s="71">
        <f>SUM(F685:F687)</f>
        <v>456.59999999999997</v>
      </c>
      <c r="G690" s="71">
        <f>G689+G688</f>
        <v>31</v>
      </c>
      <c r="H690" s="105"/>
      <c r="I690" s="73">
        <f>F690/C690</f>
        <v>0.7609999999999999</v>
      </c>
      <c r="J690" s="273"/>
    </row>
    <row r="691" spans="1:10" x14ac:dyDescent="0.25">
      <c r="J691" s="274"/>
    </row>
    <row r="692" spans="1:10" ht="21" x14ac:dyDescent="0.4">
      <c r="A692" s="37" t="s">
        <v>345</v>
      </c>
      <c r="B692" s="37"/>
      <c r="C692" s="37"/>
      <c r="D692" s="37"/>
      <c r="E692" s="37"/>
      <c r="F692" s="37"/>
      <c r="G692" s="37"/>
      <c r="H692" s="37"/>
      <c r="I692" s="37"/>
      <c r="J692" s="255"/>
    </row>
    <row r="693" spans="1:10" ht="17.25" thickBot="1" x14ac:dyDescent="0.4">
      <c r="A693" s="40"/>
      <c r="B693" s="41"/>
      <c r="C693" s="42"/>
      <c r="D693" s="42"/>
      <c r="E693" s="42"/>
      <c r="F693" s="42"/>
      <c r="G693" s="42"/>
      <c r="H693" s="42"/>
      <c r="I693" s="42"/>
      <c r="J693" s="256"/>
    </row>
    <row r="694" spans="1:10" ht="16.5" x14ac:dyDescent="0.35">
      <c r="A694" s="409" t="s">
        <v>128</v>
      </c>
      <c r="B694" s="44"/>
      <c r="C694" s="45"/>
      <c r="D694" s="45"/>
      <c r="E694" s="45"/>
      <c r="F694" s="45"/>
      <c r="G694" s="411" t="s">
        <v>129</v>
      </c>
      <c r="H694" s="254"/>
      <c r="I694" s="413" t="s">
        <v>130</v>
      </c>
      <c r="J694" s="257" t="s">
        <v>131</v>
      </c>
    </row>
    <row r="695" spans="1:10" ht="66.75" thickBot="1" x14ac:dyDescent="0.3">
      <c r="A695" s="410"/>
      <c r="B695" s="46"/>
      <c r="C695" s="47" t="s">
        <v>132</v>
      </c>
      <c r="D695" s="48" t="s">
        <v>133</v>
      </c>
      <c r="E695" s="48" t="s">
        <v>134</v>
      </c>
      <c r="F695" s="49" t="s">
        <v>135</v>
      </c>
      <c r="G695" s="412"/>
      <c r="H695" s="48" t="s">
        <v>136</v>
      </c>
      <c r="I695" s="414"/>
      <c r="J695" s="258"/>
    </row>
    <row r="696" spans="1:10" ht="15.75" x14ac:dyDescent="0.3">
      <c r="A696" s="415" t="s">
        <v>137</v>
      </c>
      <c r="B696" s="50" t="s">
        <v>340</v>
      </c>
      <c r="C696" s="51">
        <v>2150</v>
      </c>
      <c r="D696" s="123">
        <v>10</v>
      </c>
      <c r="E696" s="52">
        <f>C696/D696</f>
        <v>215</v>
      </c>
      <c r="F696" s="51">
        <v>2421.37</v>
      </c>
      <c r="G696" s="53">
        <v>8</v>
      </c>
      <c r="H696" s="53">
        <f>F696/G696</f>
        <v>302.67124999999999</v>
      </c>
      <c r="I696" s="54">
        <f>H696/E696</f>
        <v>1.4077732558139535</v>
      </c>
      <c r="J696" s="259" t="s">
        <v>375</v>
      </c>
    </row>
    <row r="697" spans="1:10" ht="15.75" x14ac:dyDescent="0.3">
      <c r="A697" s="416"/>
      <c r="B697" s="56" t="s">
        <v>140</v>
      </c>
      <c r="C697" s="57">
        <v>600</v>
      </c>
      <c r="D697" s="53">
        <v>4</v>
      </c>
      <c r="E697" s="52">
        <f>C697/D697</f>
        <v>150</v>
      </c>
      <c r="F697" s="57">
        <v>906.64499999999998</v>
      </c>
      <c r="G697" s="53">
        <v>5</v>
      </c>
      <c r="H697" s="53">
        <f t="shared" ref="H697:H698" si="40">F697/G697</f>
        <v>181.32900000000001</v>
      </c>
      <c r="I697" s="54">
        <f>H697/E697</f>
        <v>1.20886</v>
      </c>
      <c r="J697" s="260" t="s">
        <v>376</v>
      </c>
    </row>
    <row r="698" spans="1:10" ht="15.75" x14ac:dyDescent="0.3">
      <c r="A698" s="416"/>
      <c r="B698" s="56" t="s">
        <v>325</v>
      </c>
      <c r="C698" s="57">
        <f>1240+960</f>
        <v>2200</v>
      </c>
      <c r="D698" s="58">
        <v>11</v>
      </c>
      <c r="E698" s="52">
        <f>C698/D698</f>
        <v>200</v>
      </c>
      <c r="F698" s="57">
        <f>271.48+2680.14</f>
        <v>2951.62</v>
      </c>
      <c r="G698" s="53">
        <v>12</v>
      </c>
      <c r="H698" s="53">
        <f t="shared" si="40"/>
        <v>245.96833333333333</v>
      </c>
      <c r="I698" s="54">
        <f>H698/E698</f>
        <v>1.2298416666666667</v>
      </c>
      <c r="J698" s="260"/>
    </row>
    <row r="699" spans="1:10" ht="15.75" x14ac:dyDescent="0.3">
      <c r="A699" s="416"/>
      <c r="B699" s="56" t="s">
        <v>143</v>
      </c>
      <c r="C699" s="57"/>
      <c r="D699" s="58"/>
      <c r="E699" s="52"/>
      <c r="F699" s="57"/>
      <c r="G699" s="53"/>
      <c r="H699" s="53"/>
      <c r="I699" s="54"/>
      <c r="J699" s="260"/>
    </row>
    <row r="700" spans="1:10" ht="15.75" x14ac:dyDescent="0.3">
      <c r="A700" s="416"/>
      <c r="B700" s="56" t="s">
        <v>144</v>
      </c>
      <c r="C700" s="57"/>
      <c r="D700" s="58"/>
      <c r="E700" s="52"/>
      <c r="F700" s="57"/>
      <c r="G700" s="53"/>
      <c r="H700" s="53"/>
      <c r="I700" s="53"/>
      <c r="J700" s="260"/>
    </row>
    <row r="701" spans="1:10" ht="15.75" x14ac:dyDescent="0.3">
      <c r="A701" s="416"/>
      <c r="B701" s="56" t="s">
        <v>145</v>
      </c>
      <c r="C701" s="57"/>
      <c r="D701" s="58"/>
      <c r="E701" s="52"/>
      <c r="F701" s="57"/>
      <c r="G701" s="53"/>
      <c r="H701" s="53"/>
      <c r="I701" s="54"/>
      <c r="J701" s="260"/>
    </row>
    <row r="702" spans="1:10" ht="15.75" x14ac:dyDescent="0.3">
      <c r="A702" s="416"/>
      <c r="B702" s="50"/>
      <c r="C702" s="57"/>
      <c r="D702" s="58"/>
      <c r="E702" s="52"/>
      <c r="F702" s="57"/>
      <c r="G702" s="53"/>
      <c r="H702" s="53"/>
      <c r="I702" s="53"/>
      <c r="J702" s="260"/>
    </row>
    <row r="703" spans="1:10" ht="16.5" x14ac:dyDescent="0.35">
      <c r="A703" s="416"/>
      <c r="B703" s="59" t="s">
        <v>146</v>
      </c>
      <c r="C703" s="60"/>
      <c r="D703" s="61">
        <f>SUM(D696:D702)</f>
        <v>25</v>
      </c>
      <c r="E703" s="61"/>
      <c r="F703" s="62"/>
      <c r="G703" s="63">
        <f>SUM(G696:G702)</f>
        <v>25</v>
      </c>
      <c r="H703" s="64"/>
      <c r="I703" s="53"/>
      <c r="J703" s="260"/>
    </row>
    <row r="704" spans="1:10" ht="16.5" x14ac:dyDescent="0.35">
      <c r="A704" s="416"/>
      <c r="B704" s="59" t="s">
        <v>147</v>
      </c>
      <c r="C704" s="60"/>
      <c r="D704" s="61">
        <v>0</v>
      </c>
      <c r="E704" s="62"/>
      <c r="F704" s="62"/>
      <c r="G704" s="63">
        <f>75.9/24</f>
        <v>3.1625000000000001</v>
      </c>
      <c r="H704" s="64"/>
      <c r="I704" s="53"/>
      <c r="J704" s="260"/>
    </row>
    <row r="705" spans="1:10" ht="15.75" x14ac:dyDescent="0.3">
      <c r="A705" s="416"/>
      <c r="B705" s="65" t="s">
        <v>148</v>
      </c>
      <c r="C705" s="66"/>
      <c r="D705" s="68">
        <f>30-D704-D703</f>
        <v>5</v>
      </c>
      <c r="E705" s="67"/>
      <c r="F705" s="67"/>
      <c r="G705" s="68">
        <f>30-G704-G703</f>
        <v>1.8374999999999986</v>
      </c>
      <c r="H705" s="69"/>
      <c r="I705" s="53"/>
      <c r="J705" s="260"/>
    </row>
    <row r="706" spans="1:10" ht="17.25" thickBot="1" x14ac:dyDescent="0.4">
      <c r="A706" s="417"/>
      <c r="B706" s="70" t="s">
        <v>149</v>
      </c>
      <c r="C706" s="71">
        <f>SUM(C696:C701)</f>
        <v>4950</v>
      </c>
      <c r="D706" s="71">
        <f>D703+D704+D705</f>
        <v>30</v>
      </c>
      <c r="E706" s="71">
        <f>E703+E704+E705</f>
        <v>0</v>
      </c>
      <c r="F706" s="72">
        <f>SUM(F696:F702)</f>
        <v>6279.6350000000002</v>
      </c>
      <c r="G706" s="71">
        <f>G703+G704+G705</f>
        <v>30</v>
      </c>
      <c r="H706" s="71"/>
      <c r="I706" s="73">
        <f>F706/C706</f>
        <v>1.2686131313131312</v>
      </c>
      <c r="J706" s="261"/>
    </row>
    <row r="707" spans="1:10" ht="15.75" x14ac:dyDescent="0.3">
      <c r="A707" s="421" t="s">
        <v>150</v>
      </c>
      <c r="B707" s="50" t="s">
        <v>154</v>
      </c>
      <c r="C707" s="76"/>
      <c r="D707" s="52"/>
      <c r="E707" s="52"/>
      <c r="F707" s="51"/>
      <c r="G707" s="52"/>
      <c r="H707" s="241"/>
      <c r="I707" s="91"/>
      <c r="J707" s="262"/>
    </row>
    <row r="708" spans="1:10" ht="15.75" x14ac:dyDescent="0.3">
      <c r="A708" s="422"/>
      <c r="B708" s="50" t="s">
        <v>366</v>
      </c>
      <c r="C708" s="76">
        <f>1424+2060</f>
        <v>3484</v>
      </c>
      <c r="D708" s="52">
        <v>10</v>
      </c>
      <c r="E708" s="52">
        <f>C708/D708</f>
        <v>348.4</v>
      </c>
      <c r="F708" s="52">
        <f>1321.714+1451</f>
        <v>2772.7139999999999</v>
      </c>
      <c r="G708" s="127">
        <f>2.5+1.5</f>
        <v>4</v>
      </c>
      <c r="H708" s="241">
        <f>F708/G708</f>
        <v>693.17849999999999</v>
      </c>
      <c r="I708" s="92"/>
      <c r="J708" s="263"/>
    </row>
    <row r="709" spans="1:10" ht="15.75" x14ac:dyDescent="0.3">
      <c r="A709" s="422"/>
      <c r="B709" s="50" t="s">
        <v>155</v>
      </c>
      <c r="C709" s="57">
        <v>300</v>
      </c>
      <c r="D709" s="58">
        <v>2</v>
      </c>
      <c r="E709" s="52">
        <f>C709/D709</f>
        <v>150</v>
      </c>
      <c r="F709" s="57"/>
      <c r="G709" s="52"/>
      <c r="H709" s="241"/>
      <c r="I709" s="92">
        <f>H709/E709</f>
        <v>0</v>
      </c>
      <c r="J709" s="263"/>
    </row>
    <row r="710" spans="1:10" ht="15.75" x14ac:dyDescent="0.3">
      <c r="A710" s="422"/>
      <c r="B710" s="78" t="s">
        <v>368</v>
      </c>
      <c r="C710" s="51">
        <v>460</v>
      </c>
      <c r="D710" s="52">
        <v>6</v>
      </c>
      <c r="E710" s="52">
        <f>C710/D710</f>
        <v>76.666666666666671</v>
      </c>
      <c r="F710" s="79">
        <f>57.3+72.283+230.2</f>
        <v>359.78300000000002</v>
      </c>
      <c r="G710" s="52">
        <v>7</v>
      </c>
      <c r="H710" s="241">
        <f>F710/G710</f>
        <v>51.397571428571432</v>
      </c>
      <c r="I710" s="92">
        <f>H710/E710</f>
        <v>0.67040310559006211</v>
      </c>
      <c r="J710" s="263"/>
    </row>
    <row r="711" spans="1:10" ht="15.75" x14ac:dyDescent="0.3">
      <c r="A711" s="422"/>
      <c r="B711" s="78" t="s">
        <v>213</v>
      </c>
      <c r="C711" s="51">
        <v>200</v>
      </c>
      <c r="D711" s="52">
        <v>2</v>
      </c>
      <c r="E711" s="52">
        <f>C711/D711</f>
        <v>100</v>
      </c>
      <c r="F711" s="51">
        <f>258.5+153</f>
        <v>411.5</v>
      </c>
      <c r="G711" s="52">
        <v>3.5</v>
      </c>
      <c r="H711" s="241">
        <f>F711/G711</f>
        <v>117.57142857142857</v>
      </c>
      <c r="I711" s="99"/>
      <c r="J711" s="263"/>
    </row>
    <row r="712" spans="1:10" ht="15.75" x14ac:dyDescent="0.3">
      <c r="A712" s="422"/>
      <c r="B712" s="78" t="s">
        <v>327</v>
      </c>
      <c r="C712" s="51"/>
      <c r="D712" s="52"/>
      <c r="E712" s="52"/>
      <c r="F712" s="52"/>
      <c r="G712" s="52"/>
      <c r="H712" s="241"/>
      <c r="I712" s="99"/>
      <c r="J712" s="263"/>
    </row>
    <row r="713" spans="1:10" ht="15.75" x14ac:dyDescent="0.3">
      <c r="A713" s="422"/>
      <c r="B713" s="78" t="s">
        <v>371</v>
      </c>
      <c r="C713" s="51"/>
      <c r="D713" s="52"/>
      <c r="E713" s="52"/>
      <c r="F713" s="79">
        <v>35</v>
      </c>
      <c r="G713" s="52">
        <v>1</v>
      </c>
      <c r="H713" s="241">
        <f>F713/G713</f>
        <v>35</v>
      </c>
      <c r="I713" s="92"/>
      <c r="J713" s="263"/>
    </row>
    <row r="714" spans="1:10" ht="15.75" x14ac:dyDescent="0.3">
      <c r="A714" s="422"/>
      <c r="B714" s="78" t="s">
        <v>328</v>
      </c>
      <c r="C714" s="51"/>
      <c r="D714" s="52"/>
      <c r="E714" s="52"/>
      <c r="F714" s="79"/>
      <c r="G714" s="52"/>
      <c r="H714" s="241"/>
      <c r="I714" s="99"/>
      <c r="J714" s="263"/>
    </row>
    <row r="715" spans="1:10" ht="15.75" x14ac:dyDescent="0.3">
      <c r="A715" s="422"/>
      <c r="B715" s="78" t="s">
        <v>367</v>
      </c>
      <c r="C715" s="51">
        <v>80</v>
      </c>
      <c r="D715" s="52">
        <v>1.5</v>
      </c>
      <c r="E715" s="52">
        <f t="shared" ref="E715" si="41">C715/D715</f>
        <v>53.333333333333336</v>
      </c>
      <c r="F715" s="51">
        <f>47+70</f>
        <v>117</v>
      </c>
      <c r="G715" s="52">
        <v>3</v>
      </c>
      <c r="H715" s="241">
        <f>F715/G715</f>
        <v>39</v>
      </c>
      <c r="I715" s="99"/>
      <c r="J715" s="263"/>
    </row>
    <row r="716" spans="1:10" ht="16.5" x14ac:dyDescent="0.35">
      <c r="A716" s="422"/>
      <c r="B716" s="59" t="s">
        <v>146</v>
      </c>
      <c r="C716" s="60"/>
      <c r="D716" s="61">
        <f>SUM(D707:D715)</f>
        <v>21.5</v>
      </c>
      <c r="E716" s="61"/>
      <c r="F716" s="62"/>
      <c r="G716" s="63">
        <f>SUM(G707:G715)</f>
        <v>18.5</v>
      </c>
      <c r="H716" s="242"/>
      <c r="I716" s="99"/>
      <c r="J716" s="263"/>
    </row>
    <row r="717" spans="1:10" ht="15.75" x14ac:dyDescent="0.3">
      <c r="A717" s="422"/>
      <c r="B717" s="65" t="s">
        <v>148</v>
      </c>
      <c r="C717" s="66"/>
      <c r="D717" s="81">
        <f>30-D716</f>
        <v>8.5</v>
      </c>
      <c r="E717" s="67"/>
      <c r="F717" s="67"/>
      <c r="G717" s="81">
        <f>30-G716</f>
        <v>11.5</v>
      </c>
      <c r="H717" s="243"/>
      <c r="I717" s="112"/>
      <c r="J717" s="263"/>
    </row>
    <row r="718" spans="1:10" ht="17.25" thickBot="1" x14ac:dyDescent="0.4">
      <c r="A718" s="423"/>
      <c r="B718" s="70" t="s">
        <v>149</v>
      </c>
      <c r="C718" s="71">
        <f>SUM(C707:C715)</f>
        <v>4524</v>
      </c>
      <c r="D718" s="71">
        <f>D716+D717</f>
        <v>30</v>
      </c>
      <c r="E718" s="71"/>
      <c r="F718" s="71">
        <f>SUM(F707:F715)</f>
        <v>3695.9969999999998</v>
      </c>
      <c r="G718" s="71">
        <f>G716+G717</f>
        <v>30</v>
      </c>
      <c r="H718" s="82"/>
      <c r="I718" s="73">
        <f>F718/C718</f>
        <v>0.81697546419098144</v>
      </c>
      <c r="J718" s="264"/>
    </row>
    <row r="719" spans="1:10" ht="15.75" x14ac:dyDescent="0.3">
      <c r="A719" s="421" t="s">
        <v>161</v>
      </c>
      <c r="B719" s="50" t="s">
        <v>199</v>
      </c>
      <c r="C719" s="51"/>
      <c r="D719" s="83"/>
      <c r="E719" s="52"/>
      <c r="F719" s="51">
        <v>190.19900000000001</v>
      </c>
      <c r="G719" s="83">
        <v>2.5</v>
      </c>
      <c r="H719" s="53">
        <f t="shared" ref="H719" si="42">F719/G719</f>
        <v>76.079599999999999</v>
      </c>
      <c r="I719" s="92"/>
      <c r="J719" s="265"/>
    </row>
    <row r="720" spans="1:10" ht="15.75" x14ac:dyDescent="0.3">
      <c r="A720" s="422"/>
      <c r="B720" s="50" t="s">
        <v>215</v>
      </c>
      <c r="C720" s="76"/>
      <c r="D720" s="52"/>
      <c r="E720" s="52"/>
      <c r="F720" s="51"/>
      <c r="G720" s="52"/>
      <c r="H720" s="53"/>
      <c r="I720" s="92"/>
      <c r="J720" s="266"/>
    </row>
    <row r="721" spans="1:10" ht="15.75" x14ac:dyDescent="0.3">
      <c r="A721" s="422"/>
      <c r="B721" s="50" t="s">
        <v>216</v>
      </c>
      <c r="C721" s="76"/>
      <c r="D721" s="84"/>
      <c r="E721" s="52"/>
      <c r="F721" s="57"/>
      <c r="G721" s="52"/>
      <c r="H721" s="53"/>
      <c r="I721" s="92"/>
      <c r="J721" s="266"/>
    </row>
    <row r="722" spans="1:10" ht="16.5" thickBot="1" x14ac:dyDescent="0.35">
      <c r="A722" s="422"/>
      <c r="B722" s="50" t="s">
        <v>239</v>
      </c>
      <c r="C722" s="76"/>
      <c r="D722" s="84"/>
      <c r="E722" s="52"/>
      <c r="F722" s="57"/>
      <c r="G722" s="52"/>
      <c r="H722" s="53"/>
      <c r="I722" s="92"/>
      <c r="J722" s="266"/>
    </row>
    <row r="723" spans="1:10" ht="15.75" x14ac:dyDescent="0.3">
      <c r="A723" s="422"/>
      <c r="B723" s="50" t="s">
        <v>218</v>
      </c>
      <c r="C723" s="76">
        <v>350</v>
      </c>
      <c r="D723" s="83">
        <v>4</v>
      </c>
      <c r="E723" s="52">
        <f t="shared" ref="E723:E725" si="43">C723/D723</f>
        <v>87.5</v>
      </c>
      <c r="F723" s="76">
        <v>114</v>
      </c>
      <c r="G723" s="90">
        <v>2</v>
      </c>
      <c r="H723" s="53">
        <f t="shared" ref="H723:H725" si="44">F723/G723</f>
        <v>57</v>
      </c>
      <c r="I723" s="92">
        <f>H723/E723</f>
        <v>0.65142857142857147</v>
      </c>
      <c r="J723" s="266"/>
    </row>
    <row r="724" spans="1:10" ht="15.75" x14ac:dyDescent="0.3">
      <c r="A724" s="422"/>
      <c r="B724" s="50" t="s">
        <v>232</v>
      </c>
      <c r="C724" s="76"/>
      <c r="D724" s="84"/>
      <c r="E724" s="52"/>
      <c r="F724" s="51">
        <v>254.63200000000001</v>
      </c>
      <c r="G724" s="52">
        <v>2</v>
      </c>
      <c r="H724" s="53">
        <f t="shared" si="44"/>
        <v>127.316</v>
      </c>
      <c r="I724" s="92"/>
      <c r="J724" s="266"/>
    </row>
    <row r="725" spans="1:10" ht="15.75" x14ac:dyDescent="0.3">
      <c r="A725" s="422"/>
      <c r="B725" s="50" t="s">
        <v>167</v>
      </c>
      <c r="C725" s="76">
        <v>270</v>
      </c>
      <c r="D725" s="84">
        <v>4</v>
      </c>
      <c r="E725" s="52">
        <f t="shared" si="43"/>
        <v>67.5</v>
      </c>
      <c r="F725" s="57">
        <v>240.71599999999998</v>
      </c>
      <c r="G725" s="52">
        <v>4</v>
      </c>
      <c r="H725" s="53">
        <f t="shared" si="44"/>
        <v>60.178999999999995</v>
      </c>
      <c r="I725" s="92">
        <f t="shared" ref="I725" si="45">H725/E725</f>
        <v>0.89154074074074063</v>
      </c>
      <c r="J725" s="266"/>
    </row>
    <row r="726" spans="1:10" ht="15.75" x14ac:dyDescent="0.3">
      <c r="A726" s="422"/>
      <c r="B726" s="50" t="s">
        <v>168</v>
      </c>
      <c r="C726" s="76"/>
      <c r="D726" s="84"/>
      <c r="E726" s="52"/>
      <c r="F726" s="57"/>
      <c r="G726" s="52"/>
      <c r="H726" s="86"/>
      <c r="I726" s="92"/>
      <c r="J726" s="266"/>
    </row>
    <row r="727" spans="1:10" ht="15.75" x14ac:dyDescent="0.3">
      <c r="A727" s="422"/>
      <c r="B727" s="50" t="s">
        <v>217</v>
      </c>
      <c r="C727" s="76">
        <v>70</v>
      </c>
      <c r="D727" s="84">
        <v>2</v>
      </c>
      <c r="E727" s="52">
        <f t="shared" ref="E727" si="46">C727/D727</f>
        <v>35</v>
      </c>
      <c r="F727" s="57">
        <v>92.650999999999996</v>
      </c>
      <c r="G727" s="90">
        <v>1.5</v>
      </c>
      <c r="H727" s="53">
        <f t="shared" ref="H727" si="47">F727/G727</f>
        <v>61.767333333333333</v>
      </c>
      <c r="I727" s="92">
        <f>H727/E727</f>
        <v>1.7647809523809523</v>
      </c>
      <c r="J727" s="266"/>
    </row>
    <row r="728" spans="1:10" ht="15.75" x14ac:dyDescent="0.3">
      <c r="A728" s="422"/>
      <c r="B728" s="50"/>
      <c r="C728" s="76"/>
      <c r="D728" s="84"/>
      <c r="E728" s="84"/>
      <c r="F728" s="57"/>
      <c r="G728" s="52"/>
      <c r="H728" s="86"/>
      <c r="I728" s="92"/>
      <c r="J728" s="266"/>
    </row>
    <row r="729" spans="1:10" ht="16.5" x14ac:dyDescent="0.35">
      <c r="A729" s="422"/>
      <c r="B729" s="59" t="s">
        <v>146</v>
      </c>
      <c r="C729" s="61">
        <f>SUM(C719:C727)</f>
        <v>690</v>
      </c>
      <c r="D729" s="61">
        <f>SUM(D719:D727)</f>
        <v>10</v>
      </c>
      <c r="E729" s="61"/>
      <c r="F729" s="62"/>
      <c r="G729" s="63">
        <f>SUM(G719:G727)</f>
        <v>12</v>
      </c>
      <c r="H729" s="64"/>
      <c r="I729" s="92"/>
      <c r="J729" s="266"/>
    </row>
    <row r="730" spans="1:10" ht="15.75" x14ac:dyDescent="0.3">
      <c r="A730" s="422"/>
      <c r="B730" s="65" t="s">
        <v>148</v>
      </c>
      <c r="C730" s="66"/>
      <c r="D730" s="67">
        <f>31-D729</f>
        <v>21</v>
      </c>
      <c r="E730" s="67"/>
      <c r="F730" s="67"/>
      <c r="G730" s="67">
        <f>31-G729</f>
        <v>19</v>
      </c>
      <c r="H730" s="87"/>
      <c r="I730" s="92"/>
      <c r="J730" s="266"/>
    </row>
    <row r="731" spans="1:10" ht="17.25" thickBot="1" x14ac:dyDescent="0.4">
      <c r="A731" s="423"/>
      <c r="B731" s="70" t="s">
        <v>149</v>
      </c>
      <c r="C731" s="71">
        <f>SUM(C719:C727)</f>
        <v>690</v>
      </c>
      <c r="D731" s="71">
        <f>D729+D730</f>
        <v>31</v>
      </c>
      <c r="E731" s="71">
        <f>SUM(E719:E727)</f>
        <v>190</v>
      </c>
      <c r="F731" s="71">
        <f>SUM(F719:F727)</f>
        <v>892.19799999999998</v>
      </c>
      <c r="G731" s="71">
        <f>G730+G729</f>
        <v>31</v>
      </c>
      <c r="H731" s="82"/>
      <c r="I731" s="73">
        <f>F731/C731</f>
        <v>1.293040579710145</v>
      </c>
      <c r="J731" s="267"/>
    </row>
    <row r="732" spans="1:10" ht="15.75" x14ac:dyDescent="0.3">
      <c r="A732" s="421" t="s">
        <v>169</v>
      </c>
      <c r="B732" s="88" t="s">
        <v>170</v>
      </c>
      <c r="C732" s="89">
        <v>560</v>
      </c>
      <c r="D732" s="52">
        <v>9</v>
      </c>
      <c r="E732" s="52">
        <f>C732/D732</f>
        <v>62.222222222222221</v>
      </c>
      <c r="F732" s="51">
        <f>250.292+95.53</f>
        <v>345.822</v>
      </c>
      <c r="G732" s="52">
        <v>5.5</v>
      </c>
      <c r="H732" s="53">
        <f>F732/G732</f>
        <v>62.876727272727273</v>
      </c>
      <c r="I732" s="92">
        <f>H732/E732</f>
        <v>1.0105188311688311</v>
      </c>
      <c r="J732" s="265"/>
    </row>
    <row r="733" spans="1:10" ht="15.75" x14ac:dyDescent="0.3">
      <c r="A733" s="422"/>
      <c r="B733" s="244" t="s">
        <v>331</v>
      </c>
      <c r="C733" s="51"/>
      <c r="D733" s="52"/>
      <c r="E733" s="52"/>
      <c r="F733" s="51"/>
      <c r="G733" s="52"/>
      <c r="H733" s="53"/>
      <c r="I733" s="92"/>
      <c r="J733" s="266"/>
    </row>
    <row r="734" spans="1:10" ht="15.75" x14ac:dyDescent="0.3">
      <c r="A734" s="422"/>
      <c r="B734" s="80" t="s">
        <v>332</v>
      </c>
      <c r="C734" s="76">
        <v>180</v>
      </c>
      <c r="D734" s="52">
        <v>3</v>
      </c>
      <c r="E734" s="52">
        <f t="shared" ref="E734" si="48">C734/D734</f>
        <v>60</v>
      </c>
      <c r="F734" s="57"/>
      <c r="G734" s="52"/>
      <c r="H734" s="53"/>
      <c r="I734" s="92"/>
      <c r="J734" s="266"/>
    </row>
    <row r="735" spans="1:10" ht="15.75" x14ac:dyDescent="0.3">
      <c r="A735" s="422"/>
      <c r="B735" s="80" t="s">
        <v>159</v>
      </c>
      <c r="C735" s="76">
        <v>310</v>
      </c>
      <c r="D735" s="52">
        <v>4.5</v>
      </c>
      <c r="E735" s="52">
        <f>C735/D735</f>
        <v>68.888888888888886</v>
      </c>
      <c r="F735" s="57">
        <f>310.131+150</f>
        <v>460.13099999999997</v>
      </c>
      <c r="G735" s="52">
        <v>8</v>
      </c>
      <c r="H735" s="53">
        <f>F735/G735</f>
        <v>57.516374999999996</v>
      </c>
      <c r="I735" s="92">
        <f t="shared" ref="I735" si="49">H735/E735</f>
        <v>0.8349151209677419</v>
      </c>
      <c r="J735" s="266"/>
    </row>
    <row r="736" spans="1:10" ht="15.75" x14ac:dyDescent="0.3">
      <c r="A736" s="422"/>
      <c r="B736" s="80" t="s">
        <v>220</v>
      </c>
      <c r="C736" s="76"/>
      <c r="D736" s="52"/>
      <c r="E736" s="52"/>
      <c r="F736" s="57"/>
      <c r="G736" s="52"/>
      <c r="H736" s="53"/>
      <c r="I736" s="92"/>
      <c r="J736" s="266"/>
    </row>
    <row r="737" spans="1:10" ht="15.75" x14ac:dyDescent="0.3">
      <c r="A737" s="422"/>
      <c r="B737" s="80" t="s">
        <v>221</v>
      </c>
      <c r="C737" s="76"/>
      <c r="D737" s="52"/>
      <c r="E737" s="52"/>
      <c r="F737" s="57"/>
      <c r="G737" s="52"/>
      <c r="H737" s="53"/>
      <c r="I737" s="53"/>
      <c r="J737" s="266"/>
    </row>
    <row r="738" spans="1:10" ht="15.75" x14ac:dyDescent="0.3">
      <c r="A738" s="422"/>
      <c r="B738" s="80" t="s">
        <v>175</v>
      </c>
      <c r="C738" s="76"/>
      <c r="D738" s="52"/>
      <c r="E738" s="52"/>
      <c r="F738" s="57"/>
      <c r="G738" s="52"/>
      <c r="H738" s="53"/>
      <c r="I738" s="92"/>
      <c r="J738" s="266"/>
    </row>
    <row r="739" spans="1:10" ht="15.75" x14ac:dyDescent="0.3">
      <c r="A739" s="422"/>
      <c r="B739" s="80" t="s">
        <v>372</v>
      </c>
      <c r="C739" s="76"/>
      <c r="D739" s="52"/>
      <c r="E739" s="52"/>
      <c r="F739" s="57">
        <v>68.733999999999995</v>
      </c>
      <c r="G739" s="52">
        <v>1.5</v>
      </c>
      <c r="H739" s="53">
        <f>F739/G739</f>
        <v>45.822666666666663</v>
      </c>
      <c r="I739" s="92"/>
      <c r="J739" s="266"/>
    </row>
    <row r="740" spans="1:10" ht="15.75" x14ac:dyDescent="0.3">
      <c r="A740" s="422"/>
      <c r="B740" s="80" t="s">
        <v>369</v>
      </c>
      <c r="C740" s="76">
        <f>250</f>
        <v>250</v>
      </c>
      <c r="D740" s="52">
        <v>5</v>
      </c>
      <c r="E740" s="52">
        <f>C740/D740</f>
        <v>50</v>
      </c>
      <c r="F740" s="52">
        <f>403.42+123.5</f>
        <v>526.92000000000007</v>
      </c>
      <c r="G740" s="52">
        <f>2+5.5</f>
        <v>7.5</v>
      </c>
      <c r="H740" s="53">
        <f>F740/G740</f>
        <v>70.256000000000014</v>
      </c>
      <c r="I740" s="92">
        <f>H740/E740</f>
        <v>1.4051200000000004</v>
      </c>
      <c r="J740" s="266"/>
    </row>
    <row r="741" spans="1:10" ht="16.5" x14ac:dyDescent="0.35">
      <c r="A741" s="422"/>
      <c r="B741" s="59" t="s">
        <v>146</v>
      </c>
      <c r="C741" s="61">
        <f>SUM(C732:C740)</f>
        <v>1300</v>
      </c>
      <c r="D741" s="61">
        <f>SUM(D732:D740)</f>
        <v>21.5</v>
      </c>
      <c r="E741" s="61"/>
      <c r="F741" s="62"/>
      <c r="G741" s="63">
        <f>SUM(G732:G740)</f>
        <v>22.5</v>
      </c>
      <c r="H741" s="64"/>
      <c r="I741" s="92"/>
      <c r="J741" s="266"/>
    </row>
    <row r="742" spans="1:10" ht="15.75" x14ac:dyDescent="0.3">
      <c r="A742" s="422"/>
      <c r="B742" s="65" t="s">
        <v>148</v>
      </c>
      <c r="C742" s="66"/>
      <c r="D742" s="68">
        <f>30-D741</f>
        <v>8.5</v>
      </c>
      <c r="E742" s="67"/>
      <c r="F742" s="67"/>
      <c r="G742" s="81">
        <f>30-G741</f>
        <v>7.5</v>
      </c>
      <c r="H742" s="87"/>
      <c r="I742" s="92"/>
      <c r="J742" s="266"/>
    </row>
    <row r="743" spans="1:10" ht="17.25" thickBot="1" x14ac:dyDescent="0.4">
      <c r="A743" s="423"/>
      <c r="B743" s="70" t="s">
        <v>149</v>
      </c>
      <c r="C743" s="71">
        <f>SUM(C732:C740)</f>
        <v>1300</v>
      </c>
      <c r="D743" s="71">
        <f>D741+D742</f>
        <v>30</v>
      </c>
      <c r="E743" s="71"/>
      <c r="F743" s="71">
        <f>SUM(F732:F740)</f>
        <v>1401.607</v>
      </c>
      <c r="G743" s="71">
        <f>G741+G742</f>
        <v>30</v>
      </c>
      <c r="H743" s="58"/>
      <c r="I743" s="73">
        <f>F743/C743</f>
        <v>1.0781592307692307</v>
      </c>
      <c r="J743" s="267"/>
    </row>
    <row r="744" spans="1:10" ht="15.75" x14ac:dyDescent="0.3">
      <c r="A744" s="406" t="s">
        <v>176</v>
      </c>
      <c r="B744" s="80" t="s">
        <v>177</v>
      </c>
      <c r="C744" s="76">
        <v>396</v>
      </c>
      <c r="D744" s="52">
        <v>5</v>
      </c>
      <c r="E744" s="52">
        <f>C744/D744</f>
        <v>79.2</v>
      </c>
      <c r="F744" s="51">
        <v>645.755</v>
      </c>
      <c r="G744" s="93">
        <v>9.5</v>
      </c>
      <c r="H744" s="53">
        <f t="shared" ref="H744:H745" si="50">F744/G744</f>
        <v>67.974210526315787</v>
      </c>
      <c r="I744" s="92">
        <f>H744/E744</f>
        <v>0.85826023391812856</v>
      </c>
      <c r="J744" s="268"/>
    </row>
    <row r="745" spans="1:10" ht="15.75" x14ac:dyDescent="0.3">
      <c r="A745" s="407"/>
      <c r="B745" s="80" t="s">
        <v>363</v>
      </c>
      <c r="C745" s="76">
        <f>780</f>
        <v>780</v>
      </c>
      <c r="D745" s="84">
        <v>8</v>
      </c>
      <c r="E745" s="52">
        <f>C745/D745</f>
        <v>97.5</v>
      </c>
      <c r="F745" s="93">
        <f>567+220.3925</f>
        <v>787.39250000000004</v>
      </c>
      <c r="G745" s="93">
        <f>5.5+3</f>
        <v>8.5</v>
      </c>
      <c r="H745" s="53">
        <f t="shared" si="50"/>
        <v>92.634411764705888</v>
      </c>
      <c r="I745" s="92">
        <f>H745/E745</f>
        <v>0.95009653092006041</v>
      </c>
      <c r="J745" s="269"/>
    </row>
    <row r="746" spans="1:10" ht="15.75" x14ac:dyDescent="0.3">
      <c r="A746" s="407"/>
      <c r="B746" s="80" t="s">
        <v>204</v>
      </c>
      <c r="C746" s="76"/>
      <c r="D746" s="52"/>
      <c r="E746" s="52"/>
      <c r="F746" s="51"/>
      <c r="G746" s="93"/>
      <c r="H746" s="53"/>
      <c r="I746" s="92"/>
      <c r="J746" s="269"/>
    </row>
    <row r="747" spans="1:10" ht="15.75" x14ac:dyDescent="0.3">
      <c r="A747" s="407"/>
      <c r="B747" s="80" t="s">
        <v>233</v>
      </c>
      <c r="C747" s="76">
        <v>120</v>
      </c>
      <c r="D747" s="52">
        <v>2</v>
      </c>
      <c r="E747" s="52">
        <f>C747/D747</f>
        <v>60</v>
      </c>
      <c r="F747" s="51">
        <v>141.78749999999999</v>
      </c>
      <c r="G747" s="93">
        <v>2.5</v>
      </c>
      <c r="H747" s="53">
        <f t="shared" ref="H747:H748" si="51">F747/G747</f>
        <v>56.714999999999996</v>
      </c>
      <c r="I747" s="92">
        <f>H747/E747</f>
        <v>0.94524999999999992</v>
      </c>
      <c r="J747" s="269"/>
    </row>
    <row r="748" spans="1:10" ht="15.75" x14ac:dyDescent="0.3">
      <c r="A748" s="407"/>
      <c r="B748" s="80" t="s">
        <v>181</v>
      </c>
      <c r="C748" s="51">
        <v>630</v>
      </c>
      <c r="D748" s="52">
        <v>7</v>
      </c>
      <c r="E748" s="52">
        <f>C748/D748</f>
        <v>90</v>
      </c>
      <c r="F748" s="51">
        <v>602.97</v>
      </c>
      <c r="G748" s="93">
        <v>7</v>
      </c>
      <c r="H748" s="53">
        <f t="shared" si="51"/>
        <v>86.138571428571439</v>
      </c>
      <c r="I748" s="92">
        <f>H748/E748</f>
        <v>0.95709523809523822</v>
      </c>
      <c r="J748" s="269"/>
    </row>
    <row r="749" spans="1:10" ht="15.75" x14ac:dyDescent="0.3">
      <c r="A749" s="407"/>
      <c r="B749" s="121" t="s">
        <v>352</v>
      </c>
      <c r="C749" s="94">
        <v>180</v>
      </c>
      <c r="D749" s="86">
        <v>3</v>
      </c>
      <c r="E749" s="86">
        <f>C749/D749</f>
        <v>60</v>
      </c>
      <c r="F749" s="95"/>
      <c r="G749" s="96"/>
      <c r="H749" s="53"/>
      <c r="I749" s="92"/>
      <c r="J749" s="269"/>
    </row>
    <row r="750" spans="1:10" ht="16.5" x14ac:dyDescent="0.35">
      <c r="A750" s="407"/>
      <c r="B750" s="59" t="s">
        <v>146</v>
      </c>
      <c r="C750" s="60"/>
      <c r="D750" s="61">
        <f>SUM(D744:D749)</f>
        <v>25</v>
      </c>
      <c r="E750" s="61"/>
      <c r="F750" s="62"/>
      <c r="G750" s="61">
        <f>SUM(G744:G749)</f>
        <v>27.5</v>
      </c>
      <c r="H750" s="61"/>
      <c r="I750" s="92"/>
      <c r="J750" s="269"/>
    </row>
    <row r="751" spans="1:10" ht="15.75" x14ac:dyDescent="0.3">
      <c r="A751" s="407"/>
      <c r="B751" s="65" t="s">
        <v>148</v>
      </c>
      <c r="C751" s="66"/>
      <c r="D751" s="68">
        <f>30-D750</f>
        <v>5</v>
      </c>
      <c r="E751" s="67"/>
      <c r="F751" s="67"/>
      <c r="G751" s="68">
        <f>30-G750</f>
        <v>2.5</v>
      </c>
      <c r="H751" s="97"/>
      <c r="I751" s="92"/>
      <c r="J751" s="269"/>
    </row>
    <row r="752" spans="1:10" ht="17.25" thickBot="1" x14ac:dyDescent="0.4">
      <c r="A752" s="408"/>
      <c r="B752" s="70" t="s">
        <v>149</v>
      </c>
      <c r="C752" s="71">
        <f>SUM(C744:C749)</f>
        <v>2106</v>
      </c>
      <c r="D752" s="71">
        <f>D751+D750</f>
        <v>30</v>
      </c>
      <c r="E752" s="98"/>
      <c r="F752" s="71">
        <f>SUM(F744:F749)</f>
        <v>2177.9049999999997</v>
      </c>
      <c r="G752" s="71">
        <f>G751+G750</f>
        <v>30</v>
      </c>
      <c r="H752" s="99"/>
      <c r="I752" s="73">
        <f>F752/C752</f>
        <v>1.0341429249762581</v>
      </c>
      <c r="J752" s="270"/>
    </row>
    <row r="753" spans="1:10" ht="15.75" x14ac:dyDescent="0.3">
      <c r="A753" s="406" t="s">
        <v>183</v>
      </c>
      <c r="B753" s="50" t="s">
        <v>77</v>
      </c>
      <c r="C753" s="51"/>
      <c r="D753" s="52"/>
      <c r="E753" s="52"/>
      <c r="F753" s="51">
        <v>429.50900000000001</v>
      </c>
      <c r="G753" s="93">
        <v>3</v>
      </c>
      <c r="H753" s="96">
        <f>F753/G753</f>
        <v>143.16966666666667</v>
      </c>
      <c r="I753" s="92"/>
      <c r="J753" s="271"/>
    </row>
    <row r="754" spans="1:10" ht="15.75" x14ac:dyDescent="0.3">
      <c r="A754" s="407"/>
      <c r="B754" s="50" t="s">
        <v>243</v>
      </c>
      <c r="C754" s="51">
        <v>480</v>
      </c>
      <c r="D754" s="52">
        <v>4</v>
      </c>
      <c r="E754" s="52">
        <f t="shared" ref="E754:E755" si="52">C754/D754</f>
        <v>120</v>
      </c>
      <c r="F754" s="57">
        <v>445.70800000000003</v>
      </c>
      <c r="G754" s="93">
        <v>3.5</v>
      </c>
      <c r="H754" s="96">
        <f>F754/G754</f>
        <v>127.34514285714286</v>
      </c>
      <c r="I754" s="92">
        <f>H754/E754</f>
        <v>1.0612095238095238</v>
      </c>
      <c r="J754" s="272"/>
    </row>
    <row r="755" spans="1:10" ht="15.75" x14ac:dyDescent="0.3">
      <c r="A755" s="407"/>
      <c r="B755" s="50" t="s">
        <v>184</v>
      </c>
      <c r="C755" s="51">
        <v>1950</v>
      </c>
      <c r="D755" s="52">
        <v>11</v>
      </c>
      <c r="E755" s="52">
        <f t="shared" si="52"/>
        <v>177.27272727272728</v>
      </c>
      <c r="F755" s="51">
        <v>1112.3439999999998</v>
      </c>
      <c r="G755" s="93">
        <v>6.5</v>
      </c>
      <c r="H755" s="96">
        <f>F755/G755</f>
        <v>171.12984615384613</v>
      </c>
      <c r="I755" s="92">
        <f>H755/E755</f>
        <v>0.96534785009861912</v>
      </c>
      <c r="J755" s="272"/>
    </row>
    <row r="756" spans="1:10" ht="15.75" x14ac:dyDescent="0.3">
      <c r="A756" s="407"/>
      <c r="B756" s="50" t="s">
        <v>186</v>
      </c>
      <c r="C756" s="51"/>
      <c r="D756" s="52"/>
      <c r="E756" s="52"/>
      <c r="F756" s="51"/>
      <c r="G756" s="93"/>
      <c r="H756" s="96"/>
      <c r="I756" s="92"/>
      <c r="J756" s="272"/>
    </row>
    <row r="757" spans="1:10" ht="15.75" x14ac:dyDescent="0.3">
      <c r="A757" s="407"/>
      <c r="B757" s="50" t="s">
        <v>226</v>
      </c>
      <c r="C757" s="51"/>
      <c r="D757" s="52"/>
      <c r="E757" s="52"/>
      <c r="F757" s="57"/>
      <c r="G757" s="93"/>
      <c r="H757" s="96"/>
      <c r="I757" s="92"/>
      <c r="J757" s="272"/>
    </row>
    <row r="758" spans="1:10" ht="15.75" x14ac:dyDescent="0.3">
      <c r="A758" s="407"/>
      <c r="B758" s="101" t="s">
        <v>79</v>
      </c>
      <c r="C758" s="95"/>
      <c r="D758" s="102"/>
      <c r="E758" s="52"/>
      <c r="F758" s="95"/>
      <c r="G758" s="103"/>
      <c r="H758" s="99"/>
      <c r="I758" s="92"/>
      <c r="J758" s="272"/>
    </row>
    <row r="759" spans="1:10" ht="16.5" x14ac:dyDescent="0.35">
      <c r="A759" s="407"/>
      <c r="B759" s="59" t="s">
        <v>146</v>
      </c>
      <c r="C759" s="60"/>
      <c r="D759" s="61">
        <f>SUM(D753:D758)</f>
        <v>15</v>
      </c>
      <c r="E759" s="61"/>
      <c r="F759" s="62"/>
      <c r="G759" s="60">
        <f>SUM(G753:G758)</f>
        <v>13</v>
      </c>
      <c r="H759" s="61"/>
      <c r="I759" s="92"/>
      <c r="J759" s="272"/>
    </row>
    <row r="760" spans="1:10" ht="16.5" x14ac:dyDescent="0.35">
      <c r="A760" s="407"/>
      <c r="B760" s="130" t="s">
        <v>244</v>
      </c>
      <c r="C760" s="131"/>
      <c r="D760" s="132"/>
      <c r="E760" s="133"/>
      <c r="F760" s="133"/>
      <c r="G760" s="132"/>
      <c r="H760" s="134"/>
      <c r="I760" s="92"/>
      <c r="J760" s="272"/>
    </row>
    <row r="761" spans="1:10" ht="15.75" x14ac:dyDescent="0.3">
      <c r="A761" s="407"/>
      <c r="B761" s="65" t="s">
        <v>148</v>
      </c>
      <c r="C761" s="66"/>
      <c r="D761" s="68">
        <f>D759+D760</f>
        <v>15</v>
      </c>
      <c r="E761" s="67"/>
      <c r="F761" s="67"/>
      <c r="G761" s="81">
        <f>30-G759-G760</f>
        <v>17</v>
      </c>
      <c r="H761" s="97"/>
      <c r="I761" s="92"/>
      <c r="J761" s="272"/>
    </row>
    <row r="762" spans="1:10" ht="17.25" thickBot="1" x14ac:dyDescent="0.4">
      <c r="A762" s="408"/>
      <c r="B762" s="70" t="s">
        <v>149</v>
      </c>
      <c r="C762" s="71">
        <f>SUM(C753:C758)</f>
        <v>2430</v>
      </c>
      <c r="D762" s="71">
        <f>31-D761</f>
        <v>16</v>
      </c>
      <c r="E762" s="71"/>
      <c r="F762" s="71">
        <f>SUM(F753:F758)</f>
        <v>1987.5609999999999</v>
      </c>
      <c r="G762" s="104">
        <f>G761+G759+G760</f>
        <v>30</v>
      </c>
      <c r="H762" s="105"/>
      <c r="I762" s="73">
        <f>F762/C762</f>
        <v>0.81792633744855969</v>
      </c>
      <c r="J762" s="273"/>
    </row>
    <row r="763" spans="1:10" ht="15.75" x14ac:dyDescent="0.3">
      <c r="A763" s="406" t="s">
        <v>188</v>
      </c>
      <c r="B763" s="106" t="s">
        <v>184</v>
      </c>
      <c r="C763" s="76"/>
      <c r="D763" s="84"/>
      <c r="E763" s="52"/>
      <c r="F763" s="57"/>
      <c r="G763" s="93"/>
      <c r="H763" s="93"/>
      <c r="I763" s="107"/>
      <c r="J763" s="271"/>
    </row>
    <row r="764" spans="1:10" ht="15.75" x14ac:dyDescent="0.3">
      <c r="A764" s="407"/>
      <c r="B764" s="106" t="s">
        <v>77</v>
      </c>
      <c r="C764" s="76">
        <v>1300</v>
      </c>
      <c r="D764" s="84">
        <v>3.5</v>
      </c>
      <c r="E764" s="52">
        <f>C764/D764</f>
        <v>371.42857142857144</v>
      </c>
      <c r="F764" s="51">
        <v>924.61799999999994</v>
      </c>
      <c r="G764" s="93">
        <v>3</v>
      </c>
      <c r="H764" s="99">
        <f>F764/G764</f>
        <v>308.20599999999996</v>
      </c>
      <c r="I764" s="92">
        <f>H764/E764</f>
        <v>0.82978538461538442</v>
      </c>
      <c r="J764" s="272"/>
    </row>
    <row r="765" spans="1:10" ht="15.75" x14ac:dyDescent="0.3">
      <c r="A765" s="407"/>
      <c r="B765" s="245" t="s">
        <v>365</v>
      </c>
      <c r="C765" s="246">
        <v>2500</v>
      </c>
      <c r="D765" s="84">
        <v>7</v>
      </c>
      <c r="E765" s="52">
        <f>C765/D765</f>
        <v>357.14285714285717</v>
      </c>
      <c r="F765" s="95">
        <v>2449.2339999999995</v>
      </c>
      <c r="G765" s="53">
        <v>7.5</v>
      </c>
      <c r="H765" s="99">
        <f>F765/G765</f>
        <v>326.56453333333326</v>
      </c>
      <c r="I765" s="92">
        <f>H765/E765</f>
        <v>0.91438069333333305</v>
      </c>
      <c r="J765" s="272"/>
    </row>
    <row r="766" spans="1:10" ht="16.5" x14ac:dyDescent="0.35">
      <c r="A766" s="407"/>
      <c r="B766" s="65" t="s">
        <v>189</v>
      </c>
      <c r="C766" s="66"/>
      <c r="D766" s="108">
        <f>30-D765-D764-D763</f>
        <v>19.5</v>
      </c>
      <c r="E766" s="109"/>
      <c r="F766" s="109"/>
      <c r="G766" s="108">
        <f>30-G765-G764-G763</f>
        <v>19.5</v>
      </c>
      <c r="H766" s="68"/>
      <c r="I766" s="92"/>
      <c r="J766" s="272"/>
    </row>
    <row r="767" spans="1:10" ht="17.25" thickBot="1" x14ac:dyDescent="0.4">
      <c r="A767" s="408"/>
      <c r="B767" s="111" t="s">
        <v>149</v>
      </c>
      <c r="C767" s="82">
        <f>SUM(C763:C766)</f>
        <v>3800</v>
      </c>
      <c r="D767" s="82">
        <f>D766+SUM(D763:D765)</f>
        <v>30</v>
      </c>
      <c r="E767" s="82"/>
      <c r="F767" s="82">
        <f>SUM(F763:F766)</f>
        <v>3373.8519999999994</v>
      </c>
      <c r="G767" s="82">
        <f>G766+SUM(G763:G765)</f>
        <v>30</v>
      </c>
      <c r="H767" s="112"/>
      <c r="I767" s="73">
        <f>F767/C767</f>
        <v>0.88785578947368404</v>
      </c>
      <c r="J767" s="273"/>
    </row>
    <row r="768" spans="1:10" ht="15.75" x14ac:dyDescent="0.3">
      <c r="A768" s="406" t="s">
        <v>190</v>
      </c>
      <c r="B768" s="50"/>
      <c r="C768" s="51"/>
      <c r="D768" s="52"/>
      <c r="E768" s="52"/>
      <c r="F768" s="51"/>
      <c r="G768" s="93"/>
      <c r="H768" s="99"/>
      <c r="I768" s="92"/>
      <c r="J768" s="271"/>
    </row>
    <row r="769" spans="1:10" ht="15.75" x14ac:dyDescent="0.3">
      <c r="A769" s="407"/>
      <c r="B769" s="101" t="s">
        <v>206</v>
      </c>
      <c r="C769" s="95">
        <v>493</v>
      </c>
      <c r="D769" s="102">
        <v>29</v>
      </c>
      <c r="E769" s="86">
        <f>C769/D769</f>
        <v>17</v>
      </c>
      <c r="F769" s="95">
        <v>34</v>
      </c>
      <c r="G769" s="103">
        <v>2</v>
      </c>
      <c r="H769" s="99">
        <f>F769/G769</f>
        <v>17</v>
      </c>
      <c r="I769" s="92">
        <f>H769/E769</f>
        <v>1</v>
      </c>
      <c r="J769" s="272"/>
    </row>
    <row r="770" spans="1:10" ht="15.75" x14ac:dyDescent="0.3">
      <c r="A770" s="407"/>
      <c r="B770" s="101" t="s">
        <v>192</v>
      </c>
      <c r="C770" s="114"/>
      <c r="D770" s="102"/>
      <c r="E770" s="86"/>
      <c r="F770" s="95">
        <v>442</v>
      </c>
      <c r="G770" s="103">
        <v>26</v>
      </c>
      <c r="H770" s="99">
        <f>F770/G770</f>
        <v>17</v>
      </c>
      <c r="I770" s="92"/>
      <c r="J770" s="272"/>
    </row>
    <row r="771" spans="1:10" ht="16.5" x14ac:dyDescent="0.35">
      <c r="A771" s="407"/>
      <c r="B771" s="59" t="s">
        <v>146</v>
      </c>
      <c r="C771" s="60"/>
      <c r="D771" s="61">
        <f>SUM(D769:D770)</f>
        <v>29</v>
      </c>
      <c r="E771" s="61"/>
      <c r="F771" s="62"/>
      <c r="G771" s="61">
        <f>SUM(G769:G770)</f>
        <v>28</v>
      </c>
      <c r="H771" s="61"/>
      <c r="I771" s="92"/>
      <c r="J771" s="272"/>
    </row>
    <row r="772" spans="1:10" ht="15.75" x14ac:dyDescent="0.3">
      <c r="A772" s="407"/>
      <c r="B772" s="65" t="s">
        <v>148</v>
      </c>
      <c r="C772" s="66"/>
      <c r="D772" s="68">
        <f>31-D771</f>
        <v>2</v>
      </c>
      <c r="E772" s="67"/>
      <c r="F772" s="67"/>
      <c r="G772" s="81">
        <f>31-G771</f>
        <v>3</v>
      </c>
      <c r="H772" s="97"/>
      <c r="I772" s="92"/>
      <c r="J772" s="272"/>
    </row>
    <row r="773" spans="1:10" ht="17.25" thickBot="1" x14ac:dyDescent="0.4">
      <c r="A773" s="408"/>
      <c r="B773" s="70" t="s">
        <v>149</v>
      </c>
      <c r="C773" s="71">
        <f>SUM(C769:C770)</f>
        <v>493</v>
      </c>
      <c r="D773" s="71">
        <f>D772+D771</f>
        <v>31</v>
      </c>
      <c r="E773" s="71"/>
      <c r="F773" s="71">
        <f>SUM(F769:F770)</f>
        <v>476</v>
      </c>
      <c r="G773" s="71">
        <f>G772+G771</f>
        <v>31</v>
      </c>
      <c r="H773" s="105"/>
      <c r="I773" s="73">
        <f>F773/C773</f>
        <v>0.96551724137931039</v>
      </c>
      <c r="J773" s="273"/>
    </row>
    <row r="774" spans="1:10" ht="19.5" x14ac:dyDescent="0.3">
      <c r="A774" s="253"/>
      <c r="B774" s="101" t="s">
        <v>373</v>
      </c>
      <c r="C774" s="95">
        <v>440</v>
      </c>
      <c r="D774" s="102">
        <v>7.5</v>
      </c>
      <c r="E774" s="86">
        <f>C774/D774</f>
        <v>58.666666666666664</v>
      </c>
      <c r="F774" s="95">
        <v>208.13311400000006</v>
      </c>
      <c r="G774" s="103">
        <v>3</v>
      </c>
      <c r="H774" s="86">
        <f>F774/G774</f>
        <v>69.377704666666688</v>
      </c>
      <c r="I774" s="92">
        <f>H774/E774</f>
        <v>1.1825745113636368</v>
      </c>
      <c r="J774" s="271"/>
    </row>
    <row r="775" spans="1:10" ht="15.75" x14ac:dyDescent="0.3">
      <c r="A775" s="407" t="s">
        <v>194</v>
      </c>
      <c r="B775" s="101" t="s">
        <v>370</v>
      </c>
      <c r="C775" s="95">
        <v>180</v>
      </c>
      <c r="D775" s="102">
        <v>3.5</v>
      </c>
      <c r="E775" s="86">
        <f>C775/D775</f>
        <v>51.428571428571431</v>
      </c>
      <c r="F775" s="95"/>
      <c r="G775" s="103"/>
      <c r="H775" s="99"/>
      <c r="I775" s="92"/>
      <c r="J775" s="272"/>
    </row>
    <row r="776" spans="1:10" ht="15.75" x14ac:dyDescent="0.3">
      <c r="A776" s="407"/>
      <c r="B776" s="101" t="s">
        <v>208</v>
      </c>
      <c r="C776" s="114"/>
      <c r="D776" s="102"/>
      <c r="E776" s="86"/>
      <c r="F776" s="103">
        <v>305.43399999999997</v>
      </c>
      <c r="G776" s="103">
        <v>5.5</v>
      </c>
      <c r="H776" s="86">
        <f>F776/G776</f>
        <v>55.533454545454539</v>
      </c>
      <c r="I776" s="92"/>
      <c r="J776" s="272"/>
    </row>
    <row r="777" spans="1:10" ht="16.5" x14ac:dyDescent="0.35">
      <c r="A777" s="407"/>
      <c r="B777" s="59" t="s">
        <v>146</v>
      </c>
      <c r="C777" s="60"/>
      <c r="D777" s="61">
        <f>SUM(D774:D776)</f>
        <v>11</v>
      </c>
      <c r="E777" s="61"/>
      <c r="F777" s="62"/>
      <c r="G777" s="61">
        <f>SUM(G774:G776)</f>
        <v>8.5</v>
      </c>
      <c r="H777" s="61"/>
      <c r="I777" s="92"/>
      <c r="J777" s="272"/>
    </row>
    <row r="778" spans="1:10" ht="15.75" x14ac:dyDescent="0.3">
      <c r="A778" s="407"/>
      <c r="B778" s="65" t="s">
        <v>148</v>
      </c>
      <c r="C778" s="66"/>
      <c r="D778" s="68">
        <f>30-D777</f>
        <v>19</v>
      </c>
      <c r="E778" s="67"/>
      <c r="F778" s="67"/>
      <c r="G778" s="81">
        <f>30-G777</f>
        <v>21.5</v>
      </c>
      <c r="H778" s="97"/>
      <c r="I778" s="92"/>
      <c r="J778" s="272"/>
    </row>
    <row r="779" spans="1:10" ht="17.25" thickBot="1" x14ac:dyDescent="0.4">
      <c r="A779" s="408"/>
      <c r="B779" s="70" t="s">
        <v>149</v>
      </c>
      <c r="C779" s="71">
        <f>SUM(C774:C776)</f>
        <v>620</v>
      </c>
      <c r="D779" s="71">
        <f>D778+D777</f>
        <v>30</v>
      </c>
      <c r="E779" s="71"/>
      <c r="F779" s="71">
        <f>SUM(F774:F776)</f>
        <v>513.56711400000006</v>
      </c>
      <c r="G779" s="71">
        <f>G778+G777</f>
        <v>30</v>
      </c>
      <c r="H779" s="105"/>
      <c r="I779" s="73">
        <f>F779/C779</f>
        <v>0.82833405483870981</v>
      </c>
      <c r="J779" s="273"/>
    </row>
    <row r="780" spans="1:10" x14ac:dyDescent="0.25">
      <c r="J780" s="274"/>
    </row>
    <row r="781" spans="1:10" ht="21" x14ac:dyDescent="0.4">
      <c r="A781" s="37" t="s">
        <v>382</v>
      </c>
      <c r="B781" s="37"/>
      <c r="C781" s="37"/>
      <c r="D781" s="37"/>
      <c r="E781" s="37"/>
      <c r="F781" s="37"/>
      <c r="G781" s="37"/>
      <c r="H781" s="37"/>
      <c r="I781" s="37"/>
      <c r="J781" s="255"/>
    </row>
    <row r="782" spans="1:10" ht="17.25" thickBot="1" x14ac:dyDescent="0.4">
      <c r="A782" s="40"/>
      <c r="B782" s="41"/>
      <c r="C782" s="42"/>
      <c r="D782" s="42"/>
      <c r="E782" s="42"/>
      <c r="F782" s="42"/>
      <c r="G782" s="42"/>
      <c r="H782" s="42"/>
      <c r="I782" s="42"/>
      <c r="J782" s="256"/>
    </row>
    <row r="783" spans="1:10" ht="16.5" x14ac:dyDescent="0.35">
      <c r="A783" s="409" t="s">
        <v>128</v>
      </c>
      <c r="B783" s="44"/>
      <c r="C783" s="45"/>
      <c r="D783" s="45"/>
      <c r="E783" s="45"/>
      <c r="F783" s="45"/>
      <c r="G783" s="411" t="s">
        <v>129</v>
      </c>
      <c r="H783" s="333"/>
      <c r="I783" s="413" t="s">
        <v>130</v>
      </c>
      <c r="J783" s="257" t="s">
        <v>131</v>
      </c>
    </row>
    <row r="784" spans="1:10" ht="66.75" thickBot="1" x14ac:dyDescent="0.3">
      <c r="A784" s="410"/>
      <c r="B784" s="46"/>
      <c r="C784" s="47" t="s">
        <v>132</v>
      </c>
      <c r="D784" s="48" t="s">
        <v>133</v>
      </c>
      <c r="E784" s="48" t="s">
        <v>134</v>
      </c>
      <c r="F784" s="49" t="s">
        <v>135</v>
      </c>
      <c r="G784" s="412"/>
      <c r="H784" s="48" t="s">
        <v>136</v>
      </c>
      <c r="I784" s="414"/>
      <c r="J784" s="258"/>
    </row>
    <row r="785" spans="1:10" ht="15.75" x14ac:dyDescent="0.3">
      <c r="A785" s="415" t="s">
        <v>137</v>
      </c>
      <c r="B785" s="50" t="s">
        <v>340</v>
      </c>
      <c r="C785" s="51">
        <f>3500</f>
        <v>3500</v>
      </c>
      <c r="D785" s="123">
        <v>10</v>
      </c>
      <c r="E785" s="52">
        <f>C785/D785</f>
        <v>350</v>
      </c>
      <c r="F785" s="51">
        <v>4446.0050000000001</v>
      </c>
      <c r="G785" s="53">
        <v>13.5</v>
      </c>
      <c r="H785" s="53">
        <f>F785/G785</f>
        <v>329.33370370370369</v>
      </c>
      <c r="I785" s="54">
        <f>H785/E785</f>
        <v>0.9409534391534391</v>
      </c>
      <c r="J785" s="259"/>
    </row>
    <row r="786" spans="1:10" ht="15.75" x14ac:dyDescent="0.3">
      <c r="A786" s="416"/>
      <c r="B786" s="56" t="s">
        <v>140</v>
      </c>
      <c r="C786" s="57"/>
      <c r="D786" s="53"/>
      <c r="E786" s="52"/>
      <c r="F786" s="57"/>
      <c r="G786" s="53"/>
      <c r="H786" s="53"/>
      <c r="I786" s="54"/>
      <c r="J786" s="260" t="s">
        <v>386</v>
      </c>
    </row>
    <row r="787" spans="1:10" ht="15.75" x14ac:dyDescent="0.3">
      <c r="A787" s="416"/>
      <c r="B787" s="56" t="s">
        <v>325</v>
      </c>
      <c r="C787" s="57">
        <f>500+2050</f>
        <v>2550</v>
      </c>
      <c r="D787" s="58">
        <v>11</v>
      </c>
      <c r="E787" s="52">
        <f>C787/D787</f>
        <v>231.81818181818181</v>
      </c>
      <c r="F787" s="57">
        <f>2040.22+479.39</f>
        <v>2519.61</v>
      </c>
      <c r="G787" s="53">
        <f>11</f>
        <v>11</v>
      </c>
      <c r="H787" s="53">
        <f t="shared" ref="H787" si="53">F787/G787</f>
        <v>229.05545454545455</v>
      </c>
      <c r="I787" s="54">
        <f>H787/E787</f>
        <v>0.98808235294117652</v>
      </c>
      <c r="J787" s="260" t="s">
        <v>387</v>
      </c>
    </row>
    <row r="788" spans="1:10" ht="15.75" x14ac:dyDescent="0.3">
      <c r="A788" s="416"/>
      <c r="B788" s="56" t="s">
        <v>143</v>
      </c>
      <c r="C788" s="57"/>
      <c r="D788" s="58"/>
      <c r="E788" s="52"/>
      <c r="F788" s="57">
        <v>217.673</v>
      </c>
      <c r="G788" s="53">
        <v>2</v>
      </c>
      <c r="H788" s="53"/>
      <c r="I788" s="54"/>
      <c r="J788" s="260"/>
    </row>
    <row r="789" spans="1:10" ht="15.75" x14ac:dyDescent="0.3">
      <c r="A789" s="416"/>
      <c r="B789" s="56" t="s">
        <v>144</v>
      </c>
      <c r="C789" s="57"/>
      <c r="D789" s="58"/>
      <c r="E789" s="52"/>
      <c r="F789" s="57"/>
      <c r="G789" s="53"/>
      <c r="H789" s="53"/>
      <c r="I789" s="53"/>
      <c r="J789" s="260"/>
    </row>
    <row r="790" spans="1:10" ht="15.75" x14ac:dyDescent="0.3">
      <c r="A790" s="416"/>
      <c r="B790" s="56" t="s">
        <v>145</v>
      </c>
      <c r="C790" s="57">
        <v>610</v>
      </c>
      <c r="D790" s="58">
        <v>5</v>
      </c>
      <c r="E790" s="52">
        <f>C790/D790</f>
        <v>122</v>
      </c>
      <c r="F790" s="57"/>
      <c r="G790" s="53"/>
      <c r="H790" s="53"/>
      <c r="I790" s="54"/>
      <c r="J790" s="260"/>
    </row>
    <row r="791" spans="1:10" ht="15.75" x14ac:dyDescent="0.3">
      <c r="A791" s="416"/>
      <c r="B791" s="50"/>
      <c r="C791" s="57"/>
      <c r="D791" s="58"/>
      <c r="E791" s="52"/>
      <c r="F791" s="57"/>
      <c r="G791" s="53"/>
      <c r="H791" s="53"/>
      <c r="I791" s="53"/>
      <c r="J791" s="260"/>
    </row>
    <row r="792" spans="1:10" ht="16.5" x14ac:dyDescent="0.35">
      <c r="A792" s="416"/>
      <c r="B792" s="59" t="s">
        <v>146</v>
      </c>
      <c r="C792" s="60"/>
      <c r="D792" s="61">
        <f>SUM(D785:D791)</f>
        <v>26</v>
      </c>
      <c r="E792" s="61"/>
      <c r="F792" s="62"/>
      <c r="G792" s="63">
        <f>SUM(G785:G791)</f>
        <v>26.5</v>
      </c>
      <c r="H792" s="64"/>
      <c r="I792" s="53"/>
      <c r="J792" s="260"/>
    </row>
    <row r="793" spans="1:10" ht="16.5" x14ac:dyDescent="0.35">
      <c r="A793" s="416"/>
      <c r="B793" s="59" t="s">
        <v>147</v>
      </c>
      <c r="C793" s="60"/>
      <c r="D793" s="61">
        <v>0</v>
      </c>
      <c r="E793" s="62"/>
      <c r="F793" s="62"/>
      <c r="G793" s="63"/>
      <c r="H793" s="64"/>
      <c r="I793" s="53"/>
      <c r="J793" s="260"/>
    </row>
    <row r="794" spans="1:10" ht="15.75" x14ac:dyDescent="0.3">
      <c r="A794" s="416"/>
      <c r="B794" s="65" t="s">
        <v>148</v>
      </c>
      <c r="C794" s="66"/>
      <c r="D794" s="68">
        <f>31-D793-D792</f>
        <v>5</v>
      </c>
      <c r="E794" s="67"/>
      <c r="F794" s="67"/>
      <c r="G794" s="68">
        <f>31-G793-G792</f>
        <v>4.5</v>
      </c>
      <c r="H794" s="69"/>
      <c r="I794" s="53"/>
      <c r="J794" s="260"/>
    </row>
    <row r="795" spans="1:10" ht="17.25" thickBot="1" x14ac:dyDescent="0.4">
      <c r="A795" s="417"/>
      <c r="B795" s="70" t="s">
        <v>149</v>
      </c>
      <c r="C795" s="71">
        <f>SUM(C785:C790)</f>
        <v>6660</v>
      </c>
      <c r="D795" s="71">
        <f>D792+D793+D794</f>
        <v>31</v>
      </c>
      <c r="E795" s="71">
        <f>E792+E793+E794</f>
        <v>0</v>
      </c>
      <c r="F795" s="72">
        <f>SUM(F785:F791)</f>
        <v>7183.2879999999996</v>
      </c>
      <c r="G795" s="71">
        <f>G792+G793+G794</f>
        <v>31</v>
      </c>
      <c r="H795" s="71"/>
      <c r="I795" s="73">
        <f>F795/C795</f>
        <v>1.0785717717717718</v>
      </c>
      <c r="J795" s="261"/>
    </row>
    <row r="796" spans="1:10" ht="15.75" x14ac:dyDescent="0.3">
      <c r="A796" s="421" t="s">
        <v>150</v>
      </c>
      <c r="B796" s="50" t="s">
        <v>154</v>
      </c>
      <c r="C796" s="76"/>
      <c r="D796" s="52"/>
      <c r="E796" s="52"/>
      <c r="F796" s="51"/>
      <c r="G796" s="52"/>
      <c r="H796" s="241"/>
      <c r="I796" s="91"/>
      <c r="J796" s="262"/>
    </row>
    <row r="797" spans="1:10" ht="15.75" x14ac:dyDescent="0.3">
      <c r="A797" s="422"/>
      <c r="B797" s="50" t="s">
        <v>366</v>
      </c>
      <c r="C797" s="76">
        <f>3905+350+350</f>
        <v>4605</v>
      </c>
      <c r="D797" s="52">
        <v>13</v>
      </c>
      <c r="E797" s="52">
        <f>C797/D797</f>
        <v>354.23076923076923</v>
      </c>
      <c r="F797" s="52">
        <f>2150.92+626.08+2225.76</f>
        <v>5002.76</v>
      </c>
      <c r="G797" s="127">
        <v>15</v>
      </c>
      <c r="H797" s="241">
        <f>F797/G797</f>
        <v>333.51733333333334</v>
      </c>
      <c r="I797" s="92">
        <f>H797/E797</f>
        <v>0.94152558812884546</v>
      </c>
      <c r="J797" s="263"/>
    </row>
    <row r="798" spans="1:10" ht="15.75" x14ac:dyDescent="0.3">
      <c r="A798" s="422"/>
      <c r="B798" s="50" t="s">
        <v>155</v>
      </c>
      <c r="C798" s="57">
        <v>300</v>
      </c>
      <c r="D798" s="58">
        <v>2</v>
      </c>
      <c r="E798" s="52">
        <f>C798/D798</f>
        <v>150</v>
      </c>
      <c r="F798" s="57">
        <v>672.04200000000003</v>
      </c>
      <c r="G798" s="52">
        <v>4</v>
      </c>
      <c r="H798" s="241">
        <f>F798/G798</f>
        <v>168.01050000000001</v>
      </c>
      <c r="I798" s="92">
        <f>H798/E798</f>
        <v>1.1200700000000001</v>
      </c>
      <c r="J798" s="263"/>
    </row>
    <row r="799" spans="1:10" ht="15.75" x14ac:dyDescent="0.3">
      <c r="A799" s="422"/>
      <c r="B799" s="78" t="s">
        <v>368</v>
      </c>
      <c r="C799" s="51"/>
      <c r="D799" s="52"/>
      <c r="E799" s="52"/>
      <c r="F799" s="79"/>
      <c r="G799" s="52"/>
      <c r="H799" s="241"/>
      <c r="I799" s="92"/>
      <c r="J799" s="263"/>
    </row>
    <row r="800" spans="1:10" ht="15.75" x14ac:dyDescent="0.3">
      <c r="A800" s="422"/>
      <c r="B800" s="78" t="s">
        <v>388</v>
      </c>
      <c r="C800" s="51">
        <f>255</f>
        <v>255</v>
      </c>
      <c r="D800" s="52">
        <v>3</v>
      </c>
      <c r="E800" s="52">
        <f>C800/D800</f>
        <v>85</v>
      </c>
      <c r="F800" s="51">
        <f>163.875+221.84</f>
        <v>385.71500000000003</v>
      </c>
      <c r="G800" s="52">
        <v>4.5</v>
      </c>
      <c r="H800" s="241">
        <f>F800/G800</f>
        <v>85.714444444444453</v>
      </c>
      <c r="I800" s="92">
        <f>H800/E800</f>
        <v>1.00840522875817</v>
      </c>
      <c r="J800" s="263"/>
    </row>
    <row r="801" spans="1:10" ht="15.75" x14ac:dyDescent="0.3">
      <c r="A801" s="422"/>
      <c r="B801" s="78" t="s">
        <v>327</v>
      </c>
      <c r="C801" s="51">
        <f>1260</f>
        <v>1260</v>
      </c>
      <c r="D801" s="52">
        <v>6</v>
      </c>
      <c r="E801" s="52">
        <f>C801/D801</f>
        <v>210</v>
      </c>
      <c r="F801" s="52">
        <v>867.82299999999998</v>
      </c>
      <c r="G801" s="52">
        <v>4.5</v>
      </c>
      <c r="H801" s="241">
        <f>F801/G801</f>
        <v>192.84955555555555</v>
      </c>
      <c r="I801" s="92">
        <f t="shared" ref="I801:I802" si="54">H801/E801</f>
        <v>0.91833121693121689</v>
      </c>
      <c r="J801" s="263"/>
    </row>
    <row r="802" spans="1:10" ht="15.75" x14ac:dyDescent="0.3">
      <c r="A802" s="422"/>
      <c r="B802" s="78" t="s">
        <v>371</v>
      </c>
      <c r="C802" s="76">
        <v>150</v>
      </c>
      <c r="D802" s="84">
        <v>3</v>
      </c>
      <c r="E802" s="52">
        <f>C802/D802</f>
        <v>50</v>
      </c>
      <c r="F802" s="52">
        <v>108.345</v>
      </c>
      <c r="G802" s="52">
        <v>2</v>
      </c>
      <c r="H802" s="241">
        <f>F802/G802</f>
        <v>54.172499999999999</v>
      </c>
      <c r="I802" s="92">
        <f t="shared" si="54"/>
        <v>1.08345</v>
      </c>
      <c r="J802" s="263"/>
    </row>
    <row r="803" spans="1:10" ht="15.75" x14ac:dyDescent="0.3">
      <c r="A803" s="422"/>
      <c r="B803" s="78" t="s">
        <v>328</v>
      </c>
      <c r="C803" s="51"/>
      <c r="D803" s="52"/>
      <c r="E803" s="52"/>
      <c r="F803" s="79"/>
      <c r="G803" s="52"/>
      <c r="H803" s="241"/>
      <c r="I803" s="99"/>
      <c r="J803" s="263"/>
    </row>
    <row r="804" spans="1:10" ht="15.75" x14ac:dyDescent="0.3">
      <c r="A804" s="422"/>
      <c r="B804" s="78" t="s">
        <v>367</v>
      </c>
      <c r="C804" s="51"/>
      <c r="D804" s="52"/>
      <c r="E804" s="52"/>
      <c r="F804" s="51"/>
      <c r="G804" s="52"/>
      <c r="H804" s="241"/>
      <c r="I804" s="99"/>
      <c r="J804" s="263"/>
    </row>
    <row r="805" spans="1:10" ht="16.5" x14ac:dyDescent="0.35">
      <c r="A805" s="422"/>
      <c r="B805" s="59" t="s">
        <v>146</v>
      </c>
      <c r="C805" s="60"/>
      <c r="D805" s="63">
        <f>SUM(D796:D804)</f>
        <v>27</v>
      </c>
      <c r="E805" s="61"/>
      <c r="F805" s="62"/>
      <c r="G805" s="63">
        <f>SUM(G796:G804)</f>
        <v>30</v>
      </c>
      <c r="H805" s="63"/>
      <c r="I805" s="99"/>
      <c r="J805" s="263"/>
    </row>
    <row r="806" spans="1:10" ht="15.75" x14ac:dyDescent="0.3">
      <c r="A806" s="422"/>
      <c r="B806" s="65" t="s">
        <v>148</v>
      </c>
      <c r="C806" s="66"/>
      <c r="D806" s="81">
        <f>31-D805</f>
        <v>4</v>
      </c>
      <c r="E806" s="67"/>
      <c r="F806" s="67"/>
      <c r="G806" s="81">
        <f>31-G805</f>
        <v>1</v>
      </c>
      <c r="H806" s="243"/>
      <c r="I806" s="112"/>
      <c r="J806" s="263"/>
    </row>
    <row r="807" spans="1:10" ht="17.25" thickBot="1" x14ac:dyDescent="0.4">
      <c r="A807" s="423"/>
      <c r="B807" s="70" t="s">
        <v>149</v>
      </c>
      <c r="C807" s="71">
        <f>SUM(C796:C804)</f>
        <v>6570</v>
      </c>
      <c r="D807" s="71">
        <f>D805+D806</f>
        <v>31</v>
      </c>
      <c r="E807" s="71"/>
      <c r="F807" s="71">
        <f>SUM(F796:F804)</f>
        <v>7036.6850000000013</v>
      </c>
      <c r="G807" s="71">
        <f>G805+G806</f>
        <v>31</v>
      </c>
      <c r="H807" s="82"/>
      <c r="I807" s="73">
        <f>F807/C807</f>
        <v>1.0710327245053275</v>
      </c>
      <c r="J807" s="264"/>
    </row>
    <row r="808" spans="1:10" ht="15.75" x14ac:dyDescent="0.3">
      <c r="A808" s="421" t="s">
        <v>161</v>
      </c>
      <c r="B808" s="50" t="s">
        <v>199</v>
      </c>
      <c r="C808" s="51"/>
      <c r="D808" s="83"/>
      <c r="E808" s="52"/>
      <c r="F808" s="51">
        <v>120</v>
      </c>
      <c r="G808" s="83">
        <v>2</v>
      </c>
      <c r="H808" s="53">
        <f t="shared" ref="H808:H809" si="55">F808/G808</f>
        <v>60</v>
      </c>
      <c r="I808" s="92"/>
      <c r="J808" s="265" t="s">
        <v>389</v>
      </c>
    </row>
    <row r="809" spans="1:10" ht="15.75" x14ac:dyDescent="0.3">
      <c r="A809" s="422"/>
      <c r="B809" s="50" t="s">
        <v>215</v>
      </c>
      <c r="C809" s="76">
        <v>183</v>
      </c>
      <c r="D809" s="84">
        <v>2</v>
      </c>
      <c r="E809" s="52">
        <f>C809/D809</f>
        <v>91.5</v>
      </c>
      <c r="F809" s="51">
        <v>123.70650000000001</v>
      </c>
      <c r="G809" s="52">
        <v>1.5</v>
      </c>
      <c r="H809" s="53">
        <f t="shared" si="55"/>
        <v>82.471000000000004</v>
      </c>
      <c r="I809" s="92">
        <f t="shared" ref="I809" si="56">H809/E809</f>
        <v>0.90132240437158473</v>
      </c>
      <c r="J809" s="266"/>
    </row>
    <row r="810" spans="1:10" ht="15.75" x14ac:dyDescent="0.3">
      <c r="A810" s="422"/>
      <c r="B810" s="50" t="s">
        <v>216</v>
      </c>
      <c r="C810" s="76"/>
      <c r="D810" s="84"/>
      <c r="E810" s="52"/>
      <c r="F810" s="57"/>
      <c r="G810" s="52"/>
      <c r="H810" s="53"/>
      <c r="I810" s="92"/>
      <c r="J810" s="266"/>
    </row>
    <row r="811" spans="1:10" ht="15.75" x14ac:dyDescent="0.3">
      <c r="A811" s="422"/>
      <c r="B811" s="50" t="s">
        <v>384</v>
      </c>
      <c r="C811" s="76">
        <v>220</v>
      </c>
      <c r="D811" s="84">
        <v>3</v>
      </c>
      <c r="E811" s="52">
        <f>C811/D811</f>
        <v>73.333333333333329</v>
      </c>
      <c r="F811" s="57">
        <v>275.54000000000002</v>
      </c>
      <c r="G811" s="52">
        <v>4</v>
      </c>
      <c r="H811" s="53">
        <f t="shared" ref="H811" si="57">F811/G811</f>
        <v>68.885000000000005</v>
      </c>
      <c r="I811" s="92">
        <f t="shared" ref="I811" si="58">H811/E811</f>
        <v>0.93934090909090917</v>
      </c>
      <c r="J811" s="266"/>
    </row>
    <row r="812" spans="1:10" ht="15.75" x14ac:dyDescent="0.3">
      <c r="A812" s="422"/>
      <c r="B812" s="50" t="s">
        <v>383</v>
      </c>
      <c r="C812" s="76">
        <v>100</v>
      </c>
      <c r="D812" s="52">
        <v>1</v>
      </c>
      <c r="E812" s="52">
        <f>C812/D812</f>
        <v>100</v>
      </c>
      <c r="F812" s="51">
        <v>164.78599999999997</v>
      </c>
      <c r="G812" s="90">
        <v>2</v>
      </c>
      <c r="H812" s="53">
        <f t="shared" ref="H812:H815" si="59">F812/G812</f>
        <v>82.392999999999986</v>
      </c>
      <c r="I812" s="92">
        <f>H812/E812</f>
        <v>0.82392999999999983</v>
      </c>
      <c r="J812" s="266"/>
    </row>
    <row r="813" spans="1:10" ht="15.75" x14ac:dyDescent="0.3">
      <c r="A813" s="422"/>
      <c r="B813" s="50" t="s">
        <v>232</v>
      </c>
      <c r="C813" s="76"/>
      <c r="D813" s="84"/>
      <c r="E813" s="52"/>
      <c r="F813" s="51">
        <v>157.6754</v>
      </c>
      <c r="G813" s="52">
        <v>2</v>
      </c>
      <c r="H813" s="53">
        <f t="shared" si="59"/>
        <v>78.837699999999998</v>
      </c>
      <c r="I813" s="92"/>
      <c r="J813" s="266"/>
    </row>
    <row r="814" spans="1:10" ht="15.75" x14ac:dyDescent="0.3">
      <c r="A814" s="422"/>
      <c r="B814" s="50" t="s">
        <v>167</v>
      </c>
      <c r="C814" s="76"/>
      <c r="D814" s="84"/>
      <c r="E814" s="52"/>
      <c r="F814" s="57">
        <v>366.95099999999996</v>
      </c>
      <c r="G814" s="52">
        <v>5</v>
      </c>
      <c r="H814" s="53">
        <f t="shared" si="59"/>
        <v>73.390199999999993</v>
      </c>
      <c r="I814" s="92"/>
      <c r="J814" s="266"/>
    </row>
    <row r="815" spans="1:10" ht="15.75" x14ac:dyDescent="0.3">
      <c r="A815" s="422"/>
      <c r="B815" s="50" t="s">
        <v>217</v>
      </c>
      <c r="C815" s="76">
        <v>340</v>
      </c>
      <c r="D815" s="84">
        <v>5</v>
      </c>
      <c r="E815" s="52">
        <f>C815/D815</f>
        <v>68</v>
      </c>
      <c r="F815" s="57">
        <v>132.58799999999999</v>
      </c>
      <c r="G815" s="90">
        <v>1.5</v>
      </c>
      <c r="H815" s="53">
        <f t="shared" si="59"/>
        <v>88.391999999999996</v>
      </c>
      <c r="I815" s="92">
        <f>H815/E815</f>
        <v>1.2998823529411765</v>
      </c>
      <c r="J815" s="266"/>
    </row>
    <row r="816" spans="1:10" ht="15.75" x14ac:dyDescent="0.3">
      <c r="A816" s="422"/>
      <c r="B816" s="50"/>
      <c r="C816" s="76"/>
      <c r="D816" s="84"/>
      <c r="E816" s="52"/>
      <c r="F816" s="57"/>
      <c r="G816" s="90"/>
      <c r="H816" s="53"/>
      <c r="I816" s="92"/>
      <c r="J816" s="266"/>
    </row>
    <row r="817" spans="1:10" ht="15.75" x14ac:dyDescent="0.3">
      <c r="A817" s="422"/>
      <c r="B817" s="50"/>
      <c r="C817" s="76"/>
      <c r="D817" s="84"/>
      <c r="E817" s="84"/>
      <c r="F817" s="57"/>
      <c r="G817" s="52"/>
      <c r="H817" s="86"/>
      <c r="I817" s="92"/>
      <c r="J817" s="266"/>
    </row>
    <row r="818" spans="1:10" ht="16.5" x14ac:dyDescent="0.35">
      <c r="A818" s="422"/>
      <c r="B818" s="59" t="s">
        <v>146</v>
      </c>
      <c r="C818" s="61">
        <f>SUM(C808:C816)</f>
        <v>843</v>
      </c>
      <c r="D818" s="61">
        <f>SUM(D808:D816)</f>
        <v>11</v>
      </c>
      <c r="E818" s="61"/>
      <c r="F818" s="62"/>
      <c r="G818" s="63">
        <f>SUM(G808:G816)</f>
        <v>18</v>
      </c>
      <c r="H818" s="63"/>
      <c r="I818" s="92"/>
      <c r="J818" s="266"/>
    </row>
    <row r="819" spans="1:10" ht="15.75" x14ac:dyDescent="0.3">
      <c r="A819" s="422"/>
      <c r="B819" s="65" t="s">
        <v>148</v>
      </c>
      <c r="C819" s="66"/>
      <c r="D819" s="67">
        <f>31-D818</f>
        <v>20</v>
      </c>
      <c r="E819" s="67"/>
      <c r="F819" s="67"/>
      <c r="G819" s="67">
        <f>31-G818</f>
        <v>13</v>
      </c>
      <c r="H819" s="87"/>
      <c r="I819" s="92"/>
      <c r="J819" s="266"/>
    </row>
    <row r="820" spans="1:10" ht="17.25" thickBot="1" x14ac:dyDescent="0.4">
      <c r="A820" s="423"/>
      <c r="B820" s="70" t="s">
        <v>149</v>
      </c>
      <c r="C820" s="71">
        <f>SUM(C808:C816)</f>
        <v>843</v>
      </c>
      <c r="D820" s="71">
        <f>D818+D819</f>
        <v>31</v>
      </c>
      <c r="E820" s="71">
        <f>SUM(E808:E816)</f>
        <v>332.83333333333331</v>
      </c>
      <c r="F820" s="71">
        <f>SUM(F808:F816)</f>
        <v>1341.2468999999999</v>
      </c>
      <c r="G820" s="71">
        <f>G819+G818</f>
        <v>31</v>
      </c>
      <c r="H820" s="82"/>
      <c r="I820" s="73">
        <f>F820/C820</f>
        <v>1.5910402135231314</v>
      </c>
      <c r="J820" s="267"/>
    </row>
    <row r="821" spans="1:10" ht="15.75" x14ac:dyDescent="0.3">
      <c r="A821" s="421" t="s">
        <v>169</v>
      </c>
      <c r="B821" s="88" t="s">
        <v>170</v>
      </c>
      <c r="C821" s="89">
        <v>800</v>
      </c>
      <c r="D821" s="52">
        <v>13</v>
      </c>
      <c r="E821" s="52">
        <f>C821/D821</f>
        <v>61.53846153846154</v>
      </c>
      <c r="F821" s="51">
        <f>543.43+30</f>
        <v>573.42999999999995</v>
      </c>
      <c r="G821" s="52">
        <v>9</v>
      </c>
      <c r="H821" s="53">
        <f>F821/G821</f>
        <v>63.714444444444439</v>
      </c>
      <c r="I821" s="92">
        <f>H821/E821</f>
        <v>1.0353597222222222</v>
      </c>
      <c r="J821" s="265" t="s">
        <v>392</v>
      </c>
    </row>
    <row r="822" spans="1:10" ht="15.75" x14ac:dyDescent="0.3">
      <c r="A822" s="422"/>
      <c r="B822" s="244" t="s">
        <v>331</v>
      </c>
      <c r="C822" s="51">
        <v>180</v>
      </c>
      <c r="D822" s="52">
        <v>3</v>
      </c>
      <c r="E822" s="52">
        <f>C822/D822</f>
        <v>60</v>
      </c>
      <c r="F822" s="51"/>
      <c r="G822" s="52"/>
      <c r="H822" s="53"/>
      <c r="I822" s="92"/>
      <c r="J822" s="266"/>
    </row>
    <row r="823" spans="1:10" ht="15.75" x14ac:dyDescent="0.3">
      <c r="A823" s="422"/>
      <c r="B823" s="80" t="s">
        <v>48</v>
      </c>
      <c r="C823" s="76">
        <v>120</v>
      </c>
      <c r="D823" s="52">
        <v>2</v>
      </c>
      <c r="E823" s="52">
        <f>C823/D823</f>
        <v>60</v>
      </c>
      <c r="F823" s="57">
        <v>122.13600000000001</v>
      </c>
      <c r="G823" s="52">
        <v>2</v>
      </c>
      <c r="H823" s="53">
        <f t="shared" ref="H823" si="60">F823/G823</f>
        <v>61.068000000000005</v>
      </c>
      <c r="I823" s="92">
        <f t="shared" ref="I823" si="61">H823/E823</f>
        <v>1.0178</v>
      </c>
      <c r="J823" s="266"/>
    </row>
    <row r="824" spans="1:10" ht="15.75" x14ac:dyDescent="0.3">
      <c r="A824" s="422"/>
      <c r="B824" s="80" t="s">
        <v>159</v>
      </c>
      <c r="C824" s="76"/>
      <c r="D824" s="52"/>
      <c r="E824" s="52"/>
      <c r="F824" s="57">
        <v>206.95500000000001</v>
      </c>
      <c r="G824" s="52">
        <v>3</v>
      </c>
      <c r="H824" s="53">
        <f>F824/G824</f>
        <v>68.984999999999999</v>
      </c>
      <c r="I824" s="92"/>
      <c r="J824" s="266"/>
    </row>
    <row r="825" spans="1:10" ht="15.75" x14ac:dyDescent="0.3">
      <c r="A825" s="422"/>
      <c r="B825" s="80" t="s">
        <v>391</v>
      </c>
      <c r="C825" s="76"/>
      <c r="D825" s="52"/>
      <c r="E825" s="52"/>
      <c r="F825" s="57">
        <v>11.38</v>
      </c>
      <c r="G825" s="52">
        <v>2.5</v>
      </c>
      <c r="H825" s="53">
        <f>F825/G825</f>
        <v>4.5520000000000005</v>
      </c>
      <c r="I825" s="92"/>
      <c r="J825" s="266"/>
    </row>
    <row r="826" spans="1:10" ht="15.75" x14ac:dyDescent="0.3">
      <c r="A826" s="422"/>
      <c r="B826" s="80" t="s">
        <v>385</v>
      </c>
      <c r="C826" s="76">
        <v>480</v>
      </c>
      <c r="D826" s="52">
        <v>7</v>
      </c>
      <c r="E826" s="52">
        <f>C826/D826</f>
        <v>68.571428571428569</v>
      </c>
      <c r="F826" s="57">
        <f>321</f>
        <v>321</v>
      </c>
      <c r="G826" s="52">
        <v>5</v>
      </c>
      <c r="H826" s="53">
        <f t="shared" ref="H826" si="62">F826/G826</f>
        <v>64.2</v>
      </c>
      <c r="I826" s="92">
        <f t="shared" ref="I826" si="63">H826/E826</f>
        <v>0.93625000000000003</v>
      </c>
      <c r="J826" s="266"/>
    </row>
    <row r="827" spans="1:10" ht="15.75" x14ac:dyDescent="0.3">
      <c r="A827" s="422"/>
      <c r="B827" s="80" t="s">
        <v>175</v>
      </c>
      <c r="C827" s="76">
        <v>85</v>
      </c>
      <c r="D827" s="52">
        <v>2</v>
      </c>
      <c r="E827" s="52">
        <f>C827/D827</f>
        <v>42.5</v>
      </c>
      <c r="F827" s="57"/>
      <c r="G827" s="52"/>
      <c r="H827" s="53"/>
      <c r="I827" s="92"/>
      <c r="J827" s="266"/>
    </row>
    <row r="828" spans="1:10" ht="15.75" x14ac:dyDescent="0.3">
      <c r="A828" s="422"/>
      <c r="B828" s="80" t="s">
        <v>390</v>
      </c>
      <c r="C828" s="76"/>
      <c r="D828" s="52"/>
      <c r="E828" s="52"/>
      <c r="F828" s="57">
        <v>116.63200000000001</v>
      </c>
      <c r="G828" s="52">
        <v>3</v>
      </c>
      <c r="H828" s="53">
        <f>F828/G828</f>
        <v>38.877333333333333</v>
      </c>
      <c r="I828" s="92"/>
      <c r="J828" s="266"/>
    </row>
    <row r="829" spans="1:10" ht="15.75" x14ac:dyDescent="0.3">
      <c r="A829" s="422"/>
      <c r="B829" s="80" t="s">
        <v>369</v>
      </c>
      <c r="C829" s="76">
        <v>110</v>
      </c>
      <c r="D829" s="52">
        <v>2</v>
      </c>
      <c r="E829" s="52">
        <f>C829/D829</f>
        <v>55</v>
      </c>
      <c r="F829" s="52">
        <v>231.572</v>
      </c>
      <c r="G829" s="52">
        <v>2</v>
      </c>
      <c r="H829" s="53">
        <f>F829/G829</f>
        <v>115.786</v>
      </c>
      <c r="I829" s="92">
        <f>H829/E829</f>
        <v>2.1052</v>
      </c>
      <c r="J829" s="266"/>
    </row>
    <row r="830" spans="1:10" ht="16.5" x14ac:dyDescent="0.35">
      <c r="A830" s="422"/>
      <c r="B830" s="59" t="s">
        <v>146</v>
      </c>
      <c r="C830" s="61">
        <f>SUM(C821:C829)</f>
        <v>1775</v>
      </c>
      <c r="D830" s="61">
        <f>SUM(D821:D829)</f>
        <v>29</v>
      </c>
      <c r="E830" s="61"/>
      <c r="F830" s="62"/>
      <c r="G830" s="63">
        <f>SUM(G821:G829)</f>
        <v>26.5</v>
      </c>
      <c r="H830" s="64"/>
      <c r="I830" s="92"/>
      <c r="J830" s="266"/>
    </row>
    <row r="831" spans="1:10" ht="15.75" x14ac:dyDescent="0.3">
      <c r="A831" s="422"/>
      <c r="B831" s="65" t="s">
        <v>148</v>
      </c>
      <c r="C831" s="66"/>
      <c r="D831" s="68">
        <f>31-D830</f>
        <v>2</v>
      </c>
      <c r="E831" s="67"/>
      <c r="F831" s="67"/>
      <c r="G831" s="81">
        <f>31-G830</f>
        <v>4.5</v>
      </c>
      <c r="H831" s="87"/>
      <c r="I831" s="92"/>
      <c r="J831" s="266"/>
    </row>
    <row r="832" spans="1:10" ht="17.25" thickBot="1" x14ac:dyDescent="0.4">
      <c r="A832" s="423"/>
      <c r="B832" s="70" t="s">
        <v>149</v>
      </c>
      <c r="C832" s="71">
        <f>SUM(C821:C829)</f>
        <v>1775</v>
      </c>
      <c r="D832" s="71">
        <f>D830+D831</f>
        <v>31</v>
      </c>
      <c r="E832" s="71"/>
      <c r="F832" s="71">
        <f>SUM(F821:F829)</f>
        <v>1583.105</v>
      </c>
      <c r="G832" s="71">
        <f>G830+G831</f>
        <v>31</v>
      </c>
      <c r="H832" s="58"/>
      <c r="I832" s="73">
        <f>F832/C832</f>
        <v>0.89189014084507046</v>
      </c>
      <c r="J832" s="267"/>
    </row>
    <row r="833" spans="1:10" ht="15.75" x14ac:dyDescent="0.3">
      <c r="A833" s="406" t="s">
        <v>176</v>
      </c>
      <c r="B833" s="80" t="s">
        <v>177</v>
      </c>
      <c r="C833" s="76"/>
      <c r="D833" s="52"/>
      <c r="E833" s="52"/>
      <c r="F833" s="51">
        <v>509</v>
      </c>
      <c r="G833" s="93">
        <v>7</v>
      </c>
      <c r="H833" s="53">
        <f t="shared" ref="H833:H835" si="64">F833/G833</f>
        <v>72.714285714285708</v>
      </c>
      <c r="I833" s="92"/>
      <c r="J833" s="268"/>
    </row>
    <row r="834" spans="1:10" ht="15.75" x14ac:dyDescent="0.3">
      <c r="A834" s="407"/>
      <c r="B834" s="80" t="s">
        <v>363</v>
      </c>
      <c r="C834" s="76">
        <v>300</v>
      </c>
      <c r="D834" s="84">
        <v>3</v>
      </c>
      <c r="E834" s="52">
        <f>C834/D834</f>
        <v>100</v>
      </c>
      <c r="F834" s="93">
        <v>14.925000000000001</v>
      </c>
      <c r="G834" s="93"/>
      <c r="H834" s="53"/>
      <c r="I834" s="92"/>
      <c r="J834" s="269"/>
    </row>
    <row r="835" spans="1:10" ht="15.75" x14ac:dyDescent="0.3">
      <c r="A835" s="407"/>
      <c r="B835" s="80" t="s">
        <v>204</v>
      </c>
      <c r="C835" s="76">
        <v>384</v>
      </c>
      <c r="D835" s="52">
        <v>6</v>
      </c>
      <c r="E835" s="52">
        <f>C835/D835</f>
        <v>64</v>
      </c>
      <c r="F835" s="51">
        <v>458.49700000000001</v>
      </c>
      <c r="G835" s="93">
        <v>6</v>
      </c>
      <c r="H835" s="53">
        <f t="shared" si="64"/>
        <v>76.416166666666669</v>
      </c>
      <c r="I835" s="92">
        <f>H835/E835</f>
        <v>1.1940026041666667</v>
      </c>
      <c r="J835" s="269"/>
    </row>
    <row r="836" spans="1:10" ht="15.75" x14ac:dyDescent="0.3">
      <c r="A836" s="407"/>
      <c r="B836" s="80" t="s">
        <v>233</v>
      </c>
      <c r="C836" s="76">
        <v>360</v>
      </c>
      <c r="D836" s="52">
        <v>6</v>
      </c>
      <c r="E836" s="52">
        <f>C836/D836</f>
        <v>60</v>
      </c>
      <c r="F836" s="51">
        <v>157.32999999999998</v>
      </c>
      <c r="G836" s="93">
        <v>2.5</v>
      </c>
      <c r="H836" s="53">
        <f t="shared" ref="H836:H837" si="65">F836/G836</f>
        <v>62.931999999999995</v>
      </c>
      <c r="I836" s="92">
        <f>H836/E836</f>
        <v>1.0488666666666666</v>
      </c>
      <c r="J836" s="269"/>
    </row>
    <row r="837" spans="1:10" ht="15.75" x14ac:dyDescent="0.3">
      <c r="A837" s="407"/>
      <c r="B837" s="80" t="s">
        <v>181</v>
      </c>
      <c r="C837" s="51">
        <v>630</v>
      </c>
      <c r="D837" s="52">
        <v>7</v>
      </c>
      <c r="E837" s="52">
        <f>C837/D837</f>
        <v>90</v>
      </c>
      <c r="F837" s="51">
        <v>605.21750000000009</v>
      </c>
      <c r="G837" s="93">
        <v>8.5</v>
      </c>
      <c r="H837" s="53">
        <f t="shared" si="65"/>
        <v>71.202058823529427</v>
      </c>
      <c r="I837" s="92">
        <f>H837/E837</f>
        <v>0.79113398692810477</v>
      </c>
      <c r="J837" s="269"/>
    </row>
    <row r="838" spans="1:10" ht="15.75" x14ac:dyDescent="0.3">
      <c r="A838" s="407"/>
      <c r="B838" s="121" t="s">
        <v>352</v>
      </c>
      <c r="C838" s="94">
        <v>180</v>
      </c>
      <c r="D838" s="86">
        <v>3</v>
      </c>
      <c r="E838" s="52">
        <f>C838/D838</f>
        <v>60</v>
      </c>
      <c r="F838" s="95">
        <v>195.51750000000004</v>
      </c>
      <c r="G838" s="96">
        <v>5</v>
      </c>
      <c r="H838" s="53">
        <f t="shared" ref="H838" si="66">F838/G838</f>
        <v>39.103500000000011</v>
      </c>
      <c r="I838" s="92">
        <f>H838/E838</f>
        <v>0.65172500000000022</v>
      </c>
      <c r="J838" s="269"/>
    </row>
    <row r="839" spans="1:10" ht="16.5" x14ac:dyDescent="0.35">
      <c r="A839" s="407"/>
      <c r="B839" s="59" t="s">
        <v>146</v>
      </c>
      <c r="C839" s="60"/>
      <c r="D839" s="61">
        <f>SUM(D833:D838)</f>
        <v>25</v>
      </c>
      <c r="E839" s="61"/>
      <c r="F839" s="62"/>
      <c r="G839" s="61">
        <f>SUM(G833:G838)</f>
        <v>29</v>
      </c>
      <c r="H839" s="61"/>
      <c r="I839" s="92"/>
      <c r="J839" s="269"/>
    </row>
    <row r="840" spans="1:10" ht="15.75" x14ac:dyDescent="0.3">
      <c r="A840" s="407"/>
      <c r="B840" s="65" t="s">
        <v>148</v>
      </c>
      <c r="C840" s="66"/>
      <c r="D840" s="68">
        <f>31-D839</f>
        <v>6</v>
      </c>
      <c r="E840" s="67"/>
      <c r="F840" s="67"/>
      <c r="G840" s="68">
        <f>31-G839</f>
        <v>2</v>
      </c>
      <c r="H840" s="97"/>
      <c r="I840" s="92"/>
      <c r="J840" s="269"/>
    </row>
    <row r="841" spans="1:10" ht="17.25" thickBot="1" x14ac:dyDescent="0.4">
      <c r="A841" s="408"/>
      <c r="B841" s="70" t="s">
        <v>149</v>
      </c>
      <c r="C841" s="71">
        <f>SUM(C833:C838)</f>
        <v>1854</v>
      </c>
      <c r="D841" s="71">
        <f>D840+D839</f>
        <v>31</v>
      </c>
      <c r="E841" s="98"/>
      <c r="F841" s="71">
        <f>SUM(F833:F838)</f>
        <v>1940.4870000000001</v>
      </c>
      <c r="G841" s="71">
        <f>G840+G839</f>
        <v>31</v>
      </c>
      <c r="H841" s="99"/>
      <c r="I841" s="73">
        <f>F841/C841</f>
        <v>1.0466488673139158</v>
      </c>
      <c r="J841" s="270"/>
    </row>
    <row r="842" spans="1:10" ht="15.75" x14ac:dyDescent="0.3">
      <c r="A842" s="406" t="s">
        <v>183</v>
      </c>
      <c r="B842" s="50" t="s">
        <v>77</v>
      </c>
      <c r="C842" s="51">
        <v>800</v>
      </c>
      <c r="D842" s="52">
        <v>5</v>
      </c>
      <c r="E842" s="52">
        <f>C842/D842</f>
        <v>160</v>
      </c>
      <c r="F842" s="51">
        <v>261.74300000000005</v>
      </c>
      <c r="G842" s="93"/>
      <c r="H842" s="96"/>
      <c r="I842" s="92"/>
      <c r="J842" s="271"/>
    </row>
    <row r="843" spans="1:10" ht="15.75" x14ac:dyDescent="0.3">
      <c r="A843" s="407"/>
      <c r="B843" s="50" t="s">
        <v>243</v>
      </c>
      <c r="C843" s="51"/>
      <c r="D843" s="52"/>
      <c r="E843" s="52"/>
      <c r="F843" s="57"/>
      <c r="G843" s="93"/>
      <c r="H843" s="96"/>
      <c r="I843" s="92"/>
      <c r="J843" s="272"/>
    </row>
    <row r="844" spans="1:10" ht="15.75" x14ac:dyDescent="0.3">
      <c r="A844" s="407"/>
      <c r="B844" s="50" t="s">
        <v>184</v>
      </c>
      <c r="C844" s="51">
        <v>3620</v>
      </c>
      <c r="D844" s="52">
        <v>21</v>
      </c>
      <c r="E844" s="52">
        <f>C844/D844</f>
        <v>172.38095238095238</v>
      </c>
      <c r="F844" s="51">
        <f>2028.308+64</f>
        <v>2092.308</v>
      </c>
      <c r="G844" s="93">
        <v>12</v>
      </c>
      <c r="H844" s="96">
        <f>F844/G844</f>
        <v>174.35900000000001</v>
      </c>
      <c r="I844" s="92">
        <f>H844/E844</f>
        <v>1.011474861878453</v>
      </c>
      <c r="J844" s="272"/>
    </row>
    <row r="845" spans="1:10" ht="15.75" x14ac:dyDescent="0.3">
      <c r="A845" s="407"/>
      <c r="B845" s="50" t="s">
        <v>370</v>
      </c>
      <c r="C845" s="51">
        <v>250</v>
      </c>
      <c r="D845" s="52">
        <v>2</v>
      </c>
      <c r="E845" s="52">
        <f>C845/D845</f>
        <v>125</v>
      </c>
      <c r="F845" s="51"/>
      <c r="G845" s="93"/>
      <c r="H845" s="96"/>
      <c r="I845" s="92"/>
      <c r="J845" s="272"/>
    </row>
    <row r="846" spans="1:10" ht="15.75" x14ac:dyDescent="0.3">
      <c r="A846" s="407"/>
      <c r="B846" s="50" t="s">
        <v>365</v>
      </c>
      <c r="C846" s="51"/>
      <c r="D846" s="52"/>
      <c r="E846" s="52"/>
      <c r="F846" s="57">
        <v>327.75</v>
      </c>
      <c r="G846" s="334">
        <v>1.5</v>
      </c>
      <c r="H846" s="96"/>
      <c r="I846" s="92"/>
      <c r="J846" s="272"/>
    </row>
    <row r="847" spans="1:10" ht="15.75" x14ac:dyDescent="0.3">
      <c r="A847" s="407"/>
      <c r="B847" s="101" t="s">
        <v>192</v>
      </c>
      <c r="C847" s="95"/>
      <c r="D847" s="102"/>
      <c r="E847" s="52"/>
      <c r="F847" s="95">
        <v>419.62700000000001</v>
      </c>
      <c r="G847" s="103">
        <v>3.5</v>
      </c>
      <c r="H847" s="99"/>
      <c r="I847" s="92"/>
      <c r="J847" s="272"/>
    </row>
    <row r="848" spans="1:10" ht="16.5" x14ac:dyDescent="0.35">
      <c r="A848" s="407"/>
      <c r="B848" s="59" t="s">
        <v>146</v>
      </c>
      <c r="C848" s="60"/>
      <c r="D848" s="61">
        <f>SUM(D842:D847)</f>
        <v>28</v>
      </c>
      <c r="E848" s="61"/>
      <c r="F848" s="62"/>
      <c r="G848" s="60">
        <f>SUM(G842:G847)</f>
        <v>17</v>
      </c>
      <c r="H848" s="61"/>
      <c r="I848" s="92"/>
      <c r="J848" s="272"/>
    </row>
    <row r="849" spans="1:10" ht="16.5" x14ac:dyDescent="0.35">
      <c r="A849" s="407"/>
      <c r="B849" s="130" t="s">
        <v>244</v>
      </c>
      <c r="C849" s="131"/>
      <c r="D849" s="132"/>
      <c r="E849" s="133"/>
      <c r="F849" s="133"/>
      <c r="G849" s="132"/>
      <c r="H849" s="134"/>
      <c r="I849" s="92"/>
      <c r="J849" s="272"/>
    </row>
    <row r="850" spans="1:10" ht="15.75" x14ac:dyDescent="0.3">
      <c r="A850" s="407"/>
      <c r="B850" s="65" t="s">
        <v>148</v>
      </c>
      <c r="C850" s="66"/>
      <c r="D850" s="68">
        <f>31-D849-D848</f>
        <v>3</v>
      </c>
      <c r="E850" s="67"/>
      <c r="F850" s="67"/>
      <c r="G850" s="81">
        <f>31-G848-G849</f>
        <v>14</v>
      </c>
      <c r="H850" s="97"/>
      <c r="I850" s="92"/>
      <c r="J850" s="272"/>
    </row>
    <row r="851" spans="1:10" ht="17.25" thickBot="1" x14ac:dyDescent="0.4">
      <c r="A851" s="408"/>
      <c r="B851" s="70" t="s">
        <v>149</v>
      </c>
      <c r="C851" s="71">
        <f>SUM(C842:C847)</f>
        <v>4670</v>
      </c>
      <c r="D851" s="71">
        <f>D850+D848</f>
        <v>31</v>
      </c>
      <c r="E851" s="71"/>
      <c r="F851" s="71">
        <f>SUM(F842:F847)</f>
        <v>3101.4279999999999</v>
      </c>
      <c r="G851" s="104">
        <f>G850+G848+G849</f>
        <v>31</v>
      </c>
      <c r="H851" s="105"/>
      <c r="I851" s="73">
        <f>F851/C851</f>
        <v>0.66411734475374729</v>
      </c>
      <c r="J851" s="273"/>
    </row>
    <row r="852" spans="1:10" ht="15.75" x14ac:dyDescent="0.3">
      <c r="A852" s="406" t="s">
        <v>188</v>
      </c>
      <c r="B852" s="106" t="s">
        <v>192</v>
      </c>
      <c r="C852" s="76">
        <v>450</v>
      </c>
      <c r="D852" s="84">
        <v>3</v>
      </c>
      <c r="E852" s="52">
        <f t="shared" ref="E852:E854" si="67">C852/D852</f>
        <v>150</v>
      </c>
      <c r="F852" s="57"/>
      <c r="G852" s="93"/>
      <c r="H852" s="93"/>
      <c r="I852" s="107"/>
      <c r="J852" s="271"/>
    </row>
    <row r="853" spans="1:10" ht="15.75" x14ac:dyDescent="0.3">
      <c r="A853" s="407"/>
      <c r="B853" s="106" t="s">
        <v>79</v>
      </c>
      <c r="C853" s="76">
        <v>850</v>
      </c>
      <c r="D853" s="84">
        <v>3</v>
      </c>
      <c r="E853" s="52">
        <f t="shared" si="67"/>
        <v>283.33333333333331</v>
      </c>
      <c r="F853" s="51">
        <v>777.71</v>
      </c>
      <c r="G853" s="93">
        <v>3</v>
      </c>
      <c r="H853" s="99">
        <f>F853/G853</f>
        <v>259.23666666666668</v>
      </c>
      <c r="I853" s="92">
        <f>H853/E853</f>
        <v>0.91495294117647075</v>
      </c>
      <c r="J853" s="272"/>
    </row>
    <row r="854" spans="1:10" ht="15.75" x14ac:dyDescent="0.3">
      <c r="A854" s="407"/>
      <c r="B854" s="106" t="s">
        <v>77</v>
      </c>
      <c r="C854" s="76">
        <v>2000</v>
      </c>
      <c r="D854" s="84">
        <v>6</v>
      </c>
      <c r="E854" s="52">
        <f t="shared" si="67"/>
        <v>333.33333333333331</v>
      </c>
      <c r="F854" s="51">
        <v>2291.7069999999999</v>
      </c>
      <c r="G854" s="93">
        <v>6</v>
      </c>
      <c r="H854" s="99">
        <f>F854/G854</f>
        <v>381.95116666666667</v>
      </c>
      <c r="I854" s="92">
        <f>H854/E854</f>
        <v>1.1458535000000001</v>
      </c>
      <c r="J854" s="272"/>
    </row>
    <row r="855" spans="1:10" ht="15.75" x14ac:dyDescent="0.3">
      <c r="A855" s="407"/>
      <c r="B855" s="245" t="s">
        <v>365</v>
      </c>
      <c r="C855" s="246">
        <f>2750</f>
        <v>2750</v>
      </c>
      <c r="D855" s="84">
        <v>8</v>
      </c>
      <c r="E855" s="52">
        <f>C855/D855</f>
        <v>343.75</v>
      </c>
      <c r="F855" s="95">
        <v>4837.0078000000003</v>
      </c>
      <c r="G855" s="53">
        <f>5+7+4</f>
        <v>16</v>
      </c>
      <c r="H855" s="99">
        <f>F855/G855</f>
        <v>302.31298750000002</v>
      </c>
      <c r="I855" s="92">
        <f>H855/E855</f>
        <v>0.87945596363636369</v>
      </c>
      <c r="J855" s="272"/>
    </row>
    <row r="856" spans="1:10" ht="16.5" x14ac:dyDescent="0.35">
      <c r="A856" s="407"/>
      <c r="B856" s="65" t="s">
        <v>189</v>
      </c>
      <c r="C856" s="66"/>
      <c r="D856" s="108">
        <f>31-SUM(D852:D855)</f>
        <v>11</v>
      </c>
      <c r="E856" s="109"/>
      <c r="F856" s="109"/>
      <c r="G856" s="108">
        <f>31-SUM(G852:G855)</f>
        <v>6</v>
      </c>
      <c r="H856" s="68"/>
      <c r="I856" s="92"/>
      <c r="J856" s="272"/>
    </row>
    <row r="857" spans="1:10" ht="17.25" thickBot="1" x14ac:dyDescent="0.4">
      <c r="A857" s="408"/>
      <c r="B857" s="111" t="s">
        <v>149</v>
      </c>
      <c r="C857" s="82">
        <f>SUM(C852:C856)</f>
        <v>6050</v>
      </c>
      <c r="D857" s="82">
        <f>D856+SUM(D852:D855)</f>
        <v>31</v>
      </c>
      <c r="E857" s="82"/>
      <c r="F857" s="82">
        <f>SUM(F852:F856)</f>
        <v>7906.4248000000007</v>
      </c>
      <c r="G857" s="82">
        <f>G856+SUM(G852:G855)</f>
        <v>31</v>
      </c>
      <c r="H857" s="112"/>
      <c r="I857" s="73">
        <f>F857/C857</f>
        <v>1.3068470743801655</v>
      </c>
      <c r="J857" s="273"/>
    </row>
    <row r="858" spans="1:10" ht="15.75" x14ac:dyDescent="0.3">
      <c r="A858" s="406" t="s">
        <v>190</v>
      </c>
      <c r="B858" s="50"/>
      <c r="C858" s="51"/>
      <c r="D858" s="52"/>
      <c r="E858" s="52"/>
      <c r="F858" s="51"/>
      <c r="G858" s="93"/>
      <c r="H858" s="99"/>
      <c r="I858" s="92"/>
      <c r="J858" s="271"/>
    </row>
    <row r="859" spans="1:10" ht="15.75" x14ac:dyDescent="0.3">
      <c r="A859" s="407"/>
      <c r="B859" s="101" t="s">
        <v>206</v>
      </c>
      <c r="C859" s="95">
        <f>170+68</f>
        <v>238</v>
      </c>
      <c r="D859" s="102">
        <v>14</v>
      </c>
      <c r="E859" s="86">
        <f>C859/D859</f>
        <v>17</v>
      </c>
      <c r="F859" s="95"/>
      <c r="G859" s="103"/>
      <c r="H859" s="99"/>
      <c r="I859" s="92"/>
      <c r="J859" s="272"/>
    </row>
    <row r="860" spans="1:10" ht="15.75" x14ac:dyDescent="0.3">
      <c r="A860" s="407"/>
      <c r="B860" s="101" t="s">
        <v>192</v>
      </c>
      <c r="C860" s="114"/>
      <c r="D860" s="102"/>
      <c r="E860" s="86"/>
      <c r="F860" s="95">
        <v>17</v>
      </c>
      <c r="G860" s="103">
        <v>1</v>
      </c>
      <c r="H860" s="99">
        <f>F860/G860</f>
        <v>17</v>
      </c>
      <c r="I860" s="92"/>
      <c r="J860" s="272"/>
    </row>
    <row r="861" spans="1:10" ht="16.5" x14ac:dyDescent="0.35">
      <c r="A861" s="407"/>
      <c r="B861" s="59" t="s">
        <v>146</v>
      </c>
      <c r="C861" s="60"/>
      <c r="D861" s="61">
        <f>SUM(D859:D860)</f>
        <v>14</v>
      </c>
      <c r="E861" s="61"/>
      <c r="F861" s="62"/>
      <c r="G861" s="61">
        <f>SUM(G859:G860)</f>
        <v>1</v>
      </c>
      <c r="H861" s="61"/>
      <c r="I861" s="92"/>
      <c r="J861" s="272"/>
    </row>
    <row r="862" spans="1:10" ht="15.75" x14ac:dyDescent="0.3">
      <c r="A862" s="407"/>
      <c r="B862" s="65" t="s">
        <v>148</v>
      </c>
      <c r="C862" s="66"/>
      <c r="D862" s="68">
        <f>31-D861</f>
        <v>17</v>
      </c>
      <c r="E862" s="67"/>
      <c r="F862" s="67"/>
      <c r="G862" s="81">
        <f>31-G861</f>
        <v>30</v>
      </c>
      <c r="H862" s="97"/>
      <c r="I862" s="92"/>
      <c r="J862" s="272"/>
    </row>
    <row r="863" spans="1:10" ht="17.25" thickBot="1" x14ac:dyDescent="0.4">
      <c r="A863" s="408"/>
      <c r="B863" s="70" t="s">
        <v>149</v>
      </c>
      <c r="C863" s="71">
        <f>SUM(C859:C860)</f>
        <v>238</v>
      </c>
      <c r="D863" s="71">
        <f>D862+D861</f>
        <v>31</v>
      </c>
      <c r="E863" s="71"/>
      <c r="F863" s="71">
        <f>SUM(F859:F860)</f>
        <v>17</v>
      </c>
      <c r="G863" s="71">
        <f>G862+G861</f>
        <v>31</v>
      </c>
      <c r="H863" s="105"/>
      <c r="I863" s="73">
        <f>F863/C863</f>
        <v>7.1428571428571425E-2</v>
      </c>
      <c r="J863" s="273"/>
    </row>
    <row r="864" spans="1:10" ht="19.5" x14ac:dyDescent="0.3">
      <c r="A864" s="332"/>
      <c r="B864" s="101" t="s">
        <v>373</v>
      </c>
      <c r="C864" s="95">
        <v>560</v>
      </c>
      <c r="D864" s="102">
        <v>10</v>
      </c>
      <c r="E864" s="86">
        <f>C864/D864</f>
        <v>56</v>
      </c>
      <c r="F864" s="95">
        <v>418.28162399999997</v>
      </c>
      <c r="G864" s="103">
        <v>7.5</v>
      </c>
      <c r="H864" s="86">
        <f>F864/G864</f>
        <v>55.770883199999993</v>
      </c>
      <c r="I864" s="92">
        <f>H864/E864</f>
        <v>0.99590862857142848</v>
      </c>
      <c r="J864" s="271"/>
    </row>
    <row r="865" spans="1:10" ht="15.75" x14ac:dyDescent="0.3">
      <c r="A865" s="407" t="s">
        <v>194</v>
      </c>
      <c r="B865" s="101" t="s">
        <v>370</v>
      </c>
      <c r="C865" s="95"/>
      <c r="D865" s="102"/>
      <c r="E865" s="86"/>
      <c r="F865" s="95"/>
      <c r="G865" s="103"/>
      <c r="H865" s="99"/>
      <c r="I865" s="92"/>
      <c r="J865" s="272"/>
    </row>
    <row r="866" spans="1:10" ht="15.75" x14ac:dyDescent="0.3">
      <c r="A866" s="407"/>
      <c r="B866" s="101" t="s">
        <v>208</v>
      </c>
      <c r="C866" s="114"/>
      <c r="D866" s="102"/>
      <c r="E866" s="86"/>
      <c r="F866" s="103">
        <v>96.090000000000032</v>
      </c>
      <c r="G866" s="103">
        <v>1.5</v>
      </c>
      <c r="H866" s="86">
        <f>F866/G866</f>
        <v>64.060000000000016</v>
      </c>
      <c r="I866" s="92"/>
      <c r="J866" s="272"/>
    </row>
    <row r="867" spans="1:10" ht="16.5" x14ac:dyDescent="0.35">
      <c r="A867" s="407"/>
      <c r="B867" s="59" t="s">
        <v>146</v>
      </c>
      <c r="C867" s="60"/>
      <c r="D867" s="61">
        <f>SUM(D864:D866)</f>
        <v>10</v>
      </c>
      <c r="E867" s="61"/>
      <c r="F867" s="62"/>
      <c r="G867" s="61">
        <f>SUM(G864:G866)</f>
        <v>9</v>
      </c>
      <c r="H867" s="61"/>
      <c r="I867" s="92"/>
      <c r="J867" s="272"/>
    </row>
    <row r="868" spans="1:10" ht="15.75" x14ac:dyDescent="0.3">
      <c r="A868" s="407"/>
      <c r="B868" s="65" t="s">
        <v>148</v>
      </c>
      <c r="C868" s="66"/>
      <c r="D868" s="68">
        <f>31-D867</f>
        <v>21</v>
      </c>
      <c r="E868" s="67"/>
      <c r="F868" s="67"/>
      <c r="G868" s="81">
        <f>31-G867</f>
        <v>22</v>
      </c>
      <c r="H868" s="97"/>
      <c r="I868" s="92"/>
      <c r="J868" s="272"/>
    </row>
    <row r="869" spans="1:10" ht="17.25" thickBot="1" x14ac:dyDescent="0.4">
      <c r="A869" s="408"/>
      <c r="B869" s="70" t="s">
        <v>149</v>
      </c>
      <c r="C869" s="71">
        <f>SUM(C864:C866)</f>
        <v>560</v>
      </c>
      <c r="D869" s="71">
        <f>D868+D867</f>
        <v>31</v>
      </c>
      <c r="E869" s="71"/>
      <c r="F869" s="71">
        <f>SUM(F864:F866)</f>
        <v>514.371624</v>
      </c>
      <c r="G869" s="71">
        <f>G868+G867</f>
        <v>31</v>
      </c>
      <c r="H869" s="105"/>
      <c r="I869" s="73">
        <f>F869/C869</f>
        <v>0.91852075714285719</v>
      </c>
      <c r="J869" s="273"/>
    </row>
    <row r="871" spans="1:10" ht="21" x14ac:dyDescent="0.4">
      <c r="A871" s="37" t="s">
        <v>394</v>
      </c>
      <c r="B871" s="37"/>
      <c r="C871" s="37"/>
      <c r="D871" s="37"/>
      <c r="E871" s="37"/>
      <c r="F871" s="37"/>
      <c r="G871" s="37"/>
      <c r="H871" s="37"/>
      <c r="I871" s="37"/>
      <c r="J871" s="255"/>
    </row>
    <row r="872" spans="1:10" ht="17.25" thickBot="1" x14ac:dyDescent="0.4">
      <c r="A872" s="40"/>
      <c r="B872" s="41"/>
      <c r="C872" s="42"/>
      <c r="D872" s="42"/>
      <c r="E872" s="42"/>
      <c r="F872" s="42"/>
      <c r="G872" s="42"/>
      <c r="H872" s="42"/>
      <c r="I872" s="42"/>
      <c r="J872" s="256"/>
    </row>
    <row r="873" spans="1:10" ht="16.5" x14ac:dyDescent="0.35">
      <c r="A873" s="409" t="s">
        <v>128</v>
      </c>
      <c r="B873" s="44"/>
      <c r="C873" s="45"/>
      <c r="D873" s="45"/>
      <c r="E873" s="45"/>
      <c r="F873" s="45"/>
      <c r="G873" s="411" t="s">
        <v>129</v>
      </c>
      <c r="H873" s="341"/>
      <c r="I873" s="413" t="s">
        <v>130</v>
      </c>
      <c r="J873" s="257" t="s">
        <v>131</v>
      </c>
    </row>
    <row r="874" spans="1:10" ht="66.75" thickBot="1" x14ac:dyDescent="0.3">
      <c r="A874" s="410"/>
      <c r="B874" s="46"/>
      <c r="C874" s="47" t="s">
        <v>132</v>
      </c>
      <c r="D874" s="48" t="s">
        <v>133</v>
      </c>
      <c r="E874" s="48" t="s">
        <v>134</v>
      </c>
      <c r="F874" s="49" t="s">
        <v>135</v>
      </c>
      <c r="G874" s="412"/>
      <c r="H874" s="48" t="s">
        <v>136</v>
      </c>
      <c r="I874" s="414"/>
      <c r="J874" s="258"/>
    </row>
    <row r="875" spans="1:10" ht="15.75" x14ac:dyDescent="0.3">
      <c r="A875" s="415" t="s">
        <v>137</v>
      </c>
      <c r="B875" s="50" t="s">
        <v>340</v>
      </c>
      <c r="C875" s="51">
        <f>1802+250+1802</f>
        <v>3854</v>
      </c>
      <c r="D875" s="123">
        <f>1+5+5</f>
        <v>11</v>
      </c>
      <c r="E875" s="52">
        <f>C875/D875</f>
        <v>350.36363636363637</v>
      </c>
      <c r="F875" s="51">
        <v>2105.5030000000002</v>
      </c>
      <c r="G875" s="53">
        <v>6</v>
      </c>
      <c r="H875" s="53">
        <f>F875/G875</f>
        <v>350.91716666666667</v>
      </c>
      <c r="I875" s="54">
        <f>H875/E875</f>
        <v>1.0015798737242692</v>
      </c>
      <c r="J875" s="259"/>
    </row>
    <row r="876" spans="1:10" ht="15.75" x14ac:dyDescent="0.3">
      <c r="A876" s="416"/>
      <c r="B876" s="56" t="s">
        <v>140</v>
      </c>
      <c r="C876" s="57"/>
      <c r="D876" s="53"/>
      <c r="E876" s="52"/>
      <c r="F876" s="57"/>
      <c r="G876" s="53"/>
      <c r="H876" s="53"/>
      <c r="I876" s="54"/>
      <c r="J876" s="260"/>
    </row>
    <row r="877" spans="1:10" ht="15.75" x14ac:dyDescent="0.3">
      <c r="A877" s="416"/>
      <c r="B877" s="56" t="s">
        <v>325</v>
      </c>
      <c r="C877" s="57">
        <v>700</v>
      </c>
      <c r="D877" s="58">
        <v>4</v>
      </c>
      <c r="E877" s="52">
        <f>C877/D877</f>
        <v>175</v>
      </c>
      <c r="F877" s="57">
        <f>443.68+847.59</f>
        <v>1291.27</v>
      </c>
      <c r="G877" s="53">
        <v>8</v>
      </c>
      <c r="H877" s="53">
        <f t="shared" ref="H877" si="68">F877/G877</f>
        <v>161.40875</v>
      </c>
      <c r="I877" s="54">
        <f>H877/E877</f>
        <v>0.92233571428571426</v>
      </c>
      <c r="J877" s="260"/>
    </row>
    <row r="878" spans="1:10" ht="15.75" x14ac:dyDescent="0.3">
      <c r="A878" s="416"/>
      <c r="B878" s="56" t="s">
        <v>143</v>
      </c>
      <c r="C878" s="57">
        <v>650</v>
      </c>
      <c r="D878" s="58">
        <v>4</v>
      </c>
      <c r="E878" s="52">
        <f>C878/D878</f>
        <v>162.5</v>
      </c>
      <c r="F878" s="57">
        <v>630.39</v>
      </c>
      <c r="G878" s="53">
        <v>4</v>
      </c>
      <c r="H878" s="53">
        <f t="shared" ref="H878" si="69">F878/G878</f>
        <v>157.5975</v>
      </c>
      <c r="I878" s="54">
        <f>H878/E878</f>
        <v>0.96983076923076916</v>
      </c>
      <c r="J878" s="260"/>
    </row>
    <row r="879" spans="1:10" ht="15.75" x14ac:dyDescent="0.3">
      <c r="A879" s="416"/>
      <c r="B879" s="56" t="s">
        <v>400</v>
      </c>
      <c r="C879" s="57">
        <v>120</v>
      </c>
      <c r="D879" s="58">
        <v>1</v>
      </c>
      <c r="E879" s="52">
        <f>C879/D879</f>
        <v>120</v>
      </c>
      <c r="F879" s="57">
        <v>142</v>
      </c>
      <c r="G879" s="53">
        <v>1</v>
      </c>
      <c r="H879" s="53">
        <f t="shared" ref="H879" si="70">F879/G879</f>
        <v>142</v>
      </c>
      <c r="I879" s="54">
        <f>H879/E879</f>
        <v>1.1833333333333333</v>
      </c>
      <c r="J879" s="260"/>
    </row>
    <row r="880" spans="1:10" ht="15.75" x14ac:dyDescent="0.3">
      <c r="A880" s="416"/>
      <c r="B880" s="56" t="s">
        <v>145</v>
      </c>
      <c r="C880" s="57">
        <v>800</v>
      </c>
      <c r="D880" s="58">
        <v>6</v>
      </c>
      <c r="E880" s="52">
        <f>C880/D880</f>
        <v>133.33333333333334</v>
      </c>
      <c r="F880" s="57">
        <v>717</v>
      </c>
      <c r="G880" s="53">
        <v>9</v>
      </c>
      <c r="H880" s="53">
        <f t="shared" ref="H880" si="71">F880/G880</f>
        <v>79.666666666666671</v>
      </c>
      <c r="I880" s="54">
        <f>H880/E880</f>
        <v>0.59750000000000003</v>
      </c>
      <c r="J880" s="260"/>
    </row>
    <row r="881" spans="1:10" ht="15.75" x14ac:dyDescent="0.3">
      <c r="A881" s="416"/>
      <c r="B881" s="50"/>
      <c r="C881" s="57"/>
      <c r="D881" s="58"/>
      <c r="E881" s="52"/>
      <c r="F881" s="57"/>
      <c r="G881" s="53"/>
      <c r="H881" s="53"/>
      <c r="I881" s="53"/>
      <c r="J881" s="260"/>
    </row>
    <row r="882" spans="1:10" ht="16.5" x14ac:dyDescent="0.35">
      <c r="A882" s="416"/>
      <c r="B882" s="59" t="s">
        <v>146</v>
      </c>
      <c r="C882" s="60"/>
      <c r="D882" s="61">
        <f>SUM(D875:D881)</f>
        <v>26</v>
      </c>
      <c r="E882" s="61"/>
      <c r="F882" s="62"/>
      <c r="G882" s="63">
        <f>SUM(G875:G881)</f>
        <v>28</v>
      </c>
      <c r="H882" s="64"/>
      <c r="I882" s="53"/>
      <c r="J882" s="260"/>
    </row>
    <row r="883" spans="1:10" ht="16.5" x14ac:dyDescent="0.35">
      <c r="A883" s="416"/>
      <c r="B883" s="59" t="s">
        <v>147</v>
      </c>
      <c r="C883" s="60"/>
      <c r="D883" s="61">
        <v>0</v>
      </c>
      <c r="E883" s="62"/>
      <c r="F883" s="62"/>
      <c r="G883" s="63"/>
      <c r="H883" s="64"/>
      <c r="I883" s="53"/>
      <c r="J883" s="260"/>
    </row>
    <row r="884" spans="1:10" ht="15.75" x14ac:dyDescent="0.3">
      <c r="A884" s="416"/>
      <c r="B884" s="65" t="s">
        <v>148</v>
      </c>
      <c r="C884" s="66"/>
      <c r="D884" s="68">
        <f>31-D883-D882</f>
        <v>5</v>
      </c>
      <c r="E884" s="67"/>
      <c r="F884" s="67"/>
      <c r="G884" s="68">
        <f>31-G883-G882</f>
        <v>3</v>
      </c>
      <c r="H884" s="69"/>
      <c r="I884" s="53"/>
      <c r="J884" s="260"/>
    </row>
    <row r="885" spans="1:10" ht="17.25" thickBot="1" x14ac:dyDescent="0.4">
      <c r="A885" s="417"/>
      <c r="B885" s="70" t="s">
        <v>149</v>
      </c>
      <c r="C885" s="71">
        <f>SUM(C875:C880)</f>
        <v>6124</v>
      </c>
      <c r="D885" s="71">
        <f>D882+D883+D884</f>
        <v>31</v>
      </c>
      <c r="E885" s="71">
        <f>E882+E883+E884</f>
        <v>0</v>
      </c>
      <c r="F885" s="72">
        <f>SUM(F875:F881)</f>
        <v>4886.1630000000005</v>
      </c>
      <c r="G885" s="71">
        <f>G882+G883+G884</f>
        <v>31</v>
      </c>
      <c r="H885" s="71"/>
      <c r="I885" s="73">
        <f>F885/C885</f>
        <v>0.7978711626387982</v>
      </c>
      <c r="J885" s="261"/>
    </row>
    <row r="886" spans="1:10" ht="15.75" x14ac:dyDescent="0.3">
      <c r="A886" s="421" t="s">
        <v>150</v>
      </c>
      <c r="B886" s="50" t="s">
        <v>154</v>
      </c>
      <c r="C886" s="76"/>
      <c r="D886" s="52"/>
      <c r="E886" s="52"/>
      <c r="F886" s="51"/>
      <c r="G886" s="52"/>
      <c r="H886" s="241"/>
      <c r="I886" s="91"/>
      <c r="J886" s="262"/>
    </row>
    <row r="887" spans="1:10" ht="15.75" x14ac:dyDescent="0.3">
      <c r="A887" s="422"/>
      <c r="B887" s="50" t="s">
        <v>366</v>
      </c>
      <c r="C887" s="76">
        <f>2369+1850</f>
        <v>4219</v>
      </c>
      <c r="D887" s="52">
        <f>8+5</f>
        <v>13</v>
      </c>
      <c r="E887" s="52">
        <f>C887/D887</f>
        <v>324.53846153846155</v>
      </c>
      <c r="F887" s="52">
        <v>3036.3230000000003</v>
      </c>
      <c r="G887" s="127">
        <v>7</v>
      </c>
      <c r="H887" s="241">
        <f>F887/G887</f>
        <v>433.76042857142863</v>
      </c>
      <c r="I887" s="92">
        <f>H887/E887</f>
        <v>1.33654552534453</v>
      </c>
      <c r="J887" s="263"/>
    </row>
    <row r="888" spans="1:10" ht="15.75" x14ac:dyDescent="0.3">
      <c r="A888" s="422"/>
      <c r="B888" s="50" t="s">
        <v>155</v>
      </c>
      <c r="C888" s="57"/>
      <c r="D888" s="58"/>
      <c r="E888" s="52"/>
      <c r="F888" s="57"/>
      <c r="G888" s="52"/>
      <c r="H888" s="241"/>
      <c r="I888" s="92"/>
      <c r="J888" s="263"/>
    </row>
    <row r="889" spans="1:10" ht="15.75" x14ac:dyDescent="0.3">
      <c r="A889" s="422"/>
      <c r="B889" s="78" t="s">
        <v>368</v>
      </c>
      <c r="C889" s="51">
        <v>532</v>
      </c>
      <c r="D889" s="52">
        <v>8</v>
      </c>
      <c r="E889" s="52">
        <f>C889/D889</f>
        <v>66.5</v>
      </c>
      <c r="F889" s="79">
        <f>334.8+250.65+181.11+169.65</f>
        <v>936.21</v>
      </c>
      <c r="G889" s="52">
        <v>10</v>
      </c>
      <c r="H889" s="241">
        <f>F889/G889</f>
        <v>93.621000000000009</v>
      </c>
      <c r="I889" s="92">
        <f>H889/E889</f>
        <v>1.4078345864661657</v>
      </c>
      <c r="J889" s="263"/>
    </row>
    <row r="890" spans="1:10" ht="15.75" x14ac:dyDescent="0.3">
      <c r="A890" s="422"/>
      <c r="B890" s="78" t="s">
        <v>353</v>
      </c>
      <c r="C890" s="51"/>
      <c r="D890" s="52"/>
      <c r="E890" s="52"/>
      <c r="F890" s="51">
        <v>134.226</v>
      </c>
      <c r="G890" s="52">
        <v>2</v>
      </c>
      <c r="H890" s="241">
        <f>F890/G890</f>
        <v>67.113</v>
      </c>
      <c r="I890" s="92"/>
      <c r="J890" s="263"/>
    </row>
    <row r="891" spans="1:10" ht="15.75" x14ac:dyDescent="0.3">
      <c r="A891" s="422"/>
      <c r="B891" s="78" t="s">
        <v>327</v>
      </c>
      <c r="C891" s="51"/>
      <c r="D891" s="52"/>
      <c r="E891" s="52"/>
      <c r="F891" s="52"/>
      <c r="G891" s="52"/>
      <c r="H891" s="241"/>
      <c r="I891" s="92"/>
      <c r="J891" s="263"/>
    </row>
    <row r="892" spans="1:10" ht="15.75" x14ac:dyDescent="0.3">
      <c r="A892" s="422"/>
      <c r="B892" s="78" t="s">
        <v>402</v>
      </c>
      <c r="C892" s="76">
        <v>260</v>
      </c>
      <c r="D892" s="84">
        <v>2</v>
      </c>
      <c r="E892" s="52">
        <f>C892/D892</f>
        <v>130</v>
      </c>
      <c r="F892" s="52">
        <v>273.03099999999995</v>
      </c>
      <c r="G892" s="52">
        <v>2.5</v>
      </c>
      <c r="H892" s="241">
        <f>F892/G892</f>
        <v>109.21239999999997</v>
      </c>
      <c r="I892" s="92">
        <f t="shared" ref="I892" si="72">H892/E892</f>
        <v>0.84009538461538447</v>
      </c>
      <c r="J892" s="263"/>
    </row>
    <row r="893" spans="1:10" ht="15.75" x14ac:dyDescent="0.3">
      <c r="A893" s="422"/>
      <c r="B893" s="78" t="s">
        <v>401</v>
      </c>
      <c r="C893" s="76"/>
      <c r="D893" s="84"/>
      <c r="E893" s="52"/>
      <c r="F893" s="344"/>
      <c r="G893" s="52"/>
      <c r="H893" s="241"/>
      <c r="I893" s="92"/>
      <c r="J893" s="263"/>
    </row>
    <row r="894" spans="1:10" ht="15.75" x14ac:dyDescent="0.3">
      <c r="A894" s="422"/>
      <c r="B894" s="78" t="s">
        <v>328</v>
      </c>
      <c r="C894" s="51">
        <v>640</v>
      </c>
      <c r="D894" s="52">
        <v>4</v>
      </c>
      <c r="E894" s="52">
        <f>C894/D894</f>
        <v>160</v>
      </c>
      <c r="F894" s="79">
        <f>272.219+224.24+145.84</f>
        <v>642.29899999999998</v>
      </c>
      <c r="G894" s="52">
        <v>6</v>
      </c>
      <c r="H894" s="241">
        <f>F894/G894</f>
        <v>107.04983333333332</v>
      </c>
      <c r="I894" s="92">
        <f>H894/E894</f>
        <v>0.6690614583333333</v>
      </c>
      <c r="J894" s="263"/>
    </row>
    <row r="895" spans="1:10" ht="15.75" x14ac:dyDescent="0.3">
      <c r="A895" s="422"/>
      <c r="B895" s="78" t="s">
        <v>367</v>
      </c>
      <c r="C895" s="51"/>
      <c r="D895" s="52"/>
      <c r="E895" s="52"/>
      <c r="F895" s="51"/>
      <c r="G895" s="52"/>
      <c r="H895" s="241"/>
      <c r="I895" s="99"/>
      <c r="J895" s="263"/>
    </row>
    <row r="896" spans="1:10" ht="16.5" x14ac:dyDescent="0.35">
      <c r="A896" s="422"/>
      <c r="B896" s="59" t="s">
        <v>146</v>
      </c>
      <c r="C896" s="60"/>
      <c r="D896" s="63">
        <f>SUM(D886:D895)</f>
        <v>27</v>
      </c>
      <c r="E896" s="61"/>
      <c r="F896" s="62"/>
      <c r="G896" s="125">
        <f>SUM(G886:G895)</f>
        <v>27.5</v>
      </c>
      <c r="H896" s="63"/>
      <c r="I896" s="99"/>
      <c r="J896" s="263"/>
    </row>
    <row r="897" spans="1:10" ht="15.75" x14ac:dyDescent="0.3">
      <c r="A897" s="422"/>
      <c r="B897" s="65" t="s">
        <v>148</v>
      </c>
      <c r="C897" s="66"/>
      <c r="D897" s="81">
        <f>31-D896</f>
        <v>4</v>
      </c>
      <c r="E897" s="67"/>
      <c r="F897" s="67"/>
      <c r="G897" s="345">
        <f>31-G896</f>
        <v>3.5</v>
      </c>
      <c r="H897" s="243"/>
      <c r="I897" s="112"/>
      <c r="J897" s="263"/>
    </row>
    <row r="898" spans="1:10" ht="17.25" thickBot="1" x14ac:dyDescent="0.4">
      <c r="A898" s="423"/>
      <c r="B898" s="70" t="s">
        <v>149</v>
      </c>
      <c r="C898" s="71">
        <f>SUM(C886:C895)</f>
        <v>5651</v>
      </c>
      <c r="D898" s="71">
        <f>D896+D897</f>
        <v>31</v>
      </c>
      <c r="E898" s="71">
        <f>E896+E897</f>
        <v>0</v>
      </c>
      <c r="F898" s="71">
        <f>SUM(F886:F895)</f>
        <v>5022.0889999999999</v>
      </c>
      <c r="G898" s="71">
        <f t="shared" ref="G898" si="73">G896+G897</f>
        <v>31</v>
      </c>
      <c r="H898" s="82"/>
      <c r="I898" s="73">
        <f>F898/C898</f>
        <v>0.88870801628030438</v>
      </c>
      <c r="J898" s="264"/>
    </row>
    <row r="899" spans="1:10" ht="15.75" x14ac:dyDescent="0.3">
      <c r="A899" s="421" t="s">
        <v>161</v>
      </c>
      <c r="B899" s="50" t="s">
        <v>199</v>
      </c>
      <c r="C899" s="51">
        <v>280</v>
      </c>
      <c r="D899" s="83">
        <v>4</v>
      </c>
      <c r="E899" s="52">
        <f>C899/D899</f>
        <v>70</v>
      </c>
      <c r="F899" s="51">
        <v>462.24030000000005</v>
      </c>
      <c r="G899" s="83">
        <v>6.5</v>
      </c>
      <c r="H899" s="53">
        <f t="shared" ref="H899" si="74">F899/G899</f>
        <v>71.113892307692311</v>
      </c>
      <c r="I899" s="92">
        <f t="shared" ref="I899" si="75">H899/E899</f>
        <v>1.0159127472527474</v>
      </c>
      <c r="J899" s="265"/>
    </row>
    <row r="900" spans="1:10" ht="15.75" x14ac:dyDescent="0.3">
      <c r="A900" s="422"/>
      <c r="B900" s="50" t="s">
        <v>399</v>
      </c>
      <c r="C900" s="76">
        <v>160</v>
      </c>
      <c r="D900" s="84">
        <v>2</v>
      </c>
      <c r="E900" s="52">
        <f>C900/D900</f>
        <v>80</v>
      </c>
      <c r="F900" s="51"/>
      <c r="G900" s="52"/>
      <c r="H900" s="53"/>
      <c r="I900" s="92"/>
      <c r="J900" s="266"/>
    </row>
    <row r="901" spans="1:10" ht="15.75" x14ac:dyDescent="0.3">
      <c r="A901" s="422"/>
      <c r="B901" s="50" t="s">
        <v>216</v>
      </c>
      <c r="C901" s="76"/>
      <c r="D901" s="84"/>
      <c r="E901" s="52"/>
      <c r="F901" s="57"/>
      <c r="G901" s="52"/>
      <c r="H901" s="53"/>
      <c r="I901" s="92"/>
      <c r="J901" s="266"/>
    </row>
    <row r="902" spans="1:10" ht="15.75" x14ac:dyDescent="0.3">
      <c r="A902" s="422"/>
      <c r="B902" s="50" t="s">
        <v>384</v>
      </c>
      <c r="C902" s="76"/>
      <c r="D902" s="84"/>
      <c r="E902" s="52"/>
      <c r="F902" s="57"/>
      <c r="G902" s="52"/>
      <c r="H902" s="53"/>
      <c r="I902" s="92"/>
      <c r="J902" s="266"/>
    </row>
    <row r="903" spans="1:10" ht="15.75" x14ac:dyDescent="0.3">
      <c r="A903" s="422"/>
      <c r="B903" s="50" t="s">
        <v>403</v>
      </c>
      <c r="C903" s="76"/>
      <c r="D903" s="84"/>
      <c r="E903" s="52"/>
      <c r="F903" s="344">
        <v>176.84899999999999</v>
      </c>
      <c r="G903" s="52">
        <v>6</v>
      </c>
      <c r="H903" s="241">
        <f>F903/G903</f>
        <v>29.474833333333333</v>
      </c>
      <c r="I903" s="92"/>
      <c r="J903" s="266"/>
    </row>
    <row r="904" spans="1:10" ht="15.75" x14ac:dyDescent="0.3">
      <c r="A904" s="422"/>
      <c r="B904" s="50" t="s">
        <v>383</v>
      </c>
      <c r="C904" s="76"/>
      <c r="D904" s="52"/>
      <c r="E904" s="52"/>
      <c r="F904" s="51"/>
      <c r="G904" s="90"/>
      <c r="H904" s="53"/>
      <c r="I904" s="92"/>
      <c r="J904" s="266"/>
    </row>
    <row r="905" spans="1:10" ht="15.75" x14ac:dyDescent="0.3">
      <c r="A905" s="422"/>
      <c r="B905" s="50" t="s">
        <v>232</v>
      </c>
      <c r="C905" s="76"/>
      <c r="D905" s="84"/>
      <c r="E905" s="52"/>
      <c r="F905" s="51">
        <v>69.037000000000006</v>
      </c>
      <c r="G905" s="52">
        <v>1</v>
      </c>
      <c r="H905" s="53">
        <f t="shared" ref="H905:H907" si="76">F905/G905</f>
        <v>69.037000000000006</v>
      </c>
      <c r="I905" s="92"/>
      <c r="J905" s="266"/>
    </row>
    <row r="906" spans="1:10" ht="15.75" x14ac:dyDescent="0.3">
      <c r="A906" s="422"/>
      <c r="B906" s="50" t="s">
        <v>404</v>
      </c>
      <c r="C906" s="76"/>
      <c r="D906" s="84"/>
      <c r="E906" s="52"/>
      <c r="F906" s="51">
        <v>246.56</v>
      </c>
      <c r="G906" s="52">
        <v>1.5</v>
      </c>
      <c r="H906" s="53">
        <f t="shared" si="76"/>
        <v>164.37333333333333</v>
      </c>
      <c r="I906" s="92"/>
      <c r="J906" s="266"/>
    </row>
    <row r="907" spans="1:10" ht="15.75" x14ac:dyDescent="0.3">
      <c r="A907" s="422"/>
      <c r="B907" s="50" t="s">
        <v>167</v>
      </c>
      <c r="C907" s="76">
        <v>300</v>
      </c>
      <c r="D907" s="84">
        <v>5</v>
      </c>
      <c r="E907" s="52">
        <f t="shared" ref="E907" si="77">C907/D907</f>
        <v>60</v>
      </c>
      <c r="F907" s="57">
        <v>209.45500000000001</v>
      </c>
      <c r="G907" s="52">
        <v>3</v>
      </c>
      <c r="H907" s="53">
        <f t="shared" si="76"/>
        <v>69.818333333333342</v>
      </c>
      <c r="I907" s="92"/>
      <c r="J907" s="266"/>
    </row>
    <row r="908" spans="1:10" ht="15.75" x14ac:dyDescent="0.3">
      <c r="A908" s="422"/>
      <c r="B908" s="50" t="s">
        <v>217</v>
      </c>
      <c r="C908" s="76"/>
      <c r="D908" s="84"/>
      <c r="E908" s="52"/>
      <c r="F908" s="57"/>
      <c r="G908" s="90"/>
      <c r="H908" s="53"/>
      <c r="I908" s="92"/>
      <c r="J908" s="266"/>
    </row>
    <row r="909" spans="1:10" ht="15.75" x14ac:dyDescent="0.3">
      <c r="A909" s="422"/>
      <c r="B909" s="50" t="s">
        <v>397</v>
      </c>
      <c r="C909" s="76">
        <v>672</v>
      </c>
      <c r="D909" s="84">
        <v>8</v>
      </c>
      <c r="E909" s="52">
        <f>C909/D909</f>
        <v>84</v>
      </c>
      <c r="F909" s="57"/>
      <c r="G909" s="90"/>
      <c r="H909" s="53"/>
      <c r="I909" s="92"/>
      <c r="J909" s="266"/>
    </row>
    <row r="910" spans="1:10" ht="15.75" x14ac:dyDescent="0.3">
      <c r="A910" s="422"/>
      <c r="B910" s="50" t="s">
        <v>398</v>
      </c>
      <c r="C910" s="76">
        <v>355</v>
      </c>
      <c r="D910" s="84">
        <v>4</v>
      </c>
      <c r="E910" s="52">
        <f>C910/D910</f>
        <v>88.75</v>
      </c>
      <c r="F910" s="57">
        <f>182.696+665.23</f>
        <v>847.92600000000004</v>
      </c>
      <c r="G910" s="52">
        <v>2</v>
      </c>
      <c r="H910" s="53">
        <f t="shared" ref="H910" si="78">F910/G910</f>
        <v>423.96300000000002</v>
      </c>
      <c r="I910" s="92">
        <f>H910/E910</f>
        <v>4.7770478873239437</v>
      </c>
      <c r="J910" s="266"/>
    </row>
    <row r="911" spans="1:10" ht="16.5" x14ac:dyDescent="0.35">
      <c r="A911" s="422"/>
      <c r="B911" s="59" t="s">
        <v>146</v>
      </c>
      <c r="C911" s="61">
        <f>SUM(C899:C910)</f>
        <v>1767</v>
      </c>
      <c r="D911" s="61">
        <f t="shared" ref="D911:G911" si="79">SUM(D899:D910)</f>
        <v>23</v>
      </c>
      <c r="E911" s="61"/>
      <c r="F911" s="61">
        <f t="shared" si="79"/>
        <v>2012.0673000000002</v>
      </c>
      <c r="G911" s="61">
        <f t="shared" si="79"/>
        <v>20</v>
      </c>
      <c r="H911" s="61"/>
      <c r="I911" s="92"/>
      <c r="J911" s="266"/>
    </row>
    <row r="912" spans="1:10" ht="15.75" x14ac:dyDescent="0.3">
      <c r="A912" s="422"/>
      <c r="B912" s="65" t="s">
        <v>148</v>
      </c>
      <c r="C912" s="66"/>
      <c r="D912" s="67">
        <f>31-D911</f>
        <v>8</v>
      </c>
      <c r="E912" s="67"/>
      <c r="F912" s="67"/>
      <c r="G912" s="67">
        <f>31-G911</f>
        <v>11</v>
      </c>
      <c r="H912" s="87"/>
      <c r="I912" s="92"/>
      <c r="J912" s="266"/>
    </row>
    <row r="913" spans="1:10" ht="17.25" thickBot="1" x14ac:dyDescent="0.4">
      <c r="A913" s="423"/>
      <c r="B913" s="70" t="s">
        <v>149</v>
      </c>
      <c r="C913" s="71">
        <f>SUM(C899:C910)</f>
        <v>1767</v>
      </c>
      <c r="D913" s="71">
        <f>D911+D912</f>
        <v>31</v>
      </c>
      <c r="E913" s="71"/>
      <c r="F913" s="71"/>
      <c r="G913" s="71">
        <f>G912+G911</f>
        <v>31</v>
      </c>
      <c r="H913" s="82"/>
      <c r="I913" s="73">
        <f>F913/C913</f>
        <v>0</v>
      </c>
      <c r="J913" s="267"/>
    </row>
    <row r="914" spans="1:10" ht="15.75" x14ac:dyDescent="0.3">
      <c r="A914" s="421" t="s">
        <v>169</v>
      </c>
      <c r="B914" s="88" t="s">
        <v>170</v>
      </c>
      <c r="C914" s="89">
        <v>490</v>
      </c>
      <c r="D914" s="52">
        <v>7</v>
      </c>
      <c r="E914" s="52">
        <f>C914/D914</f>
        <v>70</v>
      </c>
      <c r="F914" s="51">
        <v>424.30370000000005</v>
      </c>
      <c r="G914" s="52">
        <v>6.5</v>
      </c>
      <c r="H914" s="53">
        <f>F914/G914</f>
        <v>65.277492307692313</v>
      </c>
      <c r="I914" s="92">
        <f>H914/E914</f>
        <v>0.93253560439560446</v>
      </c>
      <c r="J914" s="265"/>
    </row>
    <row r="915" spans="1:10" ht="15.75" x14ac:dyDescent="0.3">
      <c r="A915" s="422"/>
      <c r="B915" s="244" t="s">
        <v>331</v>
      </c>
      <c r="C915" s="51"/>
      <c r="D915" s="52"/>
      <c r="E915" s="52"/>
      <c r="F915" s="51"/>
      <c r="G915" s="52"/>
      <c r="H915" s="53"/>
      <c r="I915" s="92"/>
      <c r="J915" s="266"/>
    </row>
    <row r="916" spans="1:10" ht="15.75" x14ac:dyDescent="0.3">
      <c r="A916" s="422"/>
      <c r="B916" s="80" t="s">
        <v>48</v>
      </c>
      <c r="C916" s="76"/>
      <c r="D916" s="52"/>
      <c r="E916" s="52"/>
      <c r="F916" s="57"/>
      <c r="G916" s="52"/>
      <c r="H916" s="53" t="e">
        <f t="shared" ref="H916" si="80">F916/G916</f>
        <v>#DIV/0!</v>
      </c>
      <c r="I916" s="92" t="e">
        <f t="shared" ref="I916" si="81">H916/E916</f>
        <v>#DIV/0!</v>
      </c>
      <c r="J916" s="266"/>
    </row>
    <row r="917" spans="1:10" ht="15.75" x14ac:dyDescent="0.3">
      <c r="A917" s="422"/>
      <c r="B917" s="80" t="s">
        <v>159</v>
      </c>
      <c r="C917" s="76">
        <v>560</v>
      </c>
      <c r="D917" s="52">
        <v>6</v>
      </c>
      <c r="E917" s="52">
        <f>C917/D917</f>
        <v>93.333333333333329</v>
      </c>
      <c r="F917" s="57">
        <f>505.477+46.73</f>
        <v>552.20699999999999</v>
      </c>
      <c r="G917" s="52">
        <v>7</v>
      </c>
      <c r="H917" s="53">
        <f>F917/G917</f>
        <v>78.886714285714291</v>
      </c>
      <c r="I917" s="92">
        <f>H917/E917</f>
        <v>0.84521479591836746</v>
      </c>
      <c r="J917" s="266"/>
    </row>
    <row r="918" spans="1:10" ht="15.75" x14ac:dyDescent="0.3">
      <c r="A918" s="422"/>
      <c r="B918" s="80" t="s">
        <v>391</v>
      </c>
      <c r="C918" s="76"/>
      <c r="D918" s="52"/>
      <c r="E918" s="52"/>
      <c r="F918" s="57"/>
      <c r="G918" s="52"/>
      <c r="H918" s="53" t="e">
        <f>F918/G918</f>
        <v>#DIV/0!</v>
      </c>
      <c r="I918" s="92"/>
      <c r="J918" s="266"/>
    </row>
    <row r="919" spans="1:10" ht="15.75" x14ac:dyDescent="0.3">
      <c r="A919" s="422"/>
      <c r="B919" s="80" t="s">
        <v>385</v>
      </c>
      <c r="C919" s="76"/>
      <c r="D919" s="52"/>
      <c r="E919" s="52"/>
      <c r="F919" s="57">
        <v>33.752000000000002</v>
      </c>
      <c r="G919" s="52">
        <v>0.5</v>
      </c>
      <c r="H919" s="53">
        <f t="shared" ref="H919" si="82">F919/G919</f>
        <v>67.504000000000005</v>
      </c>
      <c r="I919" s="92" t="e">
        <f t="shared" ref="I919" si="83">H919/E919</f>
        <v>#DIV/0!</v>
      </c>
      <c r="J919" s="266"/>
    </row>
    <row r="920" spans="1:10" ht="15.75" x14ac:dyDescent="0.3">
      <c r="A920" s="422"/>
      <c r="B920" s="80" t="s">
        <v>175</v>
      </c>
      <c r="C920" s="76"/>
      <c r="D920" s="52"/>
      <c r="E920" s="52"/>
      <c r="F920" s="57"/>
      <c r="G920" s="52"/>
      <c r="H920" s="53"/>
      <c r="I920" s="92"/>
      <c r="J920" s="266"/>
    </row>
    <row r="921" spans="1:10" ht="15.75" x14ac:dyDescent="0.3">
      <c r="A921" s="422"/>
      <c r="B921" s="80" t="s">
        <v>395</v>
      </c>
      <c r="C921" s="76">
        <v>195</v>
      </c>
      <c r="D921" s="52">
        <v>3</v>
      </c>
      <c r="E921" s="52">
        <f>C921/D921</f>
        <v>65</v>
      </c>
      <c r="F921" s="57">
        <v>64.387</v>
      </c>
      <c r="G921" s="52">
        <v>1</v>
      </c>
      <c r="H921" s="53">
        <f>F921/G921</f>
        <v>64.387</v>
      </c>
      <c r="I921" s="92">
        <f>H921/E921</f>
        <v>0.99056923076923076</v>
      </c>
      <c r="J921" s="266"/>
    </row>
    <row r="922" spans="1:10" ht="15.75" x14ac:dyDescent="0.3">
      <c r="A922" s="422"/>
      <c r="B922" s="80" t="s">
        <v>396</v>
      </c>
      <c r="C922" s="76">
        <v>225</v>
      </c>
      <c r="D922" s="52">
        <v>3</v>
      </c>
      <c r="E922" s="52">
        <f>C922/D922</f>
        <v>75</v>
      </c>
      <c r="F922" s="52">
        <f>171.19+133.129</f>
        <v>304.31899999999996</v>
      </c>
      <c r="G922" s="52">
        <v>5</v>
      </c>
      <c r="H922" s="53">
        <f>F922/G922</f>
        <v>60.863799999999991</v>
      </c>
      <c r="I922" s="92">
        <f>H922/E922</f>
        <v>0.8115173333333332</v>
      </c>
      <c r="J922" s="266"/>
    </row>
    <row r="923" spans="1:10" ht="16.5" x14ac:dyDescent="0.35">
      <c r="A923" s="422"/>
      <c r="B923" s="59" t="s">
        <v>146</v>
      </c>
      <c r="C923" s="61">
        <f>SUM(C914:C922)</f>
        <v>1470</v>
      </c>
      <c r="D923" s="61">
        <f>SUM(D914:D922)</f>
        <v>19</v>
      </c>
      <c r="E923" s="61"/>
      <c r="F923" s="61">
        <f>SUM(F914:F922)</f>
        <v>1378.9686999999999</v>
      </c>
      <c r="G923" s="63">
        <f>SUM(G914:G922)</f>
        <v>20</v>
      </c>
      <c r="H923" s="64"/>
      <c r="I923" s="92"/>
      <c r="J923" s="266"/>
    </row>
    <row r="924" spans="1:10" ht="15.75" x14ac:dyDescent="0.3">
      <c r="A924" s="422"/>
      <c r="B924" s="65" t="s">
        <v>148</v>
      </c>
      <c r="C924" s="66"/>
      <c r="D924" s="68">
        <f>31-D923</f>
        <v>12</v>
      </c>
      <c r="E924" s="67"/>
      <c r="F924" s="67"/>
      <c r="G924" s="81">
        <f>31-G923</f>
        <v>11</v>
      </c>
      <c r="H924" s="87"/>
      <c r="I924" s="92"/>
      <c r="J924" s="266"/>
    </row>
    <row r="925" spans="1:10" ht="17.25" thickBot="1" x14ac:dyDescent="0.4">
      <c r="A925" s="423"/>
      <c r="B925" s="70" t="s">
        <v>149</v>
      </c>
      <c r="C925" s="71">
        <f>SUM(C914:C922)</f>
        <v>1470</v>
      </c>
      <c r="D925" s="71">
        <f>D923+D924</f>
        <v>31</v>
      </c>
      <c r="E925" s="71"/>
      <c r="F925" s="71">
        <f>SUM(F914:F922)</f>
        <v>1378.9686999999999</v>
      </c>
      <c r="G925" s="71">
        <f>G923+G924</f>
        <v>31</v>
      </c>
      <c r="H925" s="58"/>
      <c r="I925" s="73">
        <f>F925/C925</f>
        <v>0.93807394557823121</v>
      </c>
      <c r="J925" s="267"/>
    </row>
    <row r="926" spans="1:10" ht="15.75" x14ac:dyDescent="0.3">
      <c r="A926" s="406" t="s">
        <v>176</v>
      </c>
      <c r="B926" s="80" t="s">
        <v>177</v>
      </c>
      <c r="C926" s="76">
        <v>300</v>
      </c>
      <c r="D926" s="52">
        <v>4</v>
      </c>
      <c r="E926" s="52">
        <f>C926/D926</f>
        <v>75</v>
      </c>
      <c r="F926" s="51">
        <v>402.97500000000002</v>
      </c>
      <c r="G926" s="93">
        <v>7</v>
      </c>
      <c r="H926" s="53">
        <f t="shared" ref="H926:H927" si="84">F926/G926</f>
        <v>57.567857142857143</v>
      </c>
      <c r="I926" s="92">
        <f t="shared" ref="I926:I927" si="85">H926/E926</f>
        <v>0.76757142857142857</v>
      </c>
      <c r="J926" s="268"/>
    </row>
    <row r="927" spans="1:10" ht="15.75" x14ac:dyDescent="0.3">
      <c r="A927" s="407"/>
      <c r="B927" s="80" t="s">
        <v>405</v>
      </c>
      <c r="C927" s="76">
        <f>1095+380</f>
        <v>1475</v>
      </c>
      <c r="D927" s="84">
        <v>15</v>
      </c>
      <c r="E927" s="52">
        <f>C927/D927</f>
        <v>98.333333333333329</v>
      </c>
      <c r="F927" s="93">
        <f>477.6+902.9625</f>
        <v>1380.5625</v>
      </c>
      <c r="G927" s="93">
        <v>15</v>
      </c>
      <c r="H927" s="53">
        <f t="shared" si="84"/>
        <v>92.037499999999994</v>
      </c>
      <c r="I927" s="92">
        <f t="shared" si="85"/>
        <v>0.93597457627118641</v>
      </c>
      <c r="J927" s="269"/>
    </row>
    <row r="928" spans="1:10" ht="15.75" x14ac:dyDescent="0.3">
      <c r="A928" s="407"/>
      <c r="B928" s="80" t="s">
        <v>407</v>
      </c>
      <c r="C928" s="51">
        <v>345</v>
      </c>
      <c r="D928" s="52">
        <v>5</v>
      </c>
      <c r="E928" s="52">
        <f>C928/D928</f>
        <v>69</v>
      </c>
      <c r="F928" s="51">
        <v>343.27499999999998</v>
      </c>
      <c r="G928" s="93">
        <v>5</v>
      </c>
      <c r="H928" s="53">
        <f t="shared" ref="H928:H931" si="86">F928/G928</f>
        <v>68.655000000000001</v>
      </c>
      <c r="I928" s="92">
        <f>H928/E928</f>
        <v>0.995</v>
      </c>
      <c r="J928" s="269"/>
    </row>
    <row r="929" spans="1:10" ht="15.75" x14ac:dyDescent="0.3">
      <c r="A929" s="407"/>
      <c r="B929" s="80" t="s">
        <v>233</v>
      </c>
      <c r="C929" s="76"/>
      <c r="D929" s="52"/>
      <c r="E929" s="52"/>
      <c r="F929" s="51"/>
      <c r="G929" s="93"/>
      <c r="H929" s="53"/>
      <c r="I929" s="92"/>
      <c r="J929" s="269"/>
    </row>
    <row r="930" spans="1:10" ht="15.75" x14ac:dyDescent="0.3">
      <c r="A930" s="407"/>
      <c r="B930" s="80" t="s">
        <v>181</v>
      </c>
      <c r="C930" s="51"/>
      <c r="D930" s="52"/>
      <c r="E930" s="52"/>
      <c r="F930" s="51"/>
      <c r="G930" s="93"/>
      <c r="H930" s="53"/>
      <c r="I930" s="92"/>
      <c r="J930" s="269"/>
    </row>
    <row r="931" spans="1:10" ht="15.75" x14ac:dyDescent="0.3">
      <c r="A931" s="407"/>
      <c r="B931" s="121" t="s">
        <v>406</v>
      </c>
      <c r="C931" s="94"/>
      <c r="D931" s="86"/>
      <c r="E931" s="52"/>
      <c r="F931" s="95">
        <v>320.88749999999999</v>
      </c>
      <c r="G931" s="96">
        <v>3</v>
      </c>
      <c r="H931" s="53">
        <f t="shared" si="86"/>
        <v>106.96249999999999</v>
      </c>
      <c r="I931" s="92" t="e">
        <f>H931/E931</f>
        <v>#DIV/0!</v>
      </c>
      <c r="J931" s="269"/>
    </row>
    <row r="932" spans="1:10" ht="16.5" x14ac:dyDescent="0.35">
      <c r="A932" s="407"/>
      <c r="B932" s="59" t="s">
        <v>146</v>
      </c>
      <c r="C932" s="60"/>
      <c r="D932" s="61">
        <f>SUM(D926:D931)</f>
        <v>24</v>
      </c>
      <c r="E932" s="61"/>
      <c r="F932" s="62"/>
      <c r="G932" s="61">
        <f>SUM(G926:G931)</f>
        <v>30</v>
      </c>
      <c r="H932" s="61"/>
      <c r="I932" s="92"/>
      <c r="J932" s="269"/>
    </row>
    <row r="933" spans="1:10" ht="15.75" x14ac:dyDescent="0.3">
      <c r="A933" s="407"/>
      <c r="B933" s="65" t="s">
        <v>148</v>
      </c>
      <c r="C933" s="66"/>
      <c r="D933" s="68">
        <f>31-D932</f>
        <v>7</v>
      </c>
      <c r="E933" s="67"/>
      <c r="F933" s="67"/>
      <c r="G933" s="68">
        <f>31-G932</f>
        <v>1</v>
      </c>
      <c r="H933" s="97"/>
      <c r="I933" s="92"/>
      <c r="J933" s="269"/>
    </row>
    <row r="934" spans="1:10" ht="17.25" thickBot="1" x14ac:dyDescent="0.4">
      <c r="A934" s="408"/>
      <c r="B934" s="70" t="s">
        <v>149</v>
      </c>
      <c r="C934" s="71">
        <f>SUM(C926:C931)</f>
        <v>2120</v>
      </c>
      <c r="D934" s="71">
        <f>D933+D932</f>
        <v>31</v>
      </c>
      <c r="E934" s="98"/>
      <c r="F934" s="71">
        <f>SUM(F926:F931)</f>
        <v>2447.6999999999998</v>
      </c>
      <c r="G934" s="71">
        <f>G933+G932</f>
        <v>31</v>
      </c>
      <c r="H934" s="99"/>
      <c r="I934" s="73">
        <f>F934/C934</f>
        <v>1.1545754716981131</v>
      </c>
      <c r="J934" s="270"/>
    </row>
    <row r="935" spans="1:10" ht="15.75" x14ac:dyDescent="0.3">
      <c r="A935" s="406" t="s">
        <v>183</v>
      </c>
      <c r="B935" s="50" t="s">
        <v>77</v>
      </c>
      <c r="C935" s="51"/>
      <c r="D935" s="52"/>
      <c r="E935" s="52"/>
      <c r="F935" s="51">
        <v>922.84900000000005</v>
      </c>
      <c r="G935" s="93">
        <v>6</v>
      </c>
      <c r="H935" s="96">
        <f>F935/G935</f>
        <v>153.80816666666666</v>
      </c>
      <c r="I935" s="92"/>
      <c r="J935" s="271"/>
    </row>
    <row r="936" spans="1:10" ht="15.75" x14ac:dyDescent="0.3">
      <c r="A936" s="407"/>
      <c r="B936" s="50" t="s">
        <v>243</v>
      </c>
      <c r="C936" s="51">
        <v>490</v>
      </c>
      <c r="D936" s="52">
        <v>4</v>
      </c>
      <c r="E936" s="52">
        <f>C936/D936</f>
        <v>122.5</v>
      </c>
      <c r="F936" s="57">
        <v>371.99200000000002</v>
      </c>
      <c r="G936" s="93">
        <v>3</v>
      </c>
      <c r="H936" s="96">
        <f>F936/G936</f>
        <v>123.99733333333334</v>
      </c>
      <c r="I936" s="92">
        <f>H936/E936</f>
        <v>1.0122231292517008</v>
      </c>
      <c r="J936" s="272"/>
    </row>
    <row r="937" spans="1:10" ht="15.75" x14ac:dyDescent="0.3">
      <c r="A937" s="407"/>
      <c r="B937" s="50" t="s">
        <v>184</v>
      </c>
      <c r="C937" s="51">
        <v>1350</v>
      </c>
      <c r="D937" s="52">
        <v>9</v>
      </c>
      <c r="E937" s="52">
        <f>C937/D937</f>
        <v>150</v>
      </c>
      <c r="F937" s="51">
        <v>1088.424</v>
      </c>
      <c r="G937" s="93">
        <v>8</v>
      </c>
      <c r="H937" s="96">
        <f>F937/G937</f>
        <v>136.053</v>
      </c>
      <c r="I937" s="92">
        <f>H937/E937</f>
        <v>0.90701999999999994</v>
      </c>
      <c r="J937" s="272"/>
    </row>
    <row r="938" spans="1:10" ht="15.75" x14ac:dyDescent="0.3">
      <c r="A938" s="407"/>
      <c r="B938" s="50" t="s">
        <v>83</v>
      </c>
      <c r="C938" s="51"/>
      <c r="D938" s="52"/>
      <c r="E938" s="52"/>
      <c r="F938" s="51">
        <v>587.99399999999991</v>
      </c>
      <c r="G938" s="93">
        <v>4.5</v>
      </c>
      <c r="H938" s="96">
        <f>F938/G938</f>
        <v>130.66533333333331</v>
      </c>
      <c r="I938" s="92"/>
      <c r="J938" s="272"/>
    </row>
    <row r="939" spans="1:10" ht="15.75" x14ac:dyDescent="0.3">
      <c r="A939" s="407"/>
      <c r="B939" s="50" t="s">
        <v>365</v>
      </c>
      <c r="C939" s="51"/>
      <c r="D939" s="52"/>
      <c r="E939" s="52"/>
      <c r="F939" s="57"/>
      <c r="G939" s="334"/>
      <c r="H939" s="96"/>
      <c r="I939" s="92"/>
      <c r="J939" s="272"/>
    </row>
    <row r="940" spans="1:10" ht="15.75" x14ac:dyDescent="0.3">
      <c r="A940" s="407"/>
      <c r="B940" s="101" t="s">
        <v>79</v>
      </c>
      <c r="C940" s="95">
        <v>1000</v>
      </c>
      <c r="D940" s="102">
        <v>6</v>
      </c>
      <c r="E940" s="52">
        <f>C940/D940</f>
        <v>166.66666666666666</v>
      </c>
      <c r="F940" s="95"/>
      <c r="G940" s="103"/>
      <c r="H940" s="99"/>
      <c r="I940" s="92"/>
      <c r="J940" s="272"/>
    </row>
    <row r="941" spans="1:10" ht="16.5" x14ac:dyDescent="0.35">
      <c r="A941" s="407"/>
      <c r="B941" s="59" t="s">
        <v>146</v>
      </c>
      <c r="C941" s="60"/>
      <c r="D941" s="61">
        <f>SUM(D935:D940)</f>
        <v>19</v>
      </c>
      <c r="E941" s="61"/>
      <c r="F941" s="62"/>
      <c r="G941" s="60">
        <f>SUM(G935:G940)</f>
        <v>21.5</v>
      </c>
      <c r="H941" s="61"/>
      <c r="I941" s="92"/>
      <c r="J941" s="272"/>
    </row>
    <row r="942" spans="1:10" ht="16.5" x14ac:dyDescent="0.35">
      <c r="A942" s="407"/>
      <c r="B942" s="130" t="s">
        <v>244</v>
      </c>
      <c r="C942" s="131"/>
      <c r="D942" s="132"/>
      <c r="E942" s="133"/>
      <c r="F942" s="133"/>
      <c r="G942" s="132"/>
      <c r="H942" s="134"/>
      <c r="I942" s="92"/>
      <c r="J942" s="272"/>
    </row>
    <row r="943" spans="1:10" ht="15.75" x14ac:dyDescent="0.3">
      <c r="A943" s="407"/>
      <c r="B943" s="65" t="s">
        <v>148</v>
      </c>
      <c r="C943" s="66"/>
      <c r="D943" s="68">
        <f>31-D942-D941</f>
        <v>12</v>
      </c>
      <c r="E943" s="67"/>
      <c r="F943" s="67"/>
      <c r="G943" s="81">
        <f>31-G941-G942</f>
        <v>9.5</v>
      </c>
      <c r="H943" s="97"/>
      <c r="I943" s="92"/>
      <c r="J943" s="272"/>
    </row>
    <row r="944" spans="1:10" ht="17.25" thickBot="1" x14ac:dyDescent="0.4">
      <c r="A944" s="408"/>
      <c r="B944" s="70" t="s">
        <v>149</v>
      </c>
      <c r="C944" s="71">
        <f>SUM(C935:C940)</f>
        <v>2840</v>
      </c>
      <c r="D944" s="71">
        <f>D943+D941</f>
        <v>31</v>
      </c>
      <c r="E944" s="71"/>
      <c r="F944" s="71">
        <f>SUM(F935:F940)</f>
        <v>2971.259</v>
      </c>
      <c r="G944" s="104">
        <f>G943+G941+G942</f>
        <v>31</v>
      </c>
      <c r="H944" s="105"/>
      <c r="I944" s="73">
        <f>F944/C944</f>
        <v>1.046217957746479</v>
      </c>
      <c r="J944" s="273"/>
    </row>
    <row r="945" spans="1:10" ht="15.75" x14ac:dyDescent="0.3">
      <c r="A945" s="406" t="s">
        <v>188</v>
      </c>
      <c r="B945" s="106" t="s">
        <v>191</v>
      </c>
      <c r="C945" s="76"/>
      <c r="D945" s="84"/>
      <c r="E945" s="52"/>
      <c r="F945" s="57">
        <v>360.608</v>
      </c>
      <c r="G945" s="93">
        <v>2.5</v>
      </c>
      <c r="H945" s="99">
        <f>F945/G945</f>
        <v>144.2432</v>
      </c>
      <c r="I945" s="107"/>
      <c r="J945" s="271"/>
    </row>
    <row r="946" spans="1:10" ht="15.75" x14ac:dyDescent="0.3">
      <c r="A946" s="407"/>
      <c r="B946" s="106" t="s">
        <v>79</v>
      </c>
      <c r="C946" s="76"/>
      <c r="D946" s="84"/>
      <c r="E946" s="52"/>
      <c r="F946" s="51"/>
      <c r="G946" s="93"/>
      <c r="H946" s="99"/>
      <c r="I946" s="92"/>
      <c r="J946" s="272"/>
    </row>
    <row r="947" spans="1:10" ht="15.75" x14ac:dyDescent="0.3">
      <c r="A947" s="407"/>
      <c r="B947" s="106" t="s">
        <v>77</v>
      </c>
      <c r="C947" s="76">
        <v>1100</v>
      </c>
      <c r="D947" s="84">
        <v>4</v>
      </c>
      <c r="E947" s="52">
        <f t="shared" ref="E947" si="87">C947/D947</f>
        <v>275</v>
      </c>
      <c r="F947" s="51"/>
      <c r="G947" s="93"/>
      <c r="H947" s="99"/>
      <c r="I947" s="92"/>
      <c r="J947" s="272"/>
    </row>
    <row r="948" spans="1:10" ht="15.75" x14ac:dyDescent="0.3">
      <c r="A948" s="407"/>
      <c r="B948" s="245" t="s">
        <v>365</v>
      </c>
      <c r="C948" s="246">
        <v>4800</v>
      </c>
      <c r="D948" s="84">
        <v>12</v>
      </c>
      <c r="E948" s="52">
        <f>C948/D948</f>
        <v>400</v>
      </c>
      <c r="F948" s="95">
        <v>1284.296</v>
      </c>
      <c r="G948" s="53">
        <v>4</v>
      </c>
      <c r="H948" s="99">
        <f>F948/G948</f>
        <v>321.07400000000001</v>
      </c>
      <c r="I948" s="92">
        <f>H948/E948</f>
        <v>0.80268499999999998</v>
      </c>
      <c r="J948" s="272"/>
    </row>
    <row r="949" spans="1:10" ht="16.5" x14ac:dyDescent="0.35">
      <c r="A949" s="407"/>
      <c r="B949" s="65" t="s">
        <v>189</v>
      </c>
      <c r="C949" s="66"/>
      <c r="D949" s="108">
        <f>31-SUM(D945:D948)</f>
        <v>15</v>
      </c>
      <c r="E949" s="109"/>
      <c r="F949" s="109"/>
      <c r="G949" s="108">
        <f>31-SUM(G945:G948)</f>
        <v>24.5</v>
      </c>
      <c r="H949" s="68"/>
      <c r="I949" s="92"/>
      <c r="J949" s="272"/>
    </row>
    <row r="950" spans="1:10" ht="17.25" thickBot="1" x14ac:dyDescent="0.4">
      <c r="A950" s="408"/>
      <c r="B950" s="111" t="s">
        <v>149</v>
      </c>
      <c r="C950" s="82">
        <f>SUM(C945:C949)</f>
        <v>5900</v>
      </c>
      <c r="D950" s="82">
        <f>D949+SUM(D945:D948)</f>
        <v>31</v>
      </c>
      <c r="E950" s="82"/>
      <c r="F950" s="82">
        <f>SUM(F945:F949)</f>
        <v>1644.904</v>
      </c>
      <c r="G950" s="82">
        <f>G949+SUM(G945:G948)</f>
        <v>31</v>
      </c>
      <c r="H950" s="112"/>
      <c r="I950" s="73">
        <f>F950/C950</f>
        <v>0.27879728813559324</v>
      </c>
      <c r="J950" s="273"/>
    </row>
    <row r="951" spans="1:10" ht="15.75" x14ac:dyDescent="0.3">
      <c r="A951" s="406" t="s">
        <v>190</v>
      </c>
      <c r="B951" s="50"/>
      <c r="C951" s="51"/>
      <c r="D951" s="52"/>
      <c r="E951" s="52"/>
      <c r="F951" s="51"/>
      <c r="G951" s="93"/>
      <c r="H951" s="99"/>
      <c r="I951" s="92"/>
      <c r="J951" s="271"/>
    </row>
    <row r="952" spans="1:10" ht="15.75" x14ac:dyDescent="0.3">
      <c r="A952" s="407"/>
      <c r="B952" s="101" t="s">
        <v>206</v>
      </c>
      <c r="C952" s="95">
        <v>170</v>
      </c>
      <c r="D952" s="102">
        <v>10</v>
      </c>
      <c r="E952" s="86">
        <f>C952/D952</f>
        <v>17</v>
      </c>
      <c r="F952" s="95">
        <v>210</v>
      </c>
      <c r="G952" s="103">
        <v>12</v>
      </c>
      <c r="H952" s="99">
        <f>F952/G952</f>
        <v>17.5</v>
      </c>
      <c r="I952" s="92">
        <f>H952/E952</f>
        <v>1.0294117647058822</v>
      </c>
      <c r="J952" s="272"/>
    </row>
    <row r="953" spans="1:10" ht="15.75" x14ac:dyDescent="0.3">
      <c r="A953" s="407"/>
      <c r="B953" s="101" t="s">
        <v>192</v>
      </c>
      <c r="C953" s="114"/>
      <c r="D953" s="102"/>
      <c r="E953" s="86"/>
      <c r="F953" s="95"/>
      <c r="G953" s="103"/>
      <c r="H953" s="99"/>
      <c r="I953" s="92"/>
      <c r="J953" s="272"/>
    </row>
    <row r="954" spans="1:10" ht="16.5" x14ac:dyDescent="0.35">
      <c r="A954" s="407"/>
      <c r="B954" s="59" t="s">
        <v>146</v>
      </c>
      <c r="C954" s="60"/>
      <c r="D954" s="61">
        <f>SUM(D952:D953)</f>
        <v>10</v>
      </c>
      <c r="E954" s="61"/>
      <c r="F954" s="62"/>
      <c r="G954" s="61">
        <f>SUM(G952:G953)</f>
        <v>12</v>
      </c>
      <c r="H954" s="61"/>
      <c r="I954" s="92"/>
      <c r="J954" s="272"/>
    </row>
    <row r="955" spans="1:10" ht="15.75" x14ac:dyDescent="0.3">
      <c r="A955" s="407"/>
      <c r="B955" s="65" t="s">
        <v>148</v>
      </c>
      <c r="C955" s="66"/>
      <c r="D955" s="68">
        <f>31-D954</f>
        <v>21</v>
      </c>
      <c r="E955" s="67"/>
      <c r="F955" s="67"/>
      <c r="G955" s="81">
        <f>31-G954</f>
        <v>19</v>
      </c>
      <c r="H955" s="97"/>
      <c r="I955" s="92"/>
      <c r="J955" s="272"/>
    </row>
    <row r="956" spans="1:10" ht="17.25" thickBot="1" x14ac:dyDescent="0.4">
      <c r="A956" s="408"/>
      <c r="B956" s="70" t="s">
        <v>149</v>
      </c>
      <c r="C956" s="71">
        <f>SUM(C952:C953)</f>
        <v>170</v>
      </c>
      <c r="D956" s="71">
        <f>D955+D954</f>
        <v>31</v>
      </c>
      <c r="E956" s="71"/>
      <c r="F956" s="71">
        <f>SUM(F952:F953)</f>
        <v>210</v>
      </c>
      <c r="G956" s="71">
        <f>G955+G954</f>
        <v>31</v>
      </c>
      <c r="H956" s="105"/>
      <c r="I956" s="73">
        <f>F956/C956</f>
        <v>1.2352941176470589</v>
      </c>
      <c r="J956" s="273"/>
    </row>
    <row r="957" spans="1:10" ht="19.5" x14ac:dyDescent="0.3">
      <c r="A957" s="340"/>
      <c r="B957" s="101" t="s">
        <v>373</v>
      </c>
      <c r="C957" s="95"/>
      <c r="D957" s="102"/>
      <c r="E957" s="86"/>
      <c r="F957" s="95"/>
      <c r="G957" s="103"/>
      <c r="H957" s="86"/>
      <c r="I957" s="92"/>
      <c r="J957" s="271"/>
    </row>
    <row r="958" spans="1:10" ht="15.75" x14ac:dyDescent="0.3">
      <c r="A958" s="407" t="s">
        <v>194</v>
      </c>
      <c r="B958" s="101" t="s">
        <v>370</v>
      </c>
      <c r="C958" s="95">
        <v>150</v>
      </c>
      <c r="D958" s="102">
        <v>3</v>
      </c>
      <c r="E958" s="86">
        <f>C958/D958</f>
        <v>50</v>
      </c>
      <c r="F958" s="95">
        <v>174.21800000000002</v>
      </c>
      <c r="G958" s="103">
        <v>3</v>
      </c>
      <c r="H958" s="86">
        <f>F958/G958</f>
        <v>58.07266666666667</v>
      </c>
      <c r="I958" s="92">
        <f>H958/E958</f>
        <v>1.1614533333333334</v>
      </c>
      <c r="J958" s="272"/>
    </row>
    <row r="959" spans="1:10" ht="15.75" x14ac:dyDescent="0.3">
      <c r="A959" s="407"/>
      <c r="B959" s="101" t="s">
        <v>208</v>
      </c>
      <c r="C959" s="114"/>
      <c r="D959" s="102"/>
      <c r="E959" s="86"/>
      <c r="F959" s="103"/>
      <c r="G959" s="103"/>
      <c r="H959" s="86"/>
      <c r="I959" s="92"/>
      <c r="J959" s="272"/>
    </row>
    <row r="960" spans="1:10" ht="16.5" x14ac:dyDescent="0.35">
      <c r="A960" s="407"/>
      <c r="B960" s="59" t="s">
        <v>146</v>
      </c>
      <c r="C960" s="60"/>
      <c r="D960" s="61">
        <f>SUM(D957:D959)</f>
        <v>3</v>
      </c>
      <c r="E960" s="61"/>
      <c r="F960" s="62"/>
      <c r="G960" s="61">
        <f>SUM(G957:G959)</f>
        <v>3</v>
      </c>
      <c r="H960" s="61"/>
      <c r="I960" s="92"/>
      <c r="J960" s="272"/>
    </row>
    <row r="961" spans="1:10" ht="15.75" x14ac:dyDescent="0.3">
      <c r="A961" s="407"/>
      <c r="B961" s="65" t="s">
        <v>148</v>
      </c>
      <c r="C961" s="66"/>
      <c r="D961" s="68">
        <f>31-D960</f>
        <v>28</v>
      </c>
      <c r="E961" s="67"/>
      <c r="F961" s="67"/>
      <c r="G961" s="81">
        <f>31-G960</f>
        <v>28</v>
      </c>
      <c r="H961" s="97"/>
      <c r="I961" s="92"/>
      <c r="J961" s="272"/>
    </row>
    <row r="962" spans="1:10" ht="17.25" thickBot="1" x14ac:dyDescent="0.4">
      <c r="A962" s="408"/>
      <c r="B962" s="70" t="s">
        <v>149</v>
      </c>
      <c r="C962" s="71">
        <f>SUM(C957:C959)</f>
        <v>150</v>
      </c>
      <c r="D962" s="71">
        <f>D961+D960</f>
        <v>31</v>
      </c>
      <c r="E962" s="71"/>
      <c r="F962" s="71">
        <f>SUM(F957:F959)</f>
        <v>174.21800000000002</v>
      </c>
      <c r="G962" s="71">
        <f>G961+G960</f>
        <v>31</v>
      </c>
      <c r="H962" s="105"/>
      <c r="I962" s="73">
        <f>F962/C962</f>
        <v>1.1614533333333334</v>
      </c>
      <c r="J962" s="273"/>
    </row>
    <row r="964" spans="1:10" ht="21" x14ac:dyDescent="0.4">
      <c r="A964" s="37" t="s">
        <v>412</v>
      </c>
      <c r="B964" s="37"/>
      <c r="C964" s="37"/>
      <c r="D964" s="37"/>
      <c r="E964" s="37"/>
      <c r="F964" s="37"/>
      <c r="G964" s="37"/>
      <c r="H964" s="37"/>
      <c r="I964" s="37"/>
      <c r="J964" s="255"/>
    </row>
    <row r="965" spans="1:10" ht="17.25" thickBot="1" x14ac:dyDescent="0.4">
      <c r="A965" s="40"/>
      <c r="B965" s="41"/>
      <c r="C965" s="42"/>
      <c r="D965" s="42"/>
      <c r="E965" s="42"/>
      <c r="F965" s="42"/>
      <c r="G965" s="42"/>
      <c r="H965" s="42"/>
      <c r="I965" s="42"/>
      <c r="J965" s="256"/>
    </row>
    <row r="966" spans="1:10" ht="16.5" x14ac:dyDescent="0.35">
      <c r="A966" s="409" t="s">
        <v>128</v>
      </c>
      <c r="B966" s="44"/>
      <c r="C966" s="45"/>
      <c r="D966" s="45"/>
      <c r="E966" s="45"/>
      <c r="F966" s="45"/>
      <c r="G966" s="411" t="s">
        <v>129</v>
      </c>
      <c r="H966" s="343"/>
      <c r="I966" s="413" t="s">
        <v>130</v>
      </c>
      <c r="J966" s="257" t="s">
        <v>131</v>
      </c>
    </row>
    <row r="967" spans="1:10" ht="66.75" thickBot="1" x14ac:dyDescent="0.3">
      <c r="A967" s="410"/>
      <c r="B967" s="46"/>
      <c r="C967" s="47" t="s">
        <v>132</v>
      </c>
      <c r="D967" s="48" t="s">
        <v>133</v>
      </c>
      <c r="E967" s="48" t="s">
        <v>134</v>
      </c>
      <c r="F967" s="49" t="s">
        <v>135</v>
      </c>
      <c r="G967" s="412"/>
      <c r="H967" s="48" t="s">
        <v>136</v>
      </c>
      <c r="I967" s="414"/>
      <c r="J967" s="258"/>
    </row>
    <row r="968" spans="1:10" ht="15.75" x14ac:dyDescent="0.3">
      <c r="A968" s="415" t="s">
        <v>137</v>
      </c>
      <c r="B968" s="50" t="s">
        <v>340</v>
      </c>
      <c r="C968" s="51">
        <f>4010</f>
        <v>4010</v>
      </c>
      <c r="D968" s="123">
        <v>14</v>
      </c>
      <c r="E968" s="52">
        <f t="shared" ref="E968:E973" si="88">C968/D968</f>
        <v>286.42857142857144</v>
      </c>
      <c r="F968" s="51">
        <v>3618.1899999999996</v>
      </c>
      <c r="G968" s="53">
        <v>17</v>
      </c>
      <c r="H968" s="53">
        <f>F968/G968</f>
        <v>212.83470588235292</v>
      </c>
      <c r="I968" s="54">
        <f t="shared" ref="I968:I973" si="89">H968/E968</f>
        <v>0.74306381106058372</v>
      </c>
      <c r="J968" s="259" t="s">
        <v>413</v>
      </c>
    </row>
    <row r="969" spans="1:10" ht="15.75" x14ac:dyDescent="0.3">
      <c r="A969" s="416"/>
      <c r="B969" s="56" t="s">
        <v>140</v>
      </c>
      <c r="C969" s="57">
        <v>700</v>
      </c>
      <c r="D969" s="53">
        <v>4</v>
      </c>
      <c r="E969" s="52">
        <f t="shared" si="88"/>
        <v>175</v>
      </c>
      <c r="F969" s="57">
        <v>784.48</v>
      </c>
      <c r="G969" s="53">
        <v>4</v>
      </c>
      <c r="H969" s="53">
        <f t="shared" ref="H969:H973" si="90">F969/G969</f>
        <v>196.12</v>
      </c>
      <c r="I969" s="54">
        <f t="shared" si="89"/>
        <v>1.1206857142857143</v>
      </c>
      <c r="J969" s="260" t="s">
        <v>414</v>
      </c>
    </row>
    <row r="970" spans="1:10" ht="15.75" x14ac:dyDescent="0.3">
      <c r="A970" s="416"/>
      <c r="B970" s="56" t="s">
        <v>325</v>
      </c>
      <c r="C970" s="57">
        <v>1000</v>
      </c>
      <c r="D970" s="58">
        <v>6</v>
      </c>
      <c r="E970" s="52">
        <f t="shared" si="88"/>
        <v>166.66666666666666</v>
      </c>
      <c r="F970" s="57">
        <v>783.54600000000005</v>
      </c>
      <c r="G970" s="53">
        <v>6</v>
      </c>
      <c r="H970" s="53">
        <f t="shared" si="90"/>
        <v>130.59100000000001</v>
      </c>
      <c r="I970" s="54">
        <f t="shared" si="89"/>
        <v>0.78354600000000008</v>
      </c>
      <c r="J970" s="260"/>
    </row>
    <row r="971" spans="1:10" ht="15.75" x14ac:dyDescent="0.3">
      <c r="A971" s="416"/>
      <c r="B971" s="56" t="s">
        <v>143</v>
      </c>
      <c r="C971" s="57"/>
      <c r="D971" s="58"/>
      <c r="E971" s="52" t="e">
        <f t="shared" si="88"/>
        <v>#DIV/0!</v>
      </c>
      <c r="F971" s="57"/>
      <c r="G971" s="53"/>
      <c r="H971" s="53" t="e">
        <f t="shared" si="90"/>
        <v>#DIV/0!</v>
      </c>
      <c r="I971" s="54" t="e">
        <f t="shared" si="89"/>
        <v>#DIV/0!</v>
      </c>
      <c r="J971" s="260"/>
    </row>
    <row r="972" spans="1:10" ht="15.75" x14ac:dyDescent="0.3">
      <c r="A972" s="416"/>
      <c r="B972" s="56" t="s">
        <v>400</v>
      </c>
      <c r="C972" s="57"/>
      <c r="D972" s="58"/>
      <c r="E972" s="52" t="e">
        <f t="shared" si="88"/>
        <v>#DIV/0!</v>
      </c>
      <c r="F972" s="57"/>
      <c r="G972" s="53"/>
      <c r="H972" s="53" t="e">
        <f t="shared" si="90"/>
        <v>#DIV/0!</v>
      </c>
      <c r="I972" s="54" t="e">
        <f t="shared" si="89"/>
        <v>#DIV/0!</v>
      </c>
      <c r="J972" s="260"/>
    </row>
    <row r="973" spans="1:10" ht="15.75" x14ac:dyDescent="0.3">
      <c r="A973" s="416"/>
      <c r="B973" s="56" t="s">
        <v>145</v>
      </c>
      <c r="C973" s="57"/>
      <c r="D973" s="58"/>
      <c r="E973" s="52" t="e">
        <f t="shared" si="88"/>
        <v>#DIV/0!</v>
      </c>
      <c r="F973" s="57"/>
      <c r="G973" s="53"/>
      <c r="H973" s="53" t="e">
        <f t="shared" si="90"/>
        <v>#DIV/0!</v>
      </c>
      <c r="I973" s="54" t="e">
        <f t="shared" si="89"/>
        <v>#DIV/0!</v>
      </c>
      <c r="J973" s="260"/>
    </row>
    <row r="974" spans="1:10" ht="15.75" x14ac:dyDescent="0.3">
      <c r="A974" s="416"/>
      <c r="B974" s="50"/>
      <c r="C974" s="57"/>
      <c r="D974" s="58"/>
      <c r="E974" s="52"/>
      <c r="F974" s="57"/>
      <c r="G974" s="53"/>
      <c r="H974" s="53"/>
      <c r="I974" s="53"/>
      <c r="J974" s="260"/>
    </row>
    <row r="975" spans="1:10" ht="16.5" x14ac:dyDescent="0.35">
      <c r="A975" s="416"/>
      <c r="B975" s="59" t="s">
        <v>146</v>
      </c>
      <c r="C975" s="60"/>
      <c r="D975" s="61">
        <f>SUM(D968:D974)</f>
        <v>24</v>
      </c>
      <c r="E975" s="61"/>
      <c r="F975" s="62"/>
      <c r="G975" s="63">
        <f>SUM(G968:G974)</f>
        <v>27</v>
      </c>
      <c r="H975" s="64"/>
      <c r="I975" s="53"/>
      <c r="J975" s="260"/>
    </row>
    <row r="976" spans="1:10" ht="16.5" x14ac:dyDescent="0.35">
      <c r="A976" s="416"/>
      <c r="B976" s="59" t="s">
        <v>147</v>
      </c>
      <c r="C976" s="60"/>
      <c r="D976" s="61">
        <v>0</v>
      </c>
      <c r="E976" s="62"/>
      <c r="F976" s="62"/>
      <c r="G976" s="63"/>
      <c r="H976" s="64"/>
      <c r="I976" s="53"/>
      <c r="J976" s="260"/>
    </row>
    <row r="977" spans="1:10" ht="15.75" x14ac:dyDescent="0.3">
      <c r="A977" s="416"/>
      <c r="B977" s="65" t="s">
        <v>148</v>
      </c>
      <c r="C977" s="66"/>
      <c r="D977" s="68">
        <f>30-D976-D975</f>
        <v>6</v>
      </c>
      <c r="E977" s="67"/>
      <c r="F977" s="67"/>
      <c r="G977" s="68">
        <f>30-G976-G975</f>
        <v>3</v>
      </c>
      <c r="H977" s="69"/>
      <c r="I977" s="53"/>
      <c r="J977" s="260"/>
    </row>
    <row r="978" spans="1:10" ht="17.25" thickBot="1" x14ac:dyDescent="0.4">
      <c r="A978" s="417"/>
      <c r="B978" s="70" t="s">
        <v>149</v>
      </c>
      <c r="C978" s="71">
        <f>SUM(C968:C973)</f>
        <v>5710</v>
      </c>
      <c r="D978" s="71">
        <f>D975+D976+D977</f>
        <v>30</v>
      </c>
      <c r="E978" s="71">
        <f>E975+E976+E977</f>
        <v>0</v>
      </c>
      <c r="F978" s="72">
        <f>SUM(F968:F974)</f>
        <v>5186.2160000000003</v>
      </c>
      <c r="G978" s="71">
        <f>G975+G976+G977</f>
        <v>30</v>
      </c>
      <c r="H978" s="71"/>
      <c r="I978" s="73">
        <f>F978/C978</f>
        <v>0.90826900175131353</v>
      </c>
      <c r="J978" s="261"/>
    </row>
    <row r="979" spans="1:10" ht="15.75" x14ac:dyDescent="0.3">
      <c r="A979" s="421" t="s">
        <v>150</v>
      </c>
      <c r="B979" s="50" t="s">
        <v>154</v>
      </c>
      <c r="C979" s="76"/>
      <c r="D979" s="52"/>
      <c r="E979" s="52"/>
      <c r="F979" s="51">
        <v>29.7</v>
      </c>
      <c r="G979" s="52">
        <v>0.5</v>
      </c>
      <c r="H979" s="241">
        <f>F979/G979</f>
        <v>59.4</v>
      </c>
      <c r="I979" s="91"/>
      <c r="J979" s="262"/>
    </row>
    <row r="980" spans="1:10" ht="15.75" x14ac:dyDescent="0.3">
      <c r="A980" s="422"/>
      <c r="B980" s="50" t="s">
        <v>366</v>
      </c>
      <c r="C980" s="76">
        <v>2400</v>
      </c>
      <c r="D980" s="52">
        <v>6</v>
      </c>
      <c r="E980" s="52">
        <f>C980/D980</f>
        <v>400</v>
      </c>
      <c r="F980" s="52">
        <v>3048.4179999999997</v>
      </c>
      <c r="G980" s="127">
        <v>10</v>
      </c>
      <c r="H980" s="241">
        <f>F980/G980</f>
        <v>304.84179999999998</v>
      </c>
      <c r="I980" s="92">
        <f>H980/E980</f>
        <v>0.76210449999999996</v>
      </c>
      <c r="J980" s="263"/>
    </row>
    <row r="981" spans="1:10" ht="15.75" x14ac:dyDescent="0.3">
      <c r="A981" s="422"/>
      <c r="B981" s="50" t="s">
        <v>155</v>
      </c>
      <c r="C981" s="57">
        <v>400</v>
      </c>
      <c r="D981" s="58">
        <v>4</v>
      </c>
      <c r="E981" s="52">
        <f>C981/D981</f>
        <v>100</v>
      </c>
      <c r="F981" s="57">
        <v>407.89299999999997</v>
      </c>
      <c r="G981" s="52">
        <v>4</v>
      </c>
      <c r="H981" s="241">
        <f>F981/G981</f>
        <v>101.97324999999999</v>
      </c>
      <c r="I981" s="92">
        <f>H981/E981</f>
        <v>1.0197324999999999</v>
      </c>
      <c r="J981" s="263"/>
    </row>
    <row r="982" spans="1:10" ht="15.75" x14ac:dyDescent="0.3">
      <c r="A982" s="422"/>
      <c r="B982" s="78" t="s">
        <v>368</v>
      </c>
      <c r="C982" s="51">
        <v>400</v>
      </c>
      <c r="D982" s="52">
        <v>6</v>
      </c>
      <c r="E982" s="52">
        <f>C982/D982</f>
        <v>66.666666666666671</v>
      </c>
      <c r="F982" s="79">
        <v>361.39</v>
      </c>
      <c r="G982" s="52">
        <v>5</v>
      </c>
      <c r="H982" s="241">
        <f>F982/G982</f>
        <v>72.277999999999992</v>
      </c>
      <c r="I982" s="92">
        <f>H982/E982</f>
        <v>1.0841699999999999</v>
      </c>
      <c r="J982" s="263"/>
    </row>
    <row r="983" spans="1:10" ht="15.75" x14ac:dyDescent="0.3">
      <c r="A983" s="422"/>
      <c r="B983" s="78" t="s">
        <v>415</v>
      </c>
      <c r="C983" s="51">
        <f>110+130</f>
        <v>240</v>
      </c>
      <c r="D983" s="90">
        <v>2.25</v>
      </c>
      <c r="E983" s="52">
        <f>C983/D983</f>
        <v>106.66666666666667</v>
      </c>
      <c r="F983" s="51">
        <v>71.69</v>
      </c>
      <c r="G983" s="52">
        <v>1</v>
      </c>
      <c r="H983" s="241">
        <f>F983/G983</f>
        <v>71.69</v>
      </c>
      <c r="I983" s="92">
        <f>H983/E983</f>
        <v>0.67209374999999993</v>
      </c>
      <c r="J983" s="263"/>
    </row>
    <row r="984" spans="1:10" ht="15.75" x14ac:dyDescent="0.3">
      <c r="A984" s="422"/>
      <c r="B984" s="78" t="s">
        <v>327</v>
      </c>
      <c r="C984" s="51"/>
      <c r="D984" s="52"/>
      <c r="E984" s="52"/>
      <c r="F984" s="52"/>
      <c r="G984" s="52"/>
      <c r="H984" s="241"/>
      <c r="I984" s="92"/>
      <c r="J984" s="263"/>
    </row>
    <row r="985" spans="1:10" ht="15.75" x14ac:dyDescent="0.3">
      <c r="A985" s="422"/>
      <c r="B985" s="78" t="s">
        <v>402</v>
      </c>
      <c r="C985" s="76"/>
      <c r="D985" s="84"/>
      <c r="E985" s="52"/>
      <c r="F985" s="52">
        <v>57.15</v>
      </c>
      <c r="G985" s="52">
        <v>1.5</v>
      </c>
      <c r="H985" s="241">
        <f>F985/G985</f>
        <v>38.1</v>
      </c>
      <c r="I985" s="92"/>
      <c r="J985" s="263"/>
    </row>
    <row r="986" spans="1:10" ht="15.75" x14ac:dyDescent="0.3">
      <c r="A986" s="422"/>
      <c r="B986" s="78" t="s">
        <v>401</v>
      </c>
      <c r="C986" s="76"/>
      <c r="D986" s="84"/>
      <c r="E986" s="52"/>
      <c r="F986" s="344"/>
      <c r="G986" s="52"/>
      <c r="H986" s="241"/>
      <c r="I986" s="92"/>
      <c r="J986" s="263"/>
    </row>
    <row r="987" spans="1:10" ht="15.75" x14ac:dyDescent="0.3">
      <c r="A987" s="422"/>
      <c r="B987" s="78" t="s">
        <v>328</v>
      </c>
      <c r="C987" s="51"/>
      <c r="D987" s="52"/>
      <c r="E987" s="52"/>
      <c r="F987" s="79"/>
      <c r="G987" s="52"/>
      <c r="H987" s="241"/>
      <c r="I987" s="92"/>
      <c r="J987" s="263"/>
    </row>
    <row r="988" spans="1:10" ht="15.75" x14ac:dyDescent="0.3">
      <c r="A988" s="422"/>
      <c r="B988" s="78" t="s">
        <v>416</v>
      </c>
      <c r="C988" s="51">
        <v>280</v>
      </c>
      <c r="D988" s="52">
        <v>3</v>
      </c>
      <c r="E988" s="52">
        <f>C988/D988</f>
        <v>93.333333333333329</v>
      </c>
      <c r="F988" s="51">
        <f>21.81+115.798+25.35</f>
        <v>162.958</v>
      </c>
      <c r="G988" s="52">
        <v>4</v>
      </c>
      <c r="H988" s="241">
        <f>F988/G988</f>
        <v>40.7395</v>
      </c>
      <c r="I988" s="92">
        <f>H988/E988</f>
        <v>0.4364946428571429</v>
      </c>
      <c r="J988" s="263"/>
    </row>
    <row r="989" spans="1:10" ht="16.5" x14ac:dyDescent="0.35">
      <c r="A989" s="422"/>
      <c r="B989" s="59" t="s">
        <v>146</v>
      </c>
      <c r="C989" s="60"/>
      <c r="D989" s="63">
        <f>SUM(D979:D988)</f>
        <v>21.25</v>
      </c>
      <c r="E989" s="61"/>
      <c r="F989" s="62"/>
      <c r="G989" s="63">
        <f>SUM(G979:G988)</f>
        <v>26</v>
      </c>
      <c r="H989" s="63"/>
      <c r="I989" s="99"/>
      <c r="J989" s="263"/>
    </row>
    <row r="990" spans="1:10" ht="15.75" x14ac:dyDescent="0.3">
      <c r="A990" s="422"/>
      <c r="B990" s="65" t="s">
        <v>148</v>
      </c>
      <c r="C990" s="66"/>
      <c r="D990" s="81">
        <f>30-D989</f>
        <v>8.75</v>
      </c>
      <c r="E990" s="67"/>
      <c r="F990" s="67"/>
      <c r="G990" s="81">
        <f>30-G989</f>
        <v>4</v>
      </c>
      <c r="H990" s="243"/>
      <c r="I990" s="112"/>
      <c r="J990" s="263"/>
    </row>
    <row r="991" spans="1:10" ht="17.25" thickBot="1" x14ac:dyDescent="0.4">
      <c r="A991" s="423"/>
      <c r="B991" s="70" t="s">
        <v>149</v>
      </c>
      <c r="C991" s="71">
        <f>SUM(C979:C988)</f>
        <v>3720</v>
      </c>
      <c r="D991" s="71">
        <f>D989+D990</f>
        <v>30</v>
      </c>
      <c r="E991" s="71">
        <f>E989+E990</f>
        <v>0</v>
      </c>
      <c r="F991" s="71">
        <f>SUM(F979:F988)</f>
        <v>4139.1989999999996</v>
      </c>
      <c r="G991" s="71">
        <f t="shared" ref="G991" si="91">G989+G990</f>
        <v>30</v>
      </c>
      <c r="H991" s="82"/>
      <c r="I991" s="73">
        <f>F991/C991</f>
        <v>1.1126879032258064</v>
      </c>
      <c r="J991" s="264"/>
    </row>
    <row r="992" spans="1:10" ht="15.75" x14ac:dyDescent="0.3">
      <c r="A992" s="421" t="s">
        <v>161</v>
      </c>
      <c r="B992" s="50" t="s">
        <v>199</v>
      </c>
      <c r="C992" s="51"/>
      <c r="D992" s="83"/>
      <c r="E992" s="52"/>
      <c r="F992" s="51"/>
      <c r="G992" s="83"/>
      <c r="H992" s="53" t="e">
        <f t="shared" ref="H992" si="92">F992/G992</f>
        <v>#DIV/0!</v>
      </c>
      <c r="I992" s="92" t="e">
        <f t="shared" ref="I992" si="93">H992/E992</f>
        <v>#DIV/0!</v>
      </c>
      <c r="J992" s="265"/>
    </row>
    <row r="993" spans="1:10" ht="15.75" x14ac:dyDescent="0.3">
      <c r="A993" s="422"/>
      <c r="B993" s="50" t="s">
        <v>399</v>
      </c>
      <c r="C993" s="76">
        <v>280</v>
      </c>
      <c r="D993" s="84">
        <v>4</v>
      </c>
      <c r="E993" s="52">
        <f>C993/D993</f>
        <v>70</v>
      </c>
      <c r="F993" s="51"/>
      <c r="G993" s="52"/>
      <c r="H993" s="53"/>
      <c r="I993" s="92"/>
      <c r="J993" s="266"/>
    </row>
    <row r="994" spans="1:10" ht="15.75" x14ac:dyDescent="0.3">
      <c r="A994" s="422"/>
      <c r="B994" s="50" t="s">
        <v>216</v>
      </c>
      <c r="C994" s="76"/>
      <c r="D994" s="84"/>
      <c r="E994" s="52"/>
      <c r="F994" s="57"/>
      <c r="G994" s="52"/>
      <c r="H994" s="53"/>
      <c r="I994" s="92"/>
      <c r="J994" s="266"/>
    </row>
    <row r="995" spans="1:10" ht="15.75" x14ac:dyDescent="0.3">
      <c r="A995" s="422"/>
      <c r="B995" s="50" t="s">
        <v>418</v>
      </c>
      <c r="C995" s="76"/>
      <c r="D995" s="84"/>
      <c r="E995" s="52"/>
      <c r="F995" s="57">
        <v>106.411</v>
      </c>
      <c r="G995" s="90">
        <v>1.5</v>
      </c>
      <c r="H995" s="241">
        <f>F995/G995</f>
        <v>70.940666666666672</v>
      </c>
      <c r="I995" s="92"/>
      <c r="J995" s="266"/>
    </row>
    <row r="996" spans="1:10" ht="15.75" x14ac:dyDescent="0.3">
      <c r="A996" s="422"/>
      <c r="B996" s="50" t="s">
        <v>420</v>
      </c>
      <c r="C996" s="76"/>
      <c r="D996" s="84"/>
      <c r="E996" s="52"/>
      <c r="F996" s="79">
        <v>37.320999999999998</v>
      </c>
      <c r="G996" s="90">
        <v>1.5</v>
      </c>
      <c r="H996" s="241">
        <f>F996/G996</f>
        <v>24.880666666666666</v>
      </c>
      <c r="I996" s="92"/>
      <c r="J996" s="266"/>
    </row>
    <row r="997" spans="1:10" ht="15.75" x14ac:dyDescent="0.3">
      <c r="A997" s="422"/>
      <c r="B997" s="50" t="s">
        <v>417</v>
      </c>
      <c r="C997" s="76">
        <v>45</v>
      </c>
      <c r="D997" s="84">
        <v>1</v>
      </c>
      <c r="E997" s="52">
        <f t="shared" ref="E997:E998" si="94">C997/D997</f>
        <v>45</v>
      </c>
      <c r="F997" s="344"/>
      <c r="G997" s="90"/>
      <c r="H997" s="241" t="e">
        <f>F997/G997</f>
        <v>#DIV/0!</v>
      </c>
      <c r="I997" s="92"/>
      <c r="J997" s="266"/>
    </row>
    <row r="998" spans="1:10" ht="15.75" x14ac:dyDescent="0.3">
      <c r="A998" s="422"/>
      <c r="B998" s="50" t="s">
        <v>383</v>
      </c>
      <c r="C998" s="76">
        <v>70</v>
      </c>
      <c r="D998" s="52">
        <v>1</v>
      </c>
      <c r="E998" s="52">
        <f t="shared" si="94"/>
        <v>70</v>
      </c>
      <c r="F998" s="51">
        <v>137.715</v>
      </c>
      <c r="G998" s="90">
        <v>1.5</v>
      </c>
      <c r="H998" s="241">
        <f>F998/G998</f>
        <v>91.81</v>
      </c>
      <c r="I998" s="92">
        <f t="shared" ref="I998" si="95">H998/E998</f>
        <v>1.3115714285714286</v>
      </c>
      <c r="J998" s="266"/>
    </row>
    <row r="999" spans="1:10" ht="15.75" x14ac:dyDescent="0.3">
      <c r="A999" s="422"/>
      <c r="B999" s="50" t="s">
        <v>232</v>
      </c>
      <c r="C999" s="76"/>
      <c r="D999" s="84"/>
      <c r="E999" s="52"/>
      <c r="F999" s="51"/>
      <c r="G999" s="52"/>
      <c r="H999" s="53" t="e">
        <f t="shared" ref="H999:H1001" si="96">F999/G999</f>
        <v>#DIV/0!</v>
      </c>
      <c r="I999" s="92"/>
      <c r="J999" s="266"/>
    </row>
    <row r="1000" spans="1:10" ht="15.75" x14ac:dyDescent="0.3">
      <c r="A1000" s="422"/>
      <c r="B1000" s="50" t="s">
        <v>404</v>
      </c>
      <c r="C1000" s="76"/>
      <c r="D1000" s="84"/>
      <c r="E1000" s="52"/>
      <c r="F1000" s="51"/>
      <c r="G1000" s="52"/>
      <c r="H1000" s="53" t="e">
        <f t="shared" si="96"/>
        <v>#DIV/0!</v>
      </c>
      <c r="I1000" s="92"/>
      <c r="J1000" s="266"/>
    </row>
    <row r="1001" spans="1:10" ht="15.75" x14ac:dyDescent="0.3">
      <c r="A1001" s="422"/>
      <c r="B1001" s="50" t="s">
        <v>167</v>
      </c>
      <c r="C1001" s="76">
        <v>280</v>
      </c>
      <c r="D1001" s="84">
        <v>4</v>
      </c>
      <c r="E1001" s="52">
        <f t="shared" ref="E1001:E1002" si="97">C1001/D1001</f>
        <v>70</v>
      </c>
      <c r="F1001" s="57">
        <v>393.31529999999998</v>
      </c>
      <c r="G1001" s="52">
        <v>4.5</v>
      </c>
      <c r="H1001" s="53">
        <f t="shared" si="96"/>
        <v>87.403399999999991</v>
      </c>
      <c r="I1001" s="92">
        <f t="shared" ref="I1001" si="98">H1001/E1001</f>
        <v>1.2486199999999998</v>
      </c>
      <c r="J1001" s="266"/>
    </row>
    <row r="1002" spans="1:10" ht="15.75" x14ac:dyDescent="0.3">
      <c r="A1002" s="422"/>
      <c r="B1002" s="50" t="s">
        <v>419</v>
      </c>
      <c r="C1002" s="76">
        <v>135</v>
      </c>
      <c r="D1002" s="84">
        <v>2</v>
      </c>
      <c r="E1002" s="52">
        <f t="shared" si="97"/>
        <v>67.5</v>
      </c>
      <c r="F1002" s="57">
        <v>256.25600000000003</v>
      </c>
      <c r="G1002" s="52">
        <v>3</v>
      </c>
      <c r="H1002" s="53">
        <f t="shared" ref="H1002" si="99">F1002/G1002</f>
        <v>85.418666666666681</v>
      </c>
      <c r="I1002" s="92">
        <f t="shared" ref="I1002" si="100">H1002/E1002</f>
        <v>1.265461728395062</v>
      </c>
      <c r="J1002" s="266"/>
    </row>
    <row r="1003" spans="1:10" ht="15.75" x14ac:dyDescent="0.3">
      <c r="A1003" s="422"/>
      <c r="B1003" s="50" t="s">
        <v>397</v>
      </c>
      <c r="C1003" s="76"/>
      <c r="D1003" s="84"/>
      <c r="E1003" s="52"/>
      <c r="F1003" s="57"/>
      <c r="G1003" s="90"/>
      <c r="H1003" s="53"/>
      <c r="I1003" s="92"/>
      <c r="J1003" s="266"/>
    </row>
    <row r="1004" spans="1:10" ht="15.75" x14ac:dyDescent="0.3">
      <c r="A1004" s="422"/>
      <c r="B1004" s="50" t="s">
        <v>398</v>
      </c>
      <c r="C1004" s="76">
        <v>100</v>
      </c>
      <c r="D1004" s="84">
        <v>1</v>
      </c>
      <c r="E1004" s="52">
        <f>C1004/D1004</f>
        <v>100</v>
      </c>
      <c r="F1004" s="57">
        <v>97.585999999999999</v>
      </c>
      <c r="G1004" s="52">
        <v>1</v>
      </c>
      <c r="H1004" s="53">
        <f t="shared" ref="H1004" si="101">F1004/G1004</f>
        <v>97.585999999999999</v>
      </c>
      <c r="I1004" s="92">
        <f>H1004/E1004</f>
        <v>0.97585999999999995</v>
      </c>
      <c r="J1004" s="266"/>
    </row>
    <row r="1005" spans="1:10" ht="16.5" x14ac:dyDescent="0.35">
      <c r="A1005" s="422"/>
      <c r="B1005" s="59" t="s">
        <v>146</v>
      </c>
      <c r="C1005" s="61">
        <f>SUM(C992:C1004)</f>
        <v>910</v>
      </c>
      <c r="D1005" s="61">
        <f t="shared" ref="D1005" si="102">SUM(D992:D1004)</f>
        <v>13</v>
      </c>
      <c r="E1005" s="61"/>
      <c r="F1005" s="61">
        <f t="shared" ref="F1005:G1005" si="103">SUM(F992:F1004)</f>
        <v>1028.6043</v>
      </c>
      <c r="G1005" s="61">
        <f t="shared" si="103"/>
        <v>13</v>
      </c>
      <c r="H1005" s="61"/>
      <c r="I1005" s="92"/>
      <c r="J1005" s="266"/>
    </row>
    <row r="1006" spans="1:10" ht="15.75" x14ac:dyDescent="0.3">
      <c r="A1006" s="422"/>
      <c r="B1006" s="65" t="s">
        <v>148</v>
      </c>
      <c r="C1006" s="66"/>
      <c r="D1006" s="67">
        <f>30-D1005</f>
        <v>17</v>
      </c>
      <c r="E1006" s="67"/>
      <c r="F1006" s="67"/>
      <c r="G1006" s="67">
        <f>30-G1005</f>
        <v>17</v>
      </c>
      <c r="H1006" s="87"/>
      <c r="I1006" s="92"/>
      <c r="J1006" s="266"/>
    </row>
    <row r="1007" spans="1:10" ht="17.25" thickBot="1" x14ac:dyDescent="0.4">
      <c r="A1007" s="423"/>
      <c r="B1007" s="70" t="s">
        <v>149</v>
      </c>
      <c r="C1007" s="71">
        <f>SUM(C992:C1004)</f>
        <v>910</v>
      </c>
      <c r="D1007" s="71">
        <f>D1005+D1006</f>
        <v>30</v>
      </c>
      <c r="E1007" s="71"/>
      <c r="F1007" s="71">
        <f>SUM(F992:F1004)</f>
        <v>1028.6043</v>
      </c>
      <c r="G1007" s="71">
        <f>G1006+G1005</f>
        <v>30</v>
      </c>
      <c r="H1007" s="82"/>
      <c r="I1007" s="73">
        <f>F1007/C1007</f>
        <v>1.1303343956043956</v>
      </c>
      <c r="J1007" s="267"/>
    </row>
    <row r="1008" spans="1:10" ht="15.75" x14ac:dyDescent="0.3">
      <c r="A1008" s="421" t="s">
        <v>169</v>
      </c>
      <c r="B1008" s="88" t="s">
        <v>170</v>
      </c>
      <c r="C1008" s="89">
        <v>180</v>
      </c>
      <c r="D1008" s="52">
        <v>3</v>
      </c>
      <c r="E1008" s="52">
        <f>C1008/D1008</f>
        <v>60</v>
      </c>
      <c r="F1008" s="51">
        <v>154</v>
      </c>
      <c r="G1008" s="52">
        <v>2.5</v>
      </c>
      <c r="H1008" s="53">
        <f>F1008/G1008</f>
        <v>61.6</v>
      </c>
      <c r="I1008" s="92">
        <f>H1008/E1008</f>
        <v>1.0266666666666666</v>
      </c>
      <c r="J1008" s="265"/>
    </row>
    <row r="1009" spans="1:10" ht="15.75" x14ac:dyDescent="0.3">
      <c r="A1009" s="422"/>
      <c r="B1009" s="244" t="s">
        <v>331</v>
      </c>
      <c r="C1009" s="51"/>
      <c r="D1009" s="52"/>
      <c r="E1009" s="52"/>
      <c r="F1009" s="51"/>
      <c r="G1009" s="52"/>
      <c r="H1009" s="53"/>
      <c r="I1009" s="92"/>
      <c r="J1009" s="266"/>
    </row>
    <row r="1010" spans="1:10" ht="15.75" x14ac:dyDescent="0.3">
      <c r="A1010" s="422"/>
      <c r="B1010" s="80" t="s">
        <v>48</v>
      </c>
      <c r="C1010" s="76"/>
      <c r="D1010" s="52"/>
      <c r="E1010" s="52"/>
      <c r="F1010" s="57"/>
      <c r="G1010" s="52"/>
      <c r="H1010" s="53" t="e">
        <f t="shared" ref="H1010" si="104">F1010/G1010</f>
        <v>#DIV/0!</v>
      </c>
      <c r="I1010" s="92" t="e">
        <f t="shared" ref="I1010" si="105">H1010/E1010</f>
        <v>#DIV/0!</v>
      </c>
      <c r="J1010" s="266"/>
    </row>
    <row r="1011" spans="1:10" ht="15.75" x14ac:dyDescent="0.3">
      <c r="A1011" s="422"/>
      <c r="B1011" s="80" t="s">
        <v>159</v>
      </c>
      <c r="C1011" s="76">
        <v>520</v>
      </c>
      <c r="D1011" s="52">
        <v>7.5</v>
      </c>
      <c r="E1011" s="52">
        <f>C1011/D1011</f>
        <v>69.333333333333329</v>
      </c>
      <c r="F1011" s="57">
        <v>689.077</v>
      </c>
      <c r="G1011" s="52">
        <v>9</v>
      </c>
      <c r="H1011" s="53">
        <f>F1011/G1011</f>
        <v>76.564111111111117</v>
      </c>
      <c r="I1011" s="92">
        <f>H1011/E1011</f>
        <v>1.1042900641025644</v>
      </c>
      <c r="J1011" s="266"/>
    </row>
    <row r="1012" spans="1:10" ht="15.75" x14ac:dyDescent="0.3">
      <c r="A1012" s="422"/>
      <c r="B1012" s="80" t="s">
        <v>422</v>
      </c>
      <c r="C1012" s="76">
        <v>440</v>
      </c>
      <c r="D1012" s="52">
        <v>4</v>
      </c>
      <c r="E1012" s="52">
        <f>C1012/D1012</f>
        <v>110</v>
      </c>
      <c r="F1012" s="57">
        <v>439.01199999999994</v>
      </c>
      <c r="G1012" s="52">
        <v>4</v>
      </c>
      <c r="H1012" s="53">
        <f>F1012/G1012</f>
        <v>109.75299999999999</v>
      </c>
      <c r="I1012" s="92">
        <f>H1012/E1012</f>
        <v>0.99775454545454534</v>
      </c>
      <c r="J1012" s="266"/>
    </row>
    <row r="1013" spans="1:10" ht="15.75" x14ac:dyDescent="0.3">
      <c r="A1013" s="422"/>
      <c r="B1013" s="80" t="s">
        <v>385</v>
      </c>
      <c r="C1013" s="76"/>
      <c r="D1013" s="52"/>
      <c r="E1013" s="52"/>
      <c r="F1013" s="57"/>
      <c r="G1013" s="52"/>
      <c r="H1013" s="53" t="e">
        <f t="shared" ref="H1013" si="106">F1013/G1013</f>
        <v>#DIV/0!</v>
      </c>
      <c r="I1013" s="92" t="e">
        <f t="shared" ref="I1013" si="107">H1013/E1013</f>
        <v>#DIV/0!</v>
      </c>
      <c r="J1013" s="266"/>
    </row>
    <row r="1014" spans="1:10" ht="15.75" x14ac:dyDescent="0.3">
      <c r="A1014" s="422"/>
      <c r="B1014" s="80" t="s">
        <v>175</v>
      </c>
      <c r="C1014" s="76">
        <v>160</v>
      </c>
      <c r="D1014" s="52">
        <v>4</v>
      </c>
      <c r="E1014" s="52">
        <f>C1014/D1014</f>
        <v>40</v>
      </c>
      <c r="F1014" s="57">
        <v>143.27199999999999</v>
      </c>
      <c r="G1014" s="52">
        <v>4.5</v>
      </c>
      <c r="H1014" s="53">
        <f t="shared" ref="H1014" si="108">F1014/G1014</f>
        <v>31.838222222222221</v>
      </c>
      <c r="I1014" s="92">
        <f t="shared" ref="I1014" si="109">H1014/E1014</f>
        <v>0.79595555555555553</v>
      </c>
      <c r="J1014" s="266"/>
    </row>
    <row r="1015" spans="1:10" ht="15.75" x14ac:dyDescent="0.3">
      <c r="A1015" s="422"/>
      <c r="B1015" s="80" t="s">
        <v>395</v>
      </c>
      <c r="C1015" s="76"/>
      <c r="D1015" s="52"/>
      <c r="E1015" s="52" t="e">
        <f>C1015/D1015</f>
        <v>#DIV/0!</v>
      </c>
      <c r="F1015" s="57"/>
      <c r="G1015" s="52"/>
      <c r="H1015" s="53" t="e">
        <f>F1015/G1015</f>
        <v>#DIV/0!</v>
      </c>
      <c r="I1015" s="92" t="e">
        <f>H1015/E1015</f>
        <v>#DIV/0!</v>
      </c>
      <c r="J1015" s="266"/>
    </row>
    <row r="1016" spans="1:10" ht="15.75" x14ac:dyDescent="0.3">
      <c r="A1016" s="422"/>
      <c r="B1016" s="80" t="s">
        <v>421</v>
      </c>
      <c r="C1016" s="76">
        <v>220</v>
      </c>
      <c r="D1016" s="52">
        <v>3</v>
      </c>
      <c r="E1016" s="52">
        <f>C1016/D1016</f>
        <v>73.333333333333329</v>
      </c>
      <c r="F1016" s="52">
        <f>230+76.197</f>
        <v>306.197</v>
      </c>
      <c r="G1016" s="52">
        <f>2.5+1</f>
        <v>3.5</v>
      </c>
      <c r="H1016" s="53">
        <f>F1016/G1016</f>
        <v>87.484857142857138</v>
      </c>
      <c r="I1016" s="92">
        <f>H1016/E1016</f>
        <v>1.1929753246753247</v>
      </c>
      <c r="J1016" s="266"/>
    </row>
    <row r="1017" spans="1:10" ht="16.5" x14ac:dyDescent="0.35">
      <c r="A1017" s="422"/>
      <c r="B1017" s="59" t="s">
        <v>146</v>
      </c>
      <c r="C1017" s="61">
        <f>SUM(C1008:C1016)</f>
        <v>1520</v>
      </c>
      <c r="D1017" s="61">
        <f>SUM(D1008:D1016)</f>
        <v>21.5</v>
      </c>
      <c r="E1017" s="61"/>
      <c r="F1017" s="61">
        <f>SUM(F1008:F1016)</f>
        <v>1731.558</v>
      </c>
      <c r="G1017" s="63">
        <f>SUM(G1008:G1016)</f>
        <v>23.5</v>
      </c>
      <c r="H1017" s="64"/>
      <c r="I1017" s="92"/>
      <c r="J1017" s="266"/>
    </row>
    <row r="1018" spans="1:10" ht="15.75" x14ac:dyDescent="0.3">
      <c r="A1018" s="422"/>
      <c r="B1018" s="65" t="s">
        <v>148</v>
      </c>
      <c r="C1018" s="66"/>
      <c r="D1018" s="68">
        <f>30-D1017</f>
        <v>8.5</v>
      </c>
      <c r="E1018" s="67"/>
      <c r="F1018" s="67"/>
      <c r="G1018" s="81">
        <f>30-G1017</f>
        <v>6.5</v>
      </c>
      <c r="H1018" s="87"/>
      <c r="I1018" s="92"/>
      <c r="J1018" s="266"/>
    </row>
    <row r="1019" spans="1:10" ht="17.25" thickBot="1" x14ac:dyDescent="0.4">
      <c r="A1019" s="423"/>
      <c r="B1019" s="70" t="s">
        <v>149</v>
      </c>
      <c r="C1019" s="71">
        <f>SUM(C1008:C1016)</f>
        <v>1520</v>
      </c>
      <c r="D1019" s="71">
        <f>D1017+D1018</f>
        <v>30</v>
      </c>
      <c r="E1019" s="71"/>
      <c r="F1019" s="71">
        <f>SUM(F1008:F1016)</f>
        <v>1731.558</v>
      </c>
      <c r="G1019" s="71">
        <f>G1017+G1018</f>
        <v>30</v>
      </c>
      <c r="H1019" s="58"/>
      <c r="I1019" s="73">
        <f>F1019/C1019</f>
        <v>1.1391828947368421</v>
      </c>
      <c r="J1019" s="267"/>
    </row>
    <row r="1020" spans="1:10" ht="15.75" x14ac:dyDescent="0.3">
      <c r="A1020" s="406" t="s">
        <v>176</v>
      </c>
      <c r="B1020" s="80" t="s">
        <v>177</v>
      </c>
      <c r="C1020" s="76">
        <v>280</v>
      </c>
      <c r="D1020" s="52">
        <v>3.5</v>
      </c>
      <c r="E1020" s="52">
        <f>C1020/D1020</f>
        <v>80</v>
      </c>
      <c r="F1020" s="51"/>
      <c r="G1020" s="93"/>
      <c r="H1020" s="53" t="e">
        <f t="shared" ref="H1020:H1024" si="110">F1020/G1020</f>
        <v>#DIV/0!</v>
      </c>
      <c r="I1020" s="92" t="e">
        <f t="shared" ref="I1020:I1021" si="111">H1020/E1020</f>
        <v>#DIV/0!</v>
      </c>
      <c r="J1020" s="268"/>
    </row>
    <row r="1021" spans="1:10" ht="15.75" x14ac:dyDescent="0.3">
      <c r="A1021" s="407"/>
      <c r="B1021" s="80" t="s">
        <v>405</v>
      </c>
      <c r="C1021" s="76">
        <v>440</v>
      </c>
      <c r="D1021" s="84">
        <v>4</v>
      </c>
      <c r="E1021" s="52">
        <f>C1021/D1021</f>
        <v>110</v>
      </c>
      <c r="F1021" s="93">
        <f>217.5+277.5</f>
        <v>495</v>
      </c>
      <c r="G1021" s="93">
        <v>5</v>
      </c>
      <c r="H1021" s="53">
        <f t="shared" si="110"/>
        <v>99</v>
      </c>
      <c r="I1021" s="92">
        <f t="shared" si="111"/>
        <v>0.9</v>
      </c>
      <c r="J1021" s="269"/>
    </row>
    <row r="1022" spans="1:10" ht="15.75" x14ac:dyDescent="0.3">
      <c r="A1022" s="407"/>
      <c r="B1022" s="80" t="s">
        <v>407</v>
      </c>
      <c r="C1022" s="51">
        <v>195</v>
      </c>
      <c r="D1022" s="52">
        <v>2.2000000000000002</v>
      </c>
      <c r="E1022" s="52">
        <f>C1022/D1022</f>
        <v>88.636363636363626</v>
      </c>
      <c r="F1022" s="51">
        <v>160.6925</v>
      </c>
      <c r="G1022" s="93">
        <v>2</v>
      </c>
      <c r="H1022" s="53">
        <f t="shared" si="110"/>
        <v>80.346249999999998</v>
      </c>
      <c r="I1022" s="92">
        <f>H1022/E1022</f>
        <v>0.90647051282051294</v>
      </c>
      <c r="J1022" s="269"/>
    </row>
    <row r="1023" spans="1:10" ht="15.75" x14ac:dyDescent="0.3">
      <c r="A1023" s="407"/>
      <c r="B1023" s="80" t="s">
        <v>233</v>
      </c>
      <c r="C1023" s="76">
        <v>225</v>
      </c>
      <c r="D1023" s="52">
        <v>3</v>
      </c>
      <c r="E1023" s="52">
        <f>C1023/D1023</f>
        <v>75</v>
      </c>
      <c r="F1023" s="51">
        <v>415.21350000000001</v>
      </c>
      <c r="G1023" s="93">
        <v>7</v>
      </c>
      <c r="H1023" s="53">
        <f t="shared" si="110"/>
        <v>59.316214285714288</v>
      </c>
      <c r="I1023" s="92">
        <f>H1023/E1023</f>
        <v>0.79088285714285722</v>
      </c>
      <c r="J1023" s="269"/>
    </row>
    <row r="1024" spans="1:10" ht="15.75" x14ac:dyDescent="0.3">
      <c r="A1024" s="407"/>
      <c r="B1024" s="80" t="s">
        <v>181</v>
      </c>
      <c r="C1024" s="51">
        <f>504+336</f>
        <v>840</v>
      </c>
      <c r="D1024" s="52">
        <v>10</v>
      </c>
      <c r="E1024" s="52">
        <f>C1024/D1024</f>
        <v>84</v>
      </c>
      <c r="F1024" s="51">
        <v>783</v>
      </c>
      <c r="G1024" s="93">
        <v>9</v>
      </c>
      <c r="H1024" s="53">
        <f t="shared" si="110"/>
        <v>87</v>
      </c>
      <c r="I1024" s="92">
        <f>H1024/E1024</f>
        <v>1.0357142857142858</v>
      </c>
      <c r="J1024" s="269"/>
    </row>
    <row r="1025" spans="1:10" ht="15.75" x14ac:dyDescent="0.3">
      <c r="A1025" s="407"/>
      <c r="B1025" s="121" t="s">
        <v>406</v>
      </c>
      <c r="C1025" s="94"/>
      <c r="D1025" s="86"/>
      <c r="E1025" s="52"/>
      <c r="F1025" s="95"/>
      <c r="G1025" s="96"/>
      <c r="H1025" s="53" t="e">
        <f t="shared" ref="H1025" si="112">F1025/G1025</f>
        <v>#DIV/0!</v>
      </c>
      <c r="I1025" s="92" t="e">
        <f>H1025/E1025</f>
        <v>#DIV/0!</v>
      </c>
      <c r="J1025" s="269"/>
    </row>
    <row r="1026" spans="1:10" ht="16.5" x14ac:dyDescent="0.35">
      <c r="A1026" s="407"/>
      <c r="B1026" s="59" t="s">
        <v>146</v>
      </c>
      <c r="C1026" s="60"/>
      <c r="D1026" s="61">
        <f>SUM(D1020:D1025)</f>
        <v>22.7</v>
      </c>
      <c r="E1026" s="61"/>
      <c r="F1026" s="62"/>
      <c r="G1026" s="61">
        <f>SUM(G1020:G1025)</f>
        <v>23</v>
      </c>
      <c r="H1026" s="61"/>
      <c r="I1026" s="92"/>
      <c r="J1026" s="269"/>
    </row>
    <row r="1027" spans="1:10" ht="15.75" x14ac:dyDescent="0.3">
      <c r="A1027" s="407"/>
      <c r="B1027" s="65" t="s">
        <v>148</v>
      </c>
      <c r="C1027" s="66"/>
      <c r="D1027" s="68">
        <f>30-D1026</f>
        <v>7.3000000000000007</v>
      </c>
      <c r="E1027" s="67"/>
      <c r="F1027" s="67"/>
      <c r="G1027" s="68">
        <f>30-G1026</f>
        <v>7</v>
      </c>
      <c r="H1027" s="97"/>
      <c r="I1027" s="92"/>
      <c r="J1027" s="269"/>
    </row>
    <row r="1028" spans="1:10" ht="17.25" thickBot="1" x14ac:dyDescent="0.4">
      <c r="A1028" s="408"/>
      <c r="B1028" s="70" t="s">
        <v>149</v>
      </c>
      <c r="C1028" s="71">
        <f>SUM(C1020:C1025)</f>
        <v>1980</v>
      </c>
      <c r="D1028" s="71">
        <f>D1027+D1026</f>
        <v>30</v>
      </c>
      <c r="E1028" s="98"/>
      <c r="F1028" s="71">
        <f>SUM(F1020:F1025)</f>
        <v>1853.9059999999999</v>
      </c>
      <c r="G1028" s="71">
        <f>G1027+G1026</f>
        <v>30</v>
      </c>
      <c r="H1028" s="99"/>
      <c r="I1028" s="73">
        <f>F1028/C1028</f>
        <v>0.9363161616161616</v>
      </c>
      <c r="J1028" s="270"/>
    </row>
    <row r="1029" spans="1:10" ht="15.75" x14ac:dyDescent="0.3">
      <c r="A1029" s="406" t="s">
        <v>183</v>
      </c>
      <c r="B1029" s="50" t="s">
        <v>77</v>
      </c>
      <c r="C1029" s="51">
        <v>1300</v>
      </c>
      <c r="D1029" s="52">
        <v>8</v>
      </c>
      <c r="E1029" s="52">
        <f>C1029/D1029</f>
        <v>162.5</v>
      </c>
      <c r="F1029" s="51"/>
      <c r="G1029" s="93"/>
      <c r="H1029" s="96"/>
      <c r="I1029" s="92"/>
      <c r="J1029" s="271"/>
    </row>
    <row r="1030" spans="1:10" ht="15.75" x14ac:dyDescent="0.3">
      <c r="A1030" s="407"/>
      <c r="B1030" s="50" t="s">
        <v>243</v>
      </c>
      <c r="C1030" s="51">
        <v>520</v>
      </c>
      <c r="D1030" s="52">
        <v>4</v>
      </c>
      <c r="E1030" s="52">
        <f>C1030/D1030</f>
        <v>130</v>
      </c>
      <c r="F1030" s="57">
        <v>362.11999999999995</v>
      </c>
      <c r="G1030" s="93">
        <v>2.75</v>
      </c>
      <c r="H1030" s="96">
        <f>F1030/G1030</f>
        <v>131.67999999999998</v>
      </c>
      <c r="I1030" s="92">
        <f>H1030/E1030</f>
        <v>1.0129230769230768</v>
      </c>
      <c r="J1030" s="272"/>
    </row>
    <row r="1031" spans="1:10" ht="15.75" x14ac:dyDescent="0.3">
      <c r="A1031" s="407"/>
      <c r="B1031" s="50" t="s">
        <v>184</v>
      </c>
      <c r="C1031" s="51">
        <v>460</v>
      </c>
      <c r="D1031" s="52">
        <v>3</v>
      </c>
      <c r="E1031" s="52">
        <f>C1031/D1031</f>
        <v>153.33333333333334</v>
      </c>
      <c r="F1031" s="51">
        <v>565.72129999999993</v>
      </c>
      <c r="G1031" s="93">
        <v>3.75</v>
      </c>
      <c r="H1031" s="96">
        <f>F1031/G1031</f>
        <v>150.85901333333331</v>
      </c>
      <c r="I1031" s="92">
        <f>H1031/E1031</f>
        <v>0.98386313043478235</v>
      </c>
      <c r="J1031" s="272"/>
    </row>
    <row r="1032" spans="1:10" ht="15.75" x14ac:dyDescent="0.3">
      <c r="A1032" s="407"/>
      <c r="B1032" s="50" t="s">
        <v>83</v>
      </c>
      <c r="C1032" s="51"/>
      <c r="D1032" s="52"/>
      <c r="E1032" s="52"/>
      <c r="F1032" s="51"/>
      <c r="G1032" s="93"/>
      <c r="H1032" s="96"/>
      <c r="I1032" s="92"/>
      <c r="J1032" s="272"/>
    </row>
    <row r="1033" spans="1:10" ht="15.75" x14ac:dyDescent="0.3">
      <c r="A1033" s="407"/>
      <c r="B1033" s="50" t="s">
        <v>365</v>
      </c>
      <c r="C1033" s="51">
        <v>500</v>
      </c>
      <c r="D1033" s="52">
        <v>3</v>
      </c>
      <c r="E1033" s="52">
        <f>C1033/D1033</f>
        <v>166.66666666666666</v>
      </c>
      <c r="F1033" s="57">
        <v>2361.5169999999998</v>
      </c>
      <c r="G1033" s="334">
        <v>13</v>
      </c>
      <c r="H1033" s="93">
        <f>F1033/G1033</f>
        <v>181.65515384615384</v>
      </c>
      <c r="I1033" s="92">
        <f>H1033/E1033</f>
        <v>1.0899309230769232</v>
      </c>
      <c r="J1033" s="272"/>
    </row>
    <row r="1034" spans="1:10" ht="15.75" x14ac:dyDescent="0.3">
      <c r="A1034" s="407"/>
      <c r="B1034" s="101" t="s">
        <v>423</v>
      </c>
      <c r="C1034" s="95"/>
      <c r="D1034" s="102"/>
      <c r="E1034" s="52"/>
      <c r="F1034" s="95">
        <v>436.54399999999998</v>
      </c>
      <c r="G1034" s="103">
        <v>2.75</v>
      </c>
      <c r="H1034" s="99">
        <f>F1034/G1034</f>
        <v>158.74327272727271</v>
      </c>
      <c r="I1034" s="92"/>
      <c r="J1034" s="272"/>
    </row>
    <row r="1035" spans="1:10" ht="16.5" x14ac:dyDescent="0.35">
      <c r="A1035" s="407"/>
      <c r="B1035" s="59" t="s">
        <v>146</v>
      </c>
      <c r="C1035" s="60"/>
      <c r="D1035" s="61">
        <f>SUM(D1029:D1034)</f>
        <v>18</v>
      </c>
      <c r="E1035" s="61"/>
      <c r="F1035" s="62"/>
      <c r="G1035" s="60">
        <f>SUM(G1029:G1034)</f>
        <v>22.25</v>
      </c>
      <c r="H1035" s="61"/>
      <c r="I1035" s="92"/>
      <c r="J1035" s="272"/>
    </row>
    <row r="1036" spans="1:10" ht="16.5" x14ac:dyDescent="0.35">
      <c r="A1036" s="407"/>
      <c r="B1036" s="130" t="s">
        <v>244</v>
      </c>
      <c r="C1036" s="131"/>
      <c r="D1036" s="132"/>
      <c r="E1036" s="133"/>
      <c r="F1036" s="133"/>
      <c r="G1036" s="132"/>
      <c r="H1036" s="134"/>
      <c r="I1036" s="92"/>
      <c r="J1036" s="272"/>
    </row>
    <row r="1037" spans="1:10" ht="15.75" x14ac:dyDescent="0.3">
      <c r="A1037" s="407"/>
      <c r="B1037" s="65" t="s">
        <v>148</v>
      </c>
      <c r="C1037" s="66"/>
      <c r="D1037" s="68">
        <f>30-D1036-D1035</f>
        <v>12</v>
      </c>
      <c r="E1037" s="67"/>
      <c r="F1037" s="67"/>
      <c r="G1037" s="81">
        <f>30-G1035-G1036</f>
        <v>7.75</v>
      </c>
      <c r="H1037" s="97"/>
      <c r="I1037" s="92"/>
      <c r="J1037" s="272"/>
    </row>
    <row r="1038" spans="1:10" ht="17.25" thickBot="1" x14ac:dyDescent="0.4">
      <c r="A1038" s="408"/>
      <c r="B1038" s="70" t="s">
        <v>149</v>
      </c>
      <c r="C1038" s="71">
        <f>SUM(C1029:C1034)</f>
        <v>2780</v>
      </c>
      <c r="D1038" s="71">
        <f>D1037+D1035</f>
        <v>30</v>
      </c>
      <c r="E1038" s="71"/>
      <c r="F1038" s="71">
        <f>SUM(F1029:F1034)</f>
        <v>3725.9022999999997</v>
      </c>
      <c r="G1038" s="104">
        <f>G1037+G1035+G1036</f>
        <v>30</v>
      </c>
      <c r="H1038" s="105"/>
      <c r="I1038" s="73">
        <f>F1038/C1038</f>
        <v>1.3402526258992804</v>
      </c>
      <c r="J1038" s="273"/>
    </row>
    <row r="1039" spans="1:10" ht="15.75" x14ac:dyDescent="0.3">
      <c r="A1039" s="406" t="s">
        <v>188</v>
      </c>
      <c r="B1039" s="106" t="s">
        <v>191</v>
      </c>
      <c r="C1039" s="76"/>
      <c r="D1039" s="84"/>
      <c r="E1039" s="52"/>
      <c r="F1039" s="57"/>
      <c r="G1039" s="93"/>
      <c r="H1039" s="99" t="e">
        <f>F1039/G1039</f>
        <v>#DIV/0!</v>
      </c>
      <c r="I1039" s="107"/>
      <c r="J1039" s="271"/>
    </row>
    <row r="1040" spans="1:10" ht="15.75" x14ac:dyDescent="0.3">
      <c r="A1040" s="407"/>
      <c r="B1040" s="106" t="s">
        <v>79</v>
      </c>
      <c r="C1040" s="76"/>
      <c r="D1040" s="84"/>
      <c r="E1040" s="52"/>
      <c r="F1040" s="51"/>
      <c r="G1040" s="93"/>
      <c r="H1040" s="99"/>
      <c r="I1040" s="92"/>
      <c r="J1040" s="272"/>
    </row>
    <row r="1041" spans="1:10" ht="15.75" x14ac:dyDescent="0.3">
      <c r="A1041" s="407"/>
      <c r="B1041" s="106" t="s">
        <v>77</v>
      </c>
      <c r="C1041" s="76">
        <v>500</v>
      </c>
      <c r="D1041" s="84">
        <v>2</v>
      </c>
      <c r="E1041" s="52">
        <f t="shared" ref="E1041" si="113">C1041/D1041</f>
        <v>250</v>
      </c>
      <c r="F1041" s="51">
        <v>752.65279999999996</v>
      </c>
      <c r="G1041" s="93">
        <v>3</v>
      </c>
      <c r="H1041" s="99">
        <f>F1041/G1041</f>
        <v>250.88426666666666</v>
      </c>
      <c r="I1041" s="92">
        <f>H1041/E1041</f>
        <v>1.0035370666666668</v>
      </c>
      <c r="J1041" s="272"/>
    </row>
    <row r="1042" spans="1:10" ht="15.75" x14ac:dyDescent="0.3">
      <c r="A1042" s="407"/>
      <c r="B1042" s="245" t="s">
        <v>365</v>
      </c>
      <c r="C1042" s="246">
        <v>2000</v>
      </c>
      <c r="D1042" s="84">
        <v>6</v>
      </c>
      <c r="E1042" s="52">
        <f>C1042/D1042</f>
        <v>333.33333333333331</v>
      </c>
      <c r="F1042" s="95"/>
      <c r="G1042" s="53"/>
      <c r="H1042" s="99" t="e">
        <f>F1042/G1042</f>
        <v>#DIV/0!</v>
      </c>
      <c r="I1042" s="92" t="e">
        <f>H1042/E1042</f>
        <v>#DIV/0!</v>
      </c>
      <c r="J1042" s="272"/>
    </row>
    <row r="1043" spans="1:10" ht="16.5" x14ac:dyDescent="0.35">
      <c r="A1043" s="407"/>
      <c r="B1043" s="65" t="s">
        <v>189</v>
      </c>
      <c r="C1043" s="66"/>
      <c r="D1043" s="108">
        <f>30-SUM(D1039:D1042)</f>
        <v>22</v>
      </c>
      <c r="E1043" s="109"/>
      <c r="F1043" s="109"/>
      <c r="G1043" s="108">
        <f>30-SUM(G1039:G1042)</f>
        <v>27</v>
      </c>
      <c r="H1043" s="68"/>
      <c r="I1043" s="92"/>
      <c r="J1043" s="272"/>
    </row>
    <row r="1044" spans="1:10" ht="17.25" thickBot="1" x14ac:dyDescent="0.4">
      <c r="A1044" s="408"/>
      <c r="B1044" s="111" t="s">
        <v>149</v>
      </c>
      <c r="C1044" s="82">
        <f>SUM(C1039:C1043)</f>
        <v>2500</v>
      </c>
      <c r="D1044" s="82">
        <f>D1043+SUM(D1039:D1042)</f>
        <v>30</v>
      </c>
      <c r="E1044" s="82"/>
      <c r="F1044" s="82">
        <f>SUM(F1039:F1043)</f>
        <v>752.65279999999996</v>
      </c>
      <c r="G1044" s="82">
        <f>G1043+SUM(G1039:G1042)</f>
        <v>30</v>
      </c>
      <c r="H1044" s="112"/>
      <c r="I1044" s="73">
        <f>F1044/C1044</f>
        <v>0.30106111999999996</v>
      </c>
      <c r="J1044" s="273"/>
    </row>
    <row r="1045" spans="1:10" ht="15.75" x14ac:dyDescent="0.3">
      <c r="A1045" s="406" t="s">
        <v>190</v>
      </c>
      <c r="B1045" s="50"/>
      <c r="C1045" s="51"/>
      <c r="D1045" s="52"/>
      <c r="E1045" s="52"/>
      <c r="F1045" s="51"/>
      <c r="G1045" s="93"/>
      <c r="H1045" s="99"/>
      <c r="I1045" s="92"/>
      <c r="J1045" s="271"/>
    </row>
    <row r="1046" spans="1:10" ht="15.75" x14ac:dyDescent="0.3">
      <c r="A1046" s="407"/>
      <c r="B1046" s="101" t="s">
        <v>206</v>
      </c>
      <c r="C1046" s="95">
        <v>119</v>
      </c>
      <c r="D1046" s="102">
        <v>7</v>
      </c>
      <c r="E1046" s="86">
        <f>C1046/D1046</f>
        <v>17</v>
      </c>
      <c r="F1046" s="95"/>
      <c r="G1046" s="103"/>
      <c r="H1046" s="99"/>
      <c r="I1046" s="92"/>
      <c r="J1046" s="272"/>
    </row>
    <row r="1047" spans="1:10" ht="15.75" x14ac:dyDescent="0.3">
      <c r="A1047" s="407"/>
      <c r="B1047" s="101" t="s">
        <v>192</v>
      </c>
      <c r="C1047" s="114"/>
      <c r="D1047" s="102"/>
      <c r="E1047" s="86"/>
      <c r="F1047" s="95"/>
      <c r="G1047" s="103"/>
      <c r="H1047" s="99"/>
      <c r="I1047" s="92"/>
      <c r="J1047" s="272"/>
    </row>
    <row r="1048" spans="1:10" ht="16.5" x14ac:dyDescent="0.35">
      <c r="A1048" s="407"/>
      <c r="B1048" s="59" t="s">
        <v>146</v>
      </c>
      <c r="C1048" s="60"/>
      <c r="D1048" s="61">
        <f>SUM(D1046:D1047)</f>
        <v>7</v>
      </c>
      <c r="E1048" s="61"/>
      <c r="F1048" s="62"/>
      <c r="G1048" s="61">
        <f>SUM(G1046:G1047)</f>
        <v>0</v>
      </c>
      <c r="H1048" s="61"/>
      <c r="I1048" s="92"/>
      <c r="J1048" s="272"/>
    </row>
    <row r="1049" spans="1:10" ht="15.75" x14ac:dyDescent="0.3">
      <c r="A1049" s="407"/>
      <c r="B1049" s="65" t="s">
        <v>148</v>
      </c>
      <c r="C1049" s="66"/>
      <c r="D1049" s="68">
        <f>30-D1048</f>
        <v>23</v>
      </c>
      <c r="E1049" s="67"/>
      <c r="F1049" s="67"/>
      <c r="G1049" s="81">
        <f>30-G1048</f>
        <v>30</v>
      </c>
      <c r="H1049" s="97"/>
      <c r="I1049" s="92"/>
      <c r="J1049" s="272"/>
    </row>
    <row r="1050" spans="1:10" ht="17.25" thickBot="1" x14ac:dyDescent="0.4">
      <c r="A1050" s="408"/>
      <c r="B1050" s="70" t="s">
        <v>149</v>
      </c>
      <c r="C1050" s="71">
        <f>SUM(C1046:C1047)</f>
        <v>119</v>
      </c>
      <c r="D1050" s="71">
        <f>D1049+D1048</f>
        <v>30</v>
      </c>
      <c r="E1050" s="71"/>
      <c r="F1050" s="71">
        <f>SUM(F1046:F1047)</f>
        <v>0</v>
      </c>
      <c r="G1050" s="71">
        <f>G1049+G1048</f>
        <v>30</v>
      </c>
      <c r="H1050" s="105"/>
      <c r="I1050" s="73">
        <f>F1050/C1050</f>
        <v>0</v>
      </c>
      <c r="J1050" s="273"/>
    </row>
    <row r="1051" spans="1:10" ht="19.5" x14ac:dyDescent="0.3">
      <c r="A1051" s="342"/>
      <c r="B1051" s="101" t="s">
        <v>373</v>
      </c>
      <c r="C1051" s="95"/>
      <c r="D1051" s="102"/>
      <c r="E1051" s="86"/>
      <c r="F1051" s="95"/>
      <c r="G1051" s="103"/>
      <c r="H1051" s="86"/>
      <c r="I1051" s="92"/>
      <c r="J1051" s="271"/>
    </row>
    <row r="1052" spans="1:10" ht="15.75" x14ac:dyDescent="0.3">
      <c r="A1052" s="407" t="s">
        <v>194</v>
      </c>
      <c r="B1052" s="101" t="s">
        <v>370</v>
      </c>
      <c r="C1052" s="95"/>
      <c r="D1052" s="102"/>
      <c r="E1052" s="86"/>
      <c r="F1052" s="95"/>
      <c r="G1052" s="103"/>
      <c r="H1052" s="86"/>
      <c r="I1052" s="92"/>
      <c r="J1052" s="272"/>
    </row>
    <row r="1053" spans="1:10" ht="15.75" x14ac:dyDescent="0.3">
      <c r="A1053" s="407"/>
      <c r="B1053" s="101" t="s">
        <v>208</v>
      </c>
      <c r="C1053" s="114">
        <v>450</v>
      </c>
      <c r="D1053" s="102">
        <v>9</v>
      </c>
      <c r="E1053" s="86">
        <f>C1053/D1053</f>
        <v>50</v>
      </c>
      <c r="F1053" s="103">
        <v>407.32</v>
      </c>
      <c r="G1053" s="103">
        <v>7</v>
      </c>
      <c r="H1053" s="86">
        <f>F1053/G1053</f>
        <v>58.188571428571429</v>
      </c>
      <c r="I1053" s="92">
        <f>H1053/E1053</f>
        <v>1.1637714285714287</v>
      </c>
      <c r="J1053" s="272"/>
    </row>
    <row r="1054" spans="1:10" ht="16.5" x14ac:dyDescent="0.35">
      <c r="A1054" s="407"/>
      <c r="B1054" s="59" t="s">
        <v>146</v>
      </c>
      <c r="C1054" s="60"/>
      <c r="D1054" s="61">
        <f>SUM(D1051:D1053)</f>
        <v>9</v>
      </c>
      <c r="E1054" s="61"/>
      <c r="F1054" s="62"/>
      <c r="G1054" s="61">
        <f>SUM(G1051:G1053)</f>
        <v>7</v>
      </c>
      <c r="H1054" s="61"/>
      <c r="I1054" s="92"/>
      <c r="J1054" s="272"/>
    </row>
    <row r="1055" spans="1:10" ht="15.75" x14ac:dyDescent="0.3">
      <c r="A1055" s="407"/>
      <c r="B1055" s="65" t="s">
        <v>148</v>
      </c>
      <c r="C1055" s="66"/>
      <c r="D1055" s="68">
        <f>30-D1054</f>
        <v>21</v>
      </c>
      <c r="E1055" s="67"/>
      <c r="F1055" s="67"/>
      <c r="G1055" s="81">
        <f>30-G1054</f>
        <v>23</v>
      </c>
      <c r="H1055" s="97"/>
      <c r="I1055" s="92"/>
      <c r="J1055" s="272"/>
    </row>
    <row r="1056" spans="1:10" ht="17.25" thickBot="1" x14ac:dyDescent="0.4">
      <c r="A1056" s="408"/>
      <c r="B1056" s="70" t="s">
        <v>149</v>
      </c>
      <c r="C1056" s="71">
        <f>SUM(C1051:C1053)</f>
        <v>450</v>
      </c>
      <c r="D1056" s="71">
        <f>D1055+D1054</f>
        <v>30</v>
      </c>
      <c r="E1056" s="71"/>
      <c r="F1056" s="71">
        <f>SUM(F1051:F1053)</f>
        <v>407.32</v>
      </c>
      <c r="G1056" s="71">
        <f>G1055+G1054</f>
        <v>30</v>
      </c>
      <c r="H1056" s="105"/>
      <c r="I1056" s="73">
        <f>F1056/C1056</f>
        <v>0.90515555555555549</v>
      </c>
      <c r="J1056" s="273"/>
    </row>
    <row r="1058" spans="1:10" ht="21" x14ac:dyDescent="0.4">
      <c r="A1058" s="37" t="s">
        <v>425</v>
      </c>
      <c r="B1058" s="37"/>
      <c r="C1058" s="37"/>
      <c r="D1058" s="37"/>
      <c r="E1058" s="37"/>
      <c r="F1058" s="37"/>
      <c r="G1058" s="37"/>
      <c r="H1058" s="37"/>
      <c r="I1058" s="37"/>
    </row>
    <row r="1059" spans="1:10" ht="17.25" thickBot="1" x14ac:dyDescent="0.4">
      <c r="A1059" s="40"/>
      <c r="B1059" s="41"/>
      <c r="C1059" s="42"/>
      <c r="D1059" s="42"/>
      <c r="E1059" s="42"/>
      <c r="F1059" s="42"/>
      <c r="G1059" s="42"/>
      <c r="H1059" s="42"/>
      <c r="I1059" s="42"/>
    </row>
    <row r="1060" spans="1:10" ht="16.5" x14ac:dyDescent="0.35">
      <c r="A1060" s="409" t="s">
        <v>128</v>
      </c>
      <c r="B1060" s="44"/>
      <c r="C1060" s="45"/>
      <c r="D1060" s="45"/>
      <c r="E1060" s="45"/>
      <c r="F1060" s="45"/>
      <c r="G1060" s="411" t="s">
        <v>129</v>
      </c>
      <c r="H1060" s="352"/>
      <c r="I1060" s="413" t="s">
        <v>130</v>
      </c>
      <c r="J1060" s="257" t="s">
        <v>131</v>
      </c>
    </row>
    <row r="1061" spans="1:10" ht="66.75" thickBot="1" x14ac:dyDescent="0.3">
      <c r="A1061" s="410"/>
      <c r="B1061" s="46"/>
      <c r="C1061" s="47" t="s">
        <v>132</v>
      </c>
      <c r="D1061" s="48" t="s">
        <v>133</v>
      </c>
      <c r="E1061" s="48" t="s">
        <v>134</v>
      </c>
      <c r="F1061" s="49" t="s">
        <v>135</v>
      </c>
      <c r="G1061" s="412"/>
      <c r="H1061" s="48" t="s">
        <v>136</v>
      </c>
      <c r="I1061" s="414"/>
      <c r="J1061" s="258"/>
    </row>
    <row r="1062" spans="1:10" ht="15.75" x14ac:dyDescent="0.3">
      <c r="A1062" s="415" t="s">
        <v>137</v>
      </c>
      <c r="B1062" s="50" t="s">
        <v>340</v>
      </c>
      <c r="C1062" s="51">
        <v>2250</v>
      </c>
      <c r="D1062" s="123">
        <v>7</v>
      </c>
      <c r="E1062" s="52">
        <f t="shared" ref="E1062:E1067" si="114">C1062/D1062</f>
        <v>321.42857142857144</v>
      </c>
      <c r="F1062" s="51">
        <v>3273.1810000000005</v>
      </c>
      <c r="G1062" s="53">
        <v>16</v>
      </c>
      <c r="H1062" s="53">
        <f>F1062/G1062</f>
        <v>204.57381250000003</v>
      </c>
      <c r="I1062" s="54">
        <f t="shared" ref="I1062:I1067" si="115">H1062/E1062</f>
        <v>0.63645186111111118</v>
      </c>
      <c r="J1062" s="259" t="s">
        <v>426</v>
      </c>
    </row>
    <row r="1063" spans="1:10" ht="15.75" x14ac:dyDescent="0.3">
      <c r="A1063" s="416"/>
      <c r="B1063" s="56" t="s">
        <v>140</v>
      </c>
      <c r="C1063" s="57">
        <v>400</v>
      </c>
      <c r="D1063" s="53">
        <v>2.5</v>
      </c>
      <c r="E1063" s="52">
        <f t="shared" si="114"/>
        <v>160</v>
      </c>
      <c r="F1063" s="57">
        <v>632.4670000000001</v>
      </c>
      <c r="G1063" s="53">
        <v>5.5</v>
      </c>
      <c r="H1063" s="53">
        <f t="shared" ref="H1063:H1067" si="116">F1063/G1063</f>
        <v>114.99400000000001</v>
      </c>
      <c r="I1063" s="54">
        <f t="shared" si="115"/>
        <v>0.71871250000000009</v>
      </c>
      <c r="J1063" s="260"/>
    </row>
    <row r="1064" spans="1:10" ht="15.75" x14ac:dyDescent="0.3">
      <c r="A1064" s="416"/>
      <c r="B1064" s="56" t="s">
        <v>325</v>
      </c>
      <c r="C1064" s="57">
        <v>800</v>
      </c>
      <c r="D1064" s="58">
        <v>4</v>
      </c>
      <c r="E1064" s="52">
        <f t="shared" si="114"/>
        <v>200</v>
      </c>
      <c r="F1064" s="57"/>
      <c r="G1064" s="53"/>
      <c r="H1064" s="53" t="e">
        <f t="shared" si="116"/>
        <v>#DIV/0!</v>
      </c>
      <c r="I1064" s="54" t="e">
        <f t="shared" si="115"/>
        <v>#DIV/0!</v>
      </c>
      <c r="J1064" s="260"/>
    </row>
    <row r="1065" spans="1:10" ht="15.75" x14ac:dyDescent="0.3">
      <c r="A1065" s="416"/>
      <c r="B1065" s="56" t="s">
        <v>143</v>
      </c>
      <c r="C1065" s="57"/>
      <c r="D1065" s="58"/>
      <c r="E1065" s="52" t="e">
        <f t="shared" si="114"/>
        <v>#DIV/0!</v>
      </c>
      <c r="F1065" s="57">
        <v>239.96</v>
      </c>
      <c r="G1065" s="53">
        <v>2.5</v>
      </c>
      <c r="H1065" s="53">
        <f t="shared" si="116"/>
        <v>95.984000000000009</v>
      </c>
      <c r="I1065" s="54" t="e">
        <f t="shared" si="115"/>
        <v>#DIV/0!</v>
      </c>
      <c r="J1065" s="260"/>
    </row>
    <row r="1066" spans="1:10" ht="15.75" x14ac:dyDescent="0.3">
      <c r="A1066" s="416"/>
      <c r="B1066" s="56" t="s">
        <v>400</v>
      </c>
      <c r="C1066" s="57"/>
      <c r="D1066" s="58"/>
      <c r="E1066" s="52" t="e">
        <f t="shared" si="114"/>
        <v>#DIV/0!</v>
      </c>
      <c r="F1066" s="57"/>
      <c r="G1066" s="53"/>
      <c r="H1066" s="53" t="e">
        <f t="shared" si="116"/>
        <v>#DIV/0!</v>
      </c>
      <c r="I1066" s="54" t="e">
        <f t="shared" si="115"/>
        <v>#DIV/0!</v>
      </c>
      <c r="J1066" s="260"/>
    </row>
    <row r="1067" spans="1:10" ht="15.75" x14ac:dyDescent="0.3">
      <c r="A1067" s="416"/>
      <c r="B1067" s="56" t="s">
        <v>145</v>
      </c>
      <c r="C1067" s="57"/>
      <c r="D1067" s="58"/>
      <c r="E1067" s="52" t="e">
        <f t="shared" si="114"/>
        <v>#DIV/0!</v>
      </c>
      <c r="F1067" s="57"/>
      <c r="G1067" s="53"/>
      <c r="H1067" s="53" t="e">
        <f t="shared" si="116"/>
        <v>#DIV/0!</v>
      </c>
      <c r="I1067" s="54" t="e">
        <f t="shared" si="115"/>
        <v>#DIV/0!</v>
      </c>
      <c r="J1067" s="260"/>
    </row>
    <row r="1068" spans="1:10" ht="15.75" x14ac:dyDescent="0.3">
      <c r="A1068" s="416"/>
      <c r="B1068" s="50"/>
      <c r="C1068" s="57"/>
      <c r="D1068" s="58"/>
      <c r="E1068" s="52"/>
      <c r="F1068" s="57"/>
      <c r="G1068" s="53"/>
      <c r="H1068" s="53"/>
      <c r="I1068" s="53"/>
      <c r="J1068" s="260"/>
    </row>
    <row r="1069" spans="1:10" ht="16.5" x14ac:dyDescent="0.35">
      <c r="A1069" s="416"/>
      <c r="B1069" s="59" t="s">
        <v>146</v>
      </c>
      <c r="C1069" s="60"/>
      <c r="D1069" s="61">
        <f>SUM(D1062:D1068)</f>
        <v>13.5</v>
      </c>
      <c r="E1069" s="61"/>
      <c r="F1069" s="62"/>
      <c r="G1069" s="63">
        <f>SUM(G1062:G1068)</f>
        <v>24</v>
      </c>
      <c r="H1069" s="64"/>
      <c r="I1069" s="53"/>
      <c r="J1069" s="260"/>
    </row>
    <row r="1070" spans="1:10" ht="16.5" x14ac:dyDescent="0.35">
      <c r="A1070" s="416"/>
      <c r="B1070" s="59" t="s">
        <v>147</v>
      </c>
      <c r="C1070" s="60"/>
      <c r="D1070" s="61">
        <v>0</v>
      </c>
      <c r="E1070" s="62"/>
      <c r="F1070" s="62"/>
      <c r="G1070" s="63"/>
      <c r="H1070" s="64"/>
      <c r="I1070" s="53"/>
      <c r="J1070" s="260"/>
    </row>
    <row r="1071" spans="1:10" ht="15.75" x14ac:dyDescent="0.3">
      <c r="A1071" s="416"/>
      <c r="B1071" s="65" t="s">
        <v>148</v>
      </c>
      <c r="C1071" s="66"/>
      <c r="D1071" s="68">
        <f>31-D1070-D1069</f>
        <v>17.5</v>
      </c>
      <c r="E1071" s="67"/>
      <c r="F1071" s="67"/>
      <c r="G1071" s="68">
        <f>31-G1070-G1069</f>
        <v>7</v>
      </c>
      <c r="H1071" s="69"/>
      <c r="I1071" s="53"/>
      <c r="J1071" s="260"/>
    </row>
    <row r="1072" spans="1:10" ht="17.25" thickBot="1" x14ac:dyDescent="0.4">
      <c r="A1072" s="417"/>
      <c r="B1072" s="70" t="s">
        <v>149</v>
      </c>
      <c r="C1072" s="71">
        <f>SUM(C1062:C1067)</f>
        <v>3450</v>
      </c>
      <c r="D1072" s="71">
        <f>D1069+D1070+D1071</f>
        <v>31</v>
      </c>
      <c r="E1072" s="71">
        <f>E1069+E1070+E1071</f>
        <v>0</v>
      </c>
      <c r="F1072" s="72">
        <f>SUM(F1062:F1068)</f>
        <v>4145.6080000000002</v>
      </c>
      <c r="G1072" s="71">
        <f>G1069+G1070+G1071</f>
        <v>31</v>
      </c>
      <c r="H1072" s="71"/>
      <c r="I1072" s="73">
        <f>F1072/C1072</f>
        <v>1.2016255072463768</v>
      </c>
      <c r="J1072" s="261"/>
    </row>
    <row r="1073" spans="1:10" ht="15.75" x14ac:dyDescent="0.3">
      <c r="A1073" s="421" t="s">
        <v>150</v>
      </c>
      <c r="B1073" s="50" t="s">
        <v>154</v>
      </c>
      <c r="C1073" s="76">
        <v>200</v>
      </c>
      <c r="D1073" s="52">
        <v>1.5</v>
      </c>
      <c r="E1073" s="52">
        <f>C1073/D1073</f>
        <v>133.33333333333334</v>
      </c>
      <c r="F1073" s="51">
        <f>376.252+36.85</f>
        <v>413.10200000000003</v>
      </c>
      <c r="G1073" s="52">
        <v>4.5</v>
      </c>
      <c r="H1073" s="241">
        <f>F1073/G1073</f>
        <v>91.800444444444452</v>
      </c>
      <c r="I1073" s="92">
        <f>H1073/E1073</f>
        <v>0.68850333333333336</v>
      </c>
      <c r="J1073" s="262"/>
    </row>
    <row r="1074" spans="1:10" ht="15.75" x14ac:dyDescent="0.3">
      <c r="A1074" s="422"/>
      <c r="B1074" s="50" t="s">
        <v>366</v>
      </c>
      <c r="C1074" s="76">
        <f>233+1930</f>
        <v>2163</v>
      </c>
      <c r="D1074" s="52">
        <v>8.5</v>
      </c>
      <c r="E1074" s="52">
        <f>C1074/D1074</f>
        <v>254.47058823529412</v>
      </c>
      <c r="F1074" s="52">
        <v>3405.6020000000003</v>
      </c>
      <c r="G1074" s="127">
        <v>15</v>
      </c>
      <c r="H1074" s="241">
        <f>F1074/G1074</f>
        <v>227.04013333333336</v>
      </c>
      <c r="I1074" s="92">
        <f>H1074/E1074</f>
        <v>0.89220579442132852</v>
      </c>
      <c r="J1074" s="263"/>
    </row>
    <row r="1075" spans="1:10" ht="15.75" x14ac:dyDescent="0.3">
      <c r="A1075" s="422"/>
      <c r="B1075" s="50" t="s">
        <v>155</v>
      </c>
      <c r="C1075" s="57">
        <v>450</v>
      </c>
      <c r="D1075" s="58">
        <v>3.5</v>
      </c>
      <c r="E1075" s="52">
        <f>C1075/D1075</f>
        <v>128.57142857142858</v>
      </c>
      <c r="F1075" s="57"/>
      <c r="G1075" s="52"/>
      <c r="H1075" s="241" t="e">
        <f>F1075/G1075</f>
        <v>#DIV/0!</v>
      </c>
      <c r="I1075" s="92" t="e">
        <f>H1075/E1075</f>
        <v>#DIV/0!</v>
      </c>
      <c r="J1075" s="263"/>
    </row>
    <row r="1076" spans="1:10" ht="15.75" x14ac:dyDescent="0.3">
      <c r="A1076" s="422"/>
      <c r="B1076" s="78" t="s">
        <v>368</v>
      </c>
      <c r="C1076" s="51"/>
      <c r="D1076" s="52"/>
      <c r="E1076" s="52" t="e">
        <f>C1076/D1076</f>
        <v>#DIV/0!</v>
      </c>
      <c r="F1076" s="79"/>
      <c r="G1076" s="52"/>
      <c r="H1076" s="241" t="e">
        <f>F1076/G1076</f>
        <v>#DIV/0!</v>
      </c>
      <c r="I1076" s="92" t="e">
        <f>H1076/E1076</f>
        <v>#DIV/0!</v>
      </c>
      <c r="J1076" s="263"/>
    </row>
    <row r="1077" spans="1:10" ht="15.75" x14ac:dyDescent="0.3">
      <c r="A1077" s="422"/>
      <c r="B1077" s="78" t="s">
        <v>415</v>
      </c>
      <c r="C1077" s="51">
        <v>340</v>
      </c>
      <c r="D1077" s="90">
        <v>5</v>
      </c>
      <c r="E1077" s="52">
        <f>C1077/D1077</f>
        <v>68</v>
      </c>
      <c r="F1077" s="51">
        <v>286.34999999999997</v>
      </c>
      <c r="G1077" s="52">
        <v>2</v>
      </c>
      <c r="H1077" s="241">
        <f>F1077/G1077</f>
        <v>143.17499999999998</v>
      </c>
      <c r="I1077" s="92">
        <f>H1077/E1077</f>
        <v>2.1055147058823529</v>
      </c>
      <c r="J1077" s="263"/>
    </row>
    <row r="1078" spans="1:10" ht="15.75" x14ac:dyDescent="0.3">
      <c r="A1078" s="422"/>
      <c r="B1078" s="78" t="s">
        <v>327</v>
      </c>
      <c r="C1078" s="51"/>
      <c r="D1078" s="52"/>
      <c r="E1078" s="52"/>
      <c r="F1078" s="52"/>
      <c r="G1078" s="52"/>
      <c r="H1078" s="241"/>
      <c r="I1078" s="92"/>
      <c r="J1078" s="263"/>
    </row>
    <row r="1079" spans="1:10" ht="15.75" x14ac:dyDescent="0.3">
      <c r="A1079" s="422"/>
      <c r="B1079" s="78" t="s">
        <v>402</v>
      </c>
      <c r="C1079" s="76"/>
      <c r="D1079" s="84"/>
      <c r="E1079" s="52"/>
      <c r="F1079" s="52"/>
      <c r="G1079" s="52"/>
      <c r="H1079" s="241" t="e">
        <f>F1079/G1079</f>
        <v>#DIV/0!</v>
      </c>
      <c r="I1079" s="92"/>
      <c r="J1079" s="263"/>
    </row>
    <row r="1080" spans="1:10" ht="15.75" x14ac:dyDescent="0.3">
      <c r="A1080" s="422"/>
      <c r="B1080" s="78" t="s">
        <v>401</v>
      </c>
      <c r="C1080" s="76"/>
      <c r="D1080" s="84"/>
      <c r="E1080" s="52"/>
      <c r="F1080" s="344"/>
      <c r="G1080" s="52"/>
      <c r="H1080" s="241"/>
      <c r="I1080" s="92"/>
      <c r="J1080" s="263"/>
    </row>
    <row r="1081" spans="1:10" ht="15.75" x14ac:dyDescent="0.3">
      <c r="A1081" s="422"/>
      <c r="B1081" s="78" t="s">
        <v>328</v>
      </c>
      <c r="C1081" s="51"/>
      <c r="D1081" s="52"/>
      <c r="E1081" s="52"/>
      <c r="F1081" s="79">
        <v>142.44299999999998</v>
      </c>
      <c r="G1081" s="52">
        <v>2</v>
      </c>
      <c r="H1081" s="241">
        <f>F1081/G1081</f>
        <v>71.221499999999992</v>
      </c>
      <c r="I1081" s="92"/>
      <c r="J1081" s="263"/>
    </row>
    <row r="1082" spans="1:10" ht="15.75" x14ac:dyDescent="0.3">
      <c r="A1082" s="422"/>
      <c r="B1082" s="78" t="s">
        <v>416</v>
      </c>
      <c r="C1082" s="51">
        <v>300</v>
      </c>
      <c r="D1082" s="52">
        <v>3</v>
      </c>
      <c r="E1082" s="52">
        <f>C1082/D1082</f>
        <v>100</v>
      </c>
      <c r="F1082" s="51">
        <v>223.79399999999998</v>
      </c>
      <c r="G1082" s="52">
        <v>2.5</v>
      </c>
      <c r="H1082" s="241">
        <f>F1082/G1082</f>
        <v>89.517599999999987</v>
      </c>
      <c r="I1082" s="92">
        <f>H1082/E1082</f>
        <v>0.89517599999999986</v>
      </c>
      <c r="J1082" s="263"/>
    </row>
    <row r="1083" spans="1:10" ht="16.5" x14ac:dyDescent="0.35">
      <c r="A1083" s="422"/>
      <c r="B1083" s="59" t="s">
        <v>146</v>
      </c>
      <c r="C1083" s="60"/>
      <c r="D1083" s="63">
        <f>SUM(D1073:D1082)</f>
        <v>21.5</v>
      </c>
      <c r="E1083" s="61"/>
      <c r="F1083" s="62"/>
      <c r="G1083" s="63">
        <f>SUM(G1073:G1082)</f>
        <v>26</v>
      </c>
      <c r="H1083" s="63"/>
      <c r="I1083" s="99"/>
      <c r="J1083" s="263"/>
    </row>
    <row r="1084" spans="1:10" ht="15.75" x14ac:dyDescent="0.3">
      <c r="A1084" s="422"/>
      <c r="B1084" s="65" t="s">
        <v>148</v>
      </c>
      <c r="C1084" s="66"/>
      <c r="D1084" s="81">
        <f>31-D1083</f>
        <v>9.5</v>
      </c>
      <c r="E1084" s="67"/>
      <c r="F1084" s="67"/>
      <c r="G1084" s="81">
        <f>31-G1083</f>
        <v>5</v>
      </c>
      <c r="H1084" s="243"/>
      <c r="I1084" s="112"/>
      <c r="J1084" s="263"/>
    </row>
    <row r="1085" spans="1:10" ht="17.25" thickBot="1" x14ac:dyDescent="0.4">
      <c r="A1085" s="423"/>
      <c r="B1085" s="70" t="s">
        <v>149</v>
      </c>
      <c r="C1085" s="71">
        <f>SUM(C1073:C1082)</f>
        <v>3453</v>
      </c>
      <c r="D1085" s="71">
        <f>D1083+D1084</f>
        <v>31</v>
      </c>
      <c r="E1085" s="71">
        <f>E1083+E1084</f>
        <v>0</v>
      </c>
      <c r="F1085" s="71">
        <f>SUM(F1073:F1082)</f>
        <v>4471.2910000000002</v>
      </c>
      <c r="G1085" s="71">
        <f t="shared" ref="G1085" si="117">G1083+G1084</f>
        <v>31</v>
      </c>
      <c r="H1085" s="82"/>
      <c r="I1085" s="73">
        <f>F1085/C1085</f>
        <v>1.2949003764842166</v>
      </c>
      <c r="J1085" s="264"/>
    </row>
    <row r="1086" spans="1:10" ht="15.75" x14ac:dyDescent="0.3">
      <c r="A1086" s="421" t="s">
        <v>161</v>
      </c>
      <c r="B1086" s="50" t="s">
        <v>199</v>
      </c>
      <c r="C1086" s="51">
        <v>240</v>
      </c>
      <c r="D1086" s="83">
        <v>3.5</v>
      </c>
      <c r="E1086" s="52">
        <f>C1086/D1086</f>
        <v>68.571428571428569</v>
      </c>
      <c r="F1086" s="51">
        <v>309.06636000000003</v>
      </c>
      <c r="G1086" s="83">
        <v>3.5</v>
      </c>
      <c r="H1086" s="53">
        <f t="shared" ref="H1086" si="118">F1086/G1086</f>
        <v>88.304674285714299</v>
      </c>
      <c r="I1086" s="92">
        <f t="shared" ref="I1086" si="119">H1086/E1086</f>
        <v>1.2877765000000003</v>
      </c>
      <c r="J1086" s="265"/>
    </row>
    <row r="1087" spans="1:10" ht="15.75" x14ac:dyDescent="0.3">
      <c r="A1087" s="422"/>
      <c r="B1087" s="50" t="s">
        <v>399</v>
      </c>
      <c r="C1087" s="76"/>
      <c r="D1087" s="84"/>
      <c r="E1087" s="52" t="e">
        <f>C1087/D1087</f>
        <v>#DIV/0!</v>
      </c>
      <c r="F1087" s="51"/>
      <c r="G1087" s="52"/>
      <c r="H1087" s="53"/>
      <c r="I1087" s="92"/>
      <c r="J1087" s="266"/>
    </row>
    <row r="1088" spans="1:10" ht="15.75" x14ac:dyDescent="0.3">
      <c r="A1088" s="422"/>
      <c r="B1088" s="50" t="s">
        <v>216</v>
      </c>
      <c r="C1088" s="76"/>
      <c r="D1088" s="84"/>
      <c r="E1088" s="52"/>
      <c r="F1088" s="57"/>
      <c r="G1088" s="52"/>
      <c r="H1088" s="53"/>
      <c r="I1088" s="92"/>
      <c r="J1088" s="266"/>
    </row>
    <row r="1089" spans="1:10" ht="15.75" x14ac:dyDescent="0.3">
      <c r="A1089" s="422"/>
      <c r="B1089" s="50" t="s">
        <v>418</v>
      </c>
      <c r="C1089" s="76"/>
      <c r="D1089" s="84"/>
      <c r="E1089" s="52"/>
      <c r="F1089" s="57"/>
      <c r="G1089" s="90"/>
      <c r="H1089" s="241" t="e">
        <f>F1089/G1089</f>
        <v>#DIV/0!</v>
      </c>
      <c r="I1089" s="92"/>
      <c r="J1089" s="266"/>
    </row>
    <row r="1090" spans="1:10" ht="15.75" x14ac:dyDescent="0.3">
      <c r="A1090" s="422"/>
      <c r="B1090" s="50" t="s">
        <v>420</v>
      </c>
      <c r="C1090" s="76"/>
      <c r="D1090" s="84"/>
      <c r="E1090" s="52"/>
      <c r="F1090" s="79"/>
      <c r="G1090" s="90"/>
      <c r="H1090" s="241" t="e">
        <f>F1090/G1090</f>
        <v>#DIV/0!</v>
      </c>
      <c r="I1090" s="92"/>
      <c r="J1090" s="266"/>
    </row>
    <row r="1091" spans="1:10" ht="15.75" x14ac:dyDescent="0.3">
      <c r="A1091" s="422"/>
      <c r="B1091" s="50" t="s">
        <v>417</v>
      </c>
      <c r="C1091" s="76"/>
      <c r="D1091" s="84"/>
      <c r="E1091" s="52" t="e">
        <f t="shared" ref="E1091:E1092" si="120">C1091/D1091</f>
        <v>#DIV/0!</v>
      </c>
      <c r="F1091" s="344"/>
      <c r="G1091" s="90"/>
      <c r="H1091" s="241" t="e">
        <f>F1091/G1091</f>
        <v>#DIV/0!</v>
      </c>
      <c r="I1091" s="92"/>
      <c r="J1091" s="266"/>
    </row>
    <row r="1092" spans="1:10" ht="15.75" x14ac:dyDescent="0.3">
      <c r="A1092" s="422"/>
      <c r="B1092" s="50" t="s">
        <v>383</v>
      </c>
      <c r="C1092" s="76">
        <f>185+120</f>
        <v>305</v>
      </c>
      <c r="D1092" s="52">
        <v>3.5</v>
      </c>
      <c r="E1092" s="52">
        <f t="shared" si="120"/>
        <v>87.142857142857139</v>
      </c>
      <c r="F1092" s="51">
        <v>125.631</v>
      </c>
      <c r="G1092" s="90">
        <v>1.5</v>
      </c>
      <c r="H1092" s="241">
        <f>F1092/G1092</f>
        <v>83.754000000000005</v>
      </c>
      <c r="I1092" s="92">
        <f t="shared" ref="I1092" si="121">H1092/E1092</f>
        <v>0.96111147540983621</v>
      </c>
      <c r="J1092" s="266"/>
    </row>
    <row r="1093" spans="1:10" ht="15.75" x14ac:dyDescent="0.3">
      <c r="A1093" s="422"/>
      <c r="B1093" s="50" t="s">
        <v>232</v>
      </c>
      <c r="C1093" s="76"/>
      <c r="D1093" s="84"/>
      <c r="E1093" s="52"/>
      <c r="F1093" s="51"/>
      <c r="G1093" s="52"/>
      <c r="H1093" s="53" t="e">
        <f t="shared" ref="H1093:H1097" si="122">F1093/G1093</f>
        <v>#DIV/0!</v>
      </c>
      <c r="I1093" s="92"/>
      <c r="J1093" s="266"/>
    </row>
    <row r="1094" spans="1:10" ht="15.75" x14ac:dyDescent="0.3">
      <c r="A1094" s="422"/>
      <c r="B1094" s="50" t="s">
        <v>404</v>
      </c>
      <c r="C1094" s="76"/>
      <c r="D1094" s="84"/>
      <c r="E1094" s="52"/>
      <c r="F1094" s="51"/>
      <c r="G1094" s="52"/>
      <c r="H1094" s="53" t="e">
        <f t="shared" si="122"/>
        <v>#DIV/0!</v>
      </c>
      <c r="I1094" s="92"/>
      <c r="J1094" s="266"/>
    </row>
    <row r="1095" spans="1:10" ht="15.75" x14ac:dyDescent="0.3">
      <c r="A1095" s="422"/>
      <c r="B1095" s="50" t="s">
        <v>167</v>
      </c>
      <c r="C1095" s="76">
        <v>440</v>
      </c>
      <c r="D1095" s="84">
        <v>7.5</v>
      </c>
      <c r="E1095" s="52">
        <f t="shared" ref="E1095:E1096" si="123">C1095/D1095</f>
        <v>58.666666666666664</v>
      </c>
      <c r="F1095" s="57">
        <v>510.43200000000002</v>
      </c>
      <c r="G1095" s="52">
        <v>5.5</v>
      </c>
      <c r="H1095" s="53">
        <f t="shared" si="122"/>
        <v>92.805818181818182</v>
      </c>
      <c r="I1095" s="92">
        <f t="shared" ref="I1095:I1097" si="124">H1095/E1095</f>
        <v>1.5819173553719008</v>
      </c>
      <c r="J1095" s="266"/>
    </row>
    <row r="1096" spans="1:10" ht="15.75" x14ac:dyDescent="0.3">
      <c r="A1096" s="422"/>
      <c r="B1096" s="50" t="s">
        <v>419</v>
      </c>
      <c r="C1096" s="76">
        <v>335</v>
      </c>
      <c r="D1096" s="84">
        <v>5</v>
      </c>
      <c r="E1096" s="52">
        <f t="shared" si="123"/>
        <v>67</v>
      </c>
      <c r="F1096" s="57"/>
      <c r="G1096" s="52"/>
      <c r="H1096" s="53" t="e">
        <f t="shared" si="122"/>
        <v>#DIV/0!</v>
      </c>
      <c r="I1096" s="92" t="e">
        <f t="shared" si="124"/>
        <v>#DIV/0!</v>
      </c>
      <c r="J1096" s="266"/>
    </row>
    <row r="1097" spans="1:10" ht="15.75" x14ac:dyDescent="0.3">
      <c r="A1097" s="422"/>
      <c r="B1097" s="50" t="s">
        <v>431</v>
      </c>
      <c r="C1097" s="76"/>
      <c r="D1097" s="84"/>
      <c r="E1097" s="52"/>
      <c r="F1097" s="57">
        <v>205.63</v>
      </c>
      <c r="G1097" s="90">
        <v>2.5</v>
      </c>
      <c r="H1097" s="53">
        <f t="shared" si="122"/>
        <v>82.251999999999995</v>
      </c>
      <c r="I1097" s="92" t="e">
        <f t="shared" si="124"/>
        <v>#DIV/0!</v>
      </c>
      <c r="J1097" s="266"/>
    </row>
    <row r="1098" spans="1:10" ht="15.75" x14ac:dyDescent="0.3">
      <c r="A1098" s="422"/>
      <c r="B1098" s="50" t="s">
        <v>398</v>
      </c>
      <c r="C1098" s="76"/>
      <c r="D1098" s="84"/>
      <c r="E1098" s="52" t="e">
        <f>C1098/D1098</f>
        <v>#DIV/0!</v>
      </c>
      <c r="F1098" s="57"/>
      <c r="G1098" s="52"/>
      <c r="H1098" s="53" t="e">
        <f t="shared" ref="H1098" si="125">F1098/G1098</f>
        <v>#DIV/0!</v>
      </c>
      <c r="I1098" s="92" t="e">
        <f>H1098/E1098</f>
        <v>#DIV/0!</v>
      </c>
      <c r="J1098" s="266"/>
    </row>
    <row r="1099" spans="1:10" ht="16.5" x14ac:dyDescent="0.35">
      <c r="A1099" s="422"/>
      <c r="B1099" s="59" t="s">
        <v>146</v>
      </c>
      <c r="C1099" s="61">
        <f>SUM(C1086:C1098)</f>
        <v>1320</v>
      </c>
      <c r="D1099" s="61">
        <f t="shared" ref="D1099" si="126">SUM(D1086:D1098)</f>
        <v>19.5</v>
      </c>
      <c r="E1099" s="61"/>
      <c r="F1099" s="61">
        <f t="shared" ref="F1099:G1099" si="127">SUM(F1086:F1098)</f>
        <v>1150.75936</v>
      </c>
      <c r="G1099" s="61">
        <f t="shared" si="127"/>
        <v>13</v>
      </c>
      <c r="H1099" s="61"/>
      <c r="I1099" s="92"/>
      <c r="J1099" s="266"/>
    </row>
    <row r="1100" spans="1:10" ht="15.75" x14ac:dyDescent="0.3">
      <c r="A1100" s="422"/>
      <c r="B1100" s="65" t="s">
        <v>148</v>
      </c>
      <c r="C1100" s="66"/>
      <c r="D1100" s="67">
        <f>31-D1099</f>
        <v>11.5</v>
      </c>
      <c r="E1100" s="67"/>
      <c r="F1100" s="67"/>
      <c r="G1100" s="67">
        <f>31-G1099</f>
        <v>18</v>
      </c>
      <c r="H1100" s="87"/>
      <c r="I1100" s="92"/>
      <c r="J1100" s="266"/>
    </row>
    <row r="1101" spans="1:10" ht="17.25" thickBot="1" x14ac:dyDescent="0.4">
      <c r="A1101" s="423"/>
      <c r="B1101" s="70" t="s">
        <v>149</v>
      </c>
      <c r="C1101" s="71">
        <f>SUM(C1086:C1098)</f>
        <v>1320</v>
      </c>
      <c r="D1101" s="71">
        <f>D1099+D1100</f>
        <v>31</v>
      </c>
      <c r="E1101" s="71"/>
      <c r="F1101" s="71">
        <f>SUM(F1086:F1098)</f>
        <v>1150.75936</v>
      </c>
      <c r="G1101" s="71">
        <f>G1100+G1099</f>
        <v>31</v>
      </c>
      <c r="H1101" s="82"/>
      <c r="I1101" s="73">
        <f>F1101/C1101</f>
        <v>0.87178739393939397</v>
      </c>
      <c r="J1101" s="267"/>
    </row>
    <row r="1102" spans="1:10" ht="15.75" x14ac:dyDescent="0.3">
      <c r="A1102" s="421" t="s">
        <v>169</v>
      </c>
      <c r="B1102" s="88" t="s">
        <v>170</v>
      </c>
      <c r="C1102" s="89"/>
      <c r="D1102" s="52"/>
      <c r="E1102" s="52" t="e">
        <f>C1102/D1102</f>
        <v>#DIV/0!</v>
      </c>
      <c r="F1102" s="51"/>
      <c r="G1102" s="52"/>
      <c r="H1102" s="53" t="e">
        <f>F1102/G1102</f>
        <v>#DIV/0!</v>
      </c>
      <c r="I1102" s="92" t="e">
        <f>H1102/E1102</f>
        <v>#DIV/0!</v>
      </c>
      <c r="J1102" s="265"/>
    </row>
    <row r="1103" spans="1:10" ht="15.75" x14ac:dyDescent="0.3">
      <c r="A1103" s="422"/>
      <c r="B1103" s="244" t="s">
        <v>331</v>
      </c>
      <c r="C1103" s="51"/>
      <c r="D1103" s="52"/>
      <c r="E1103" s="52"/>
      <c r="F1103" s="51"/>
      <c r="G1103" s="52"/>
      <c r="H1103" s="53"/>
      <c r="I1103" s="92"/>
      <c r="J1103" s="266"/>
    </row>
    <row r="1104" spans="1:10" ht="15.75" x14ac:dyDescent="0.3">
      <c r="A1104" s="422"/>
      <c r="B1104" s="80" t="s">
        <v>48</v>
      </c>
      <c r="C1104" s="76">
        <v>60</v>
      </c>
      <c r="D1104" s="52">
        <v>1.5</v>
      </c>
      <c r="E1104" s="52">
        <f t="shared" ref="E1104:E1110" si="128">C1104/D1104</f>
        <v>40</v>
      </c>
      <c r="F1104" s="57">
        <v>76.489000000000004</v>
      </c>
      <c r="G1104" s="52">
        <v>2</v>
      </c>
      <c r="H1104" s="53">
        <f t="shared" ref="H1104" si="129">F1104/G1104</f>
        <v>38.244500000000002</v>
      </c>
      <c r="I1104" s="92">
        <f t="shared" ref="I1104" si="130">H1104/E1104</f>
        <v>0.95611250000000003</v>
      </c>
      <c r="J1104" s="266"/>
    </row>
    <row r="1105" spans="1:10" ht="15.75" x14ac:dyDescent="0.3">
      <c r="A1105" s="422"/>
      <c r="B1105" s="80" t="s">
        <v>159</v>
      </c>
      <c r="C1105" s="76">
        <v>260</v>
      </c>
      <c r="D1105" s="52">
        <v>5</v>
      </c>
      <c r="E1105" s="52">
        <f t="shared" si="128"/>
        <v>52</v>
      </c>
      <c r="F1105" s="57">
        <v>511.28620000000001</v>
      </c>
      <c r="G1105" s="52">
        <v>7</v>
      </c>
      <c r="H1105" s="53">
        <f>F1105/G1105</f>
        <v>73.040885714285722</v>
      </c>
      <c r="I1105" s="92">
        <f>H1105/E1105</f>
        <v>1.4046324175824176</v>
      </c>
      <c r="J1105" s="266"/>
    </row>
    <row r="1106" spans="1:10" ht="15.75" x14ac:dyDescent="0.3">
      <c r="A1106" s="422"/>
      <c r="B1106" s="80" t="s">
        <v>432</v>
      </c>
      <c r="C1106" s="76"/>
      <c r="D1106" s="52"/>
      <c r="E1106" s="52" t="e">
        <f t="shared" si="128"/>
        <v>#DIV/0!</v>
      </c>
      <c r="F1106" s="57">
        <v>642.05600000000004</v>
      </c>
      <c r="G1106" s="52">
        <v>7</v>
      </c>
      <c r="H1106" s="53">
        <f>F1106/G1106</f>
        <v>91.722285714285718</v>
      </c>
      <c r="I1106" s="92" t="e">
        <f>H1106/E1106</f>
        <v>#DIV/0!</v>
      </c>
      <c r="J1106" s="266"/>
    </row>
    <row r="1107" spans="1:10" ht="15.75" x14ac:dyDescent="0.3">
      <c r="A1107" s="422"/>
      <c r="B1107" s="80" t="s">
        <v>427</v>
      </c>
      <c r="C1107" s="76">
        <v>100</v>
      </c>
      <c r="D1107" s="52">
        <v>1.5</v>
      </c>
      <c r="E1107" s="52">
        <f t="shared" si="128"/>
        <v>66.666666666666671</v>
      </c>
      <c r="F1107" s="57">
        <v>101.66800000000001</v>
      </c>
      <c r="G1107" s="52">
        <v>1.5</v>
      </c>
      <c r="H1107" s="53">
        <f t="shared" ref="H1107:H1108" si="131">F1107/G1107</f>
        <v>67.778666666666666</v>
      </c>
      <c r="I1107" s="92">
        <f t="shared" ref="I1107:I1108" si="132">H1107/E1107</f>
        <v>1.01668</v>
      </c>
      <c r="J1107" s="266"/>
    </row>
    <row r="1108" spans="1:10" ht="15.75" x14ac:dyDescent="0.3">
      <c r="A1108" s="422"/>
      <c r="B1108" s="80" t="s">
        <v>175</v>
      </c>
      <c r="C1108" s="76"/>
      <c r="D1108" s="52"/>
      <c r="E1108" s="52" t="e">
        <f t="shared" si="128"/>
        <v>#DIV/0!</v>
      </c>
      <c r="F1108" s="57"/>
      <c r="G1108" s="52"/>
      <c r="H1108" s="53" t="e">
        <f t="shared" si="131"/>
        <v>#DIV/0!</v>
      </c>
      <c r="I1108" s="92" t="e">
        <f t="shared" si="132"/>
        <v>#DIV/0!</v>
      </c>
      <c r="J1108" s="266"/>
    </row>
    <row r="1109" spans="1:10" ht="15.75" x14ac:dyDescent="0.3">
      <c r="A1109" s="422"/>
      <c r="B1109" s="80" t="s">
        <v>428</v>
      </c>
      <c r="C1109" s="76">
        <v>195</v>
      </c>
      <c r="D1109" s="52">
        <v>2.5</v>
      </c>
      <c r="E1109" s="52">
        <f t="shared" si="128"/>
        <v>78</v>
      </c>
      <c r="F1109" s="57"/>
      <c r="G1109" s="52"/>
      <c r="H1109" s="53" t="e">
        <f>F1109/G1109</f>
        <v>#DIV/0!</v>
      </c>
      <c r="I1109" s="92" t="e">
        <f>H1109/E1109</f>
        <v>#DIV/0!</v>
      </c>
      <c r="J1109" s="266"/>
    </row>
    <row r="1110" spans="1:10" ht="15.75" x14ac:dyDescent="0.3">
      <c r="A1110" s="422"/>
      <c r="B1110" s="80" t="s">
        <v>421</v>
      </c>
      <c r="C1110" s="76">
        <v>200</v>
      </c>
      <c r="D1110" s="52">
        <v>2.5</v>
      </c>
      <c r="E1110" s="52">
        <f t="shared" si="128"/>
        <v>80</v>
      </c>
      <c r="F1110" s="52">
        <v>131.34699999999998</v>
      </c>
      <c r="G1110" s="52">
        <v>1.5</v>
      </c>
      <c r="H1110" s="53">
        <f>F1110/G1110</f>
        <v>87.564666666666653</v>
      </c>
      <c r="I1110" s="92">
        <f>H1110/E1110</f>
        <v>1.0945583333333331</v>
      </c>
      <c r="J1110" s="266"/>
    </row>
    <row r="1111" spans="1:10" ht="16.5" x14ac:dyDescent="0.35">
      <c r="A1111" s="422"/>
      <c r="B1111" s="59" t="s">
        <v>146</v>
      </c>
      <c r="C1111" s="61">
        <f>SUM(C1102:C1110)</f>
        <v>815</v>
      </c>
      <c r="D1111" s="61">
        <f>SUM(D1102:D1110)</f>
        <v>13</v>
      </c>
      <c r="E1111" s="61"/>
      <c r="F1111" s="61">
        <f>SUM(F1102:F1110)</f>
        <v>1462.8462000000002</v>
      </c>
      <c r="G1111" s="63">
        <f>SUM(G1102:G1110)</f>
        <v>19</v>
      </c>
      <c r="H1111" s="64"/>
      <c r="I1111" s="92"/>
      <c r="J1111" s="266"/>
    </row>
    <row r="1112" spans="1:10" ht="15.75" x14ac:dyDescent="0.3">
      <c r="A1112" s="422"/>
      <c r="B1112" s="65" t="s">
        <v>148</v>
      </c>
      <c r="C1112" s="66"/>
      <c r="D1112" s="68">
        <f>31-D1111</f>
        <v>18</v>
      </c>
      <c r="E1112" s="67"/>
      <c r="F1112" s="67"/>
      <c r="G1112" s="81">
        <f>31-G1111</f>
        <v>12</v>
      </c>
      <c r="H1112" s="87"/>
      <c r="I1112" s="92"/>
      <c r="J1112" s="266"/>
    </row>
    <row r="1113" spans="1:10" ht="17.25" thickBot="1" x14ac:dyDescent="0.4">
      <c r="A1113" s="423"/>
      <c r="B1113" s="70" t="s">
        <v>149</v>
      </c>
      <c r="C1113" s="71">
        <f>SUM(C1102:C1110)</f>
        <v>815</v>
      </c>
      <c r="D1113" s="71">
        <f>D1111+D1112</f>
        <v>31</v>
      </c>
      <c r="E1113" s="71"/>
      <c r="F1113" s="71">
        <f>SUM(F1102:F1110)</f>
        <v>1462.8462000000002</v>
      </c>
      <c r="G1113" s="71">
        <f>G1111+G1112</f>
        <v>31</v>
      </c>
      <c r="H1113" s="58"/>
      <c r="I1113" s="73">
        <f>F1113/C1113</f>
        <v>1.7949033128834357</v>
      </c>
      <c r="J1113" s="267"/>
    </row>
    <row r="1114" spans="1:10" ht="15.75" x14ac:dyDescent="0.3">
      <c r="A1114" s="406" t="s">
        <v>176</v>
      </c>
      <c r="B1114" s="80" t="s">
        <v>177</v>
      </c>
      <c r="C1114" s="76">
        <v>504</v>
      </c>
      <c r="D1114" s="52">
        <v>5</v>
      </c>
      <c r="E1114" s="52">
        <f t="shared" ref="E1114:E1119" si="133">C1114/D1114</f>
        <v>100.8</v>
      </c>
      <c r="F1114" s="51">
        <f>1170+139.5</f>
        <v>1309.5</v>
      </c>
      <c r="G1114" s="93">
        <v>17</v>
      </c>
      <c r="H1114" s="53">
        <f t="shared" ref="H1114:H1119" si="134">F1114/G1114</f>
        <v>77.029411764705884</v>
      </c>
      <c r="I1114" s="92">
        <f t="shared" ref="I1114:I1115" si="135">H1114/E1114</f>
        <v>0.76418067226890762</v>
      </c>
      <c r="J1114" s="268"/>
    </row>
    <row r="1115" spans="1:10" ht="15.75" x14ac:dyDescent="0.3">
      <c r="A1115" s="407"/>
      <c r="B1115" s="80" t="s">
        <v>405</v>
      </c>
      <c r="C1115" s="76">
        <v>628</v>
      </c>
      <c r="D1115" s="84">
        <v>5</v>
      </c>
      <c r="E1115" s="52">
        <f t="shared" si="133"/>
        <v>125.6</v>
      </c>
      <c r="F1115" s="93"/>
      <c r="G1115" s="93"/>
      <c r="H1115" s="53" t="e">
        <f t="shared" si="134"/>
        <v>#DIV/0!</v>
      </c>
      <c r="I1115" s="92" t="e">
        <f t="shared" si="135"/>
        <v>#DIV/0!</v>
      </c>
      <c r="J1115" s="269"/>
    </row>
    <row r="1116" spans="1:10" ht="15.75" x14ac:dyDescent="0.3">
      <c r="A1116" s="407"/>
      <c r="B1116" s="80" t="s">
        <v>429</v>
      </c>
      <c r="C1116" s="51">
        <v>100</v>
      </c>
      <c r="D1116" s="52">
        <v>1.5</v>
      </c>
      <c r="E1116" s="52">
        <f t="shared" si="133"/>
        <v>66.666666666666671</v>
      </c>
      <c r="F1116" s="51">
        <v>118</v>
      </c>
      <c r="G1116" s="93">
        <v>2.5</v>
      </c>
      <c r="H1116" s="53">
        <f t="shared" si="134"/>
        <v>47.2</v>
      </c>
      <c r="I1116" s="92">
        <f>H1116/E1116</f>
        <v>0.70799999999999996</v>
      </c>
      <c r="J1116" s="269"/>
    </row>
    <row r="1117" spans="1:10" ht="15.75" x14ac:dyDescent="0.3">
      <c r="A1117" s="407"/>
      <c r="B1117" s="80" t="s">
        <v>233</v>
      </c>
      <c r="C1117" s="76">
        <v>421</v>
      </c>
      <c r="D1117" s="52">
        <v>5.5</v>
      </c>
      <c r="E1117" s="52">
        <f t="shared" si="133"/>
        <v>76.545454545454547</v>
      </c>
      <c r="F1117" s="51"/>
      <c r="G1117" s="93"/>
      <c r="H1117" s="53" t="e">
        <f t="shared" si="134"/>
        <v>#DIV/0!</v>
      </c>
      <c r="I1117" s="92" t="e">
        <f>H1117/E1117</f>
        <v>#DIV/0!</v>
      </c>
      <c r="J1117" s="269"/>
    </row>
    <row r="1118" spans="1:10" ht="15.75" x14ac:dyDescent="0.3">
      <c r="A1118" s="407"/>
      <c r="B1118" s="80" t="s">
        <v>181</v>
      </c>
      <c r="C1118" s="51">
        <v>800</v>
      </c>
      <c r="D1118" s="52">
        <v>7.5</v>
      </c>
      <c r="E1118" s="52">
        <f t="shared" si="133"/>
        <v>106.66666666666667</v>
      </c>
      <c r="F1118" s="51">
        <v>825</v>
      </c>
      <c r="G1118" s="93">
        <v>9.5</v>
      </c>
      <c r="H1118" s="53">
        <f t="shared" si="134"/>
        <v>86.84210526315789</v>
      </c>
      <c r="I1118" s="92">
        <f>H1118/E1118</f>
        <v>0.8141447368421052</v>
      </c>
      <c r="J1118" s="269"/>
    </row>
    <row r="1119" spans="1:10" ht="15.75" x14ac:dyDescent="0.3">
      <c r="A1119" s="407"/>
      <c r="B1119" s="121" t="s">
        <v>430</v>
      </c>
      <c r="C1119" s="94">
        <v>110</v>
      </c>
      <c r="D1119" s="86">
        <v>1.5</v>
      </c>
      <c r="E1119" s="52">
        <f t="shared" si="133"/>
        <v>73.333333333333329</v>
      </c>
      <c r="F1119" s="95"/>
      <c r="G1119" s="96"/>
      <c r="H1119" s="53" t="e">
        <f t="shared" si="134"/>
        <v>#DIV/0!</v>
      </c>
      <c r="I1119" s="92" t="e">
        <f>H1119/E1119</f>
        <v>#DIV/0!</v>
      </c>
      <c r="J1119" s="269"/>
    </row>
    <row r="1120" spans="1:10" ht="16.5" x14ac:dyDescent="0.35">
      <c r="A1120" s="407"/>
      <c r="B1120" s="59" t="s">
        <v>146</v>
      </c>
      <c r="C1120" s="60"/>
      <c r="D1120" s="61">
        <f>SUM(D1114:D1119)</f>
        <v>26</v>
      </c>
      <c r="E1120" s="61"/>
      <c r="F1120" s="62"/>
      <c r="G1120" s="61">
        <f>SUM(G1114:G1119)</f>
        <v>29</v>
      </c>
      <c r="H1120" s="61"/>
      <c r="I1120" s="92"/>
      <c r="J1120" s="269"/>
    </row>
    <row r="1121" spans="1:10" ht="15.75" x14ac:dyDescent="0.3">
      <c r="A1121" s="407"/>
      <c r="B1121" s="65" t="s">
        <v>148</v>
      </c>
      <c r="C1121" s="66"/>
      <c r="D1121" s="68">
        <f>31-D1120</f>
        <v>5</v>
      </c>
      <c r="E1121" s="67"/>
      <c r="F1121" s="67"/>
      <c r="G1121" s="68">
        <f>31-G1120</f>
        <v>2</v>
      </c>
      <c r="H1121" s="97"/>
      <c r="I1121" s="92"/>
      <c r="J1121" s="269"/>
    </row>
    <row r="1122" spans="1:10" ht="17.25" thickBot="1" x14ac:dyDescent="0.4">
      <c r="A1122" s="408"/>
      <c r="B1122" s="70" t="s">
        <v>149</v>
      </c>
      <c r="C1122" s="71">
        <f>SUM(C1114:C1119)</f>
        <v>2563</v>
      </c>
      <c r="D1122" s="71">
        <f>D1121+D1120</f>
        <v>31</v>
      </c>
      <c r="E1122" s="98"/>
      <c r="F1122" s="71">
        <f>SUM(F1114:F1119)</f>
        <v>2252.5</v>
      </c>
      <c r="G1122" s="71">
        <f>G1121+G1120</f>
        <v>31</v>
      </c>
      <c r="H1122" s="99"/>
      <c r="I1122" s="73">
        <f>F1122/C1122</f>
        <v>0.87885290674990246</v>
      </c>
      <c r="J1122" s="270"/>
    </row>
    <row r="1123" spans="1:10" ht="15.75" x14ac:dyDescent="0.3">
      <c r="A1123" s="406" t="s">
        <v>183</v>
      </c>
      <c r="B1123" s="50" t="s">
        <v>77</v>
      </c>
      <c r="C1123" s="51"/>
      <c r="D1123" s="52"/>
      <c r="E1123" s="52" t="e">
        <f>C1123/D1123</f>
        <v>#DIV/0!</v>
      </c>
      <c r="F1123" s="51">
        <v>1049.7885999999999</v>
      </c>
      <c r="G1123" s="93">
        <v>5.5</v>
      </c>
      <c r="H1123" s="96">
        <f>F1123/G1123</f>
        <v>190.87065454545453</v>
      </c>
      <c r="I1123" s="92"/>
      <c r="J1123" s="271"/>
    </row>
    <row r="1124" spans="1:10" ht="15.75" x14ac:dyDescent="0.3">
      <c r="A1124" s="407"/>
      <c r="B1124" s="50" t="s">
        <v>243</v>
      </c>
      <c r="C1124" s="51">
        <v>860</v>
      </c>
      <c r="D1124" s="52">
        <v>6.5</v>
      </c>
      <c r="E1124" s="52">
        <f>C1124/D1124</f>
        <v>132.30769230769232</v>
      </c>
      <c r="F1124" s="57">
        <v>537.22900000000004</v>
      </c>
      <c r="G1124" s="93">
        <v>4</v>
      </c>
      <c r="H1124" s="96">
        <f>F1124/G1124</f>
        <v>134.30725000000001</v>
      </c>
      <c r="I1124" s="92">
        <f>H1124/E1124</f>
        <v>1.0151129360465116</v>
      </c>
      <c r="J1124" s="272"/>
    </row>
    <row r="1125" spans="1:10" ht="15.75" x14ac:dyDescent="0.3">
      <c r="A1125" s="407"/>
      <c r="B1125" s="50" t="s">
        <v>184</v>
      </c>
      <c r="C1125" s="51">
        <v>250</v>
      </c>
      <c r="D1125" s="52">
        <v>1.5</v>
      </c>
      <c r="E1125" s="52">
        <f>C1125/D1125</f>
        <v>166.66666666666666</v>
      </c>
      <c r="F1125" s="51">
        <v>146.31800000000001</v>
      </c>
      <c r="G1125" s="93">
        <v>1.5</v>
      </c>
      <c r="H1125" s="96">
        <f>F1125/G1125</f>
        <v>97.545333333333346</v>
      </c>
      <c r="I1125" s="92">
        <f>H1125/E1125</f>
        <v>0.58527200000000013</v>
      </c>
      <c r="J1125" s="272"/>
    </row>
    <row r="1126" spans="1:10" ht="15.75" x14ac:dyDescent="0.3">
      <c r="A1126" s="407"/>
      <c r="B1126" s="50" t="s">
        <v>83</v>
      </c>
      <c r="C1126" s="51"/>
      <c r="D1126" s="52"/>
      <c r="E1126" s="52"/>
      <c r="F1126" s="51"/>
      <c r="G1126" s="93"/>
      <c r="H1126" s="96"/>
      <c r="I1126" s="92"/>
      <c r="J1126" s="272"/>
    </row>
    <row r="1127" spans="1:10" ht="15.75" x14ac:dyDescent="0.3">
      <c r="A1127" s="407"/>
      <c r="B1127" s="50" t="s">
        <v>365</v>
      </c>
      <c r="C1127" s="51">
        <v>120</v>
      </c>
      <c r="D1127" s="52">
        <v>1</v>
      </c>
      <c r="E1127" s="52">
        <f>C1127/D1127</f>
        <v>120</v>
      </c>
      <c r="F1127" s="57">
        <v>297.185</v>
      </c>
      <c r="G1127" s="334">
        <v>1.5</v>
      </c>
      <c r="H1127" s="93">
        <f>F1127/G1127</f>
        <v>198.12333333333333</v>
      </c>
      <c r="I1127" s="92">
        <f>H1127/E1127</f>
        <v>1.6510277777777778</v>
      </c>
      <c r="J1127" s="272"/>
    </row>
    <row r="1128" spans="1:10" ht="15.75" x14ac:dyDescent="0.3">
      <c r="A1128" s="407"/>
      <c r="B1128" s="101" t="s">
        <v>423</v>
      </c>
      <c r="C1128" s="95">
        <v>300</v>
      </c>
      <c r="D1128" s="102">
        <v>2</v>
      </c>
      <c r="E1128" s="52">
        <f>C1128/D1128</f>
        <v>150</v>
      </c>
      <c r="F1128" s="95">
        <v>481.52149999999995</v>
      </c>
      <c r="G1128" s="103">
        <v>4</v>
      </c>
      <c r="H1128" s="99">
        <f>F1128/G1128</f>
        <v>120.38037499999999</v>
      </c>
      <c r="I1128" s="92">
        <f>H1128/E1128</f>
        <v>0.80253583333333323</v>
      </c>
      <c r="J1128" s="272"/>
    </row>
    <row r="1129" spans="1:10" ht="16.5" x14ac:dyDescent="0.35">
      <c r="A1129" s="407"/>
      <c r="B1129" s="59" t="s">
        <v>146</v>
      </c>
      <c r="C1129" s="60"/>
      <c r="D1129" s="61">
        <f>SUM(D1123:D1128)</f>
        <v>11</v>
      </c>
      <c r="E1129" s="61"/>
      <c r="F1129" s="62"/>
      <c r="G1129" s="60">
        <f>SUM(G1123:G1128)</f>
        <v>16.5</v>
      </c>
      <c r="H1129" s="61"/>
      <c r="I1129" s="92"/>
      <c r="J1129" s="272"/>
    </row>
    <row r="1130" spans="1:10" ht="16.5" x14ac:dyDescent="0.35">
      <c r="A1130" s="407"/>
      <c r="B1130" s="130" t="s">
        <v>244</v>
      </c>
      <c r="C1130" s="131"/>
      <c r="D1130" s="132"/>
      <c r="E1130" s="133"/>
      <c r="F1130" s="133"/>
      <c r="G1130" s="132"/>
      <c r="H1130" s="134"/>
      <c r="I1130" s="92"/>
      <c r="J1130" s="272"/>
    </row>
    <row r="1131" spans="1:10" ht="15.75" x14ac:dyDescent="0.3">
      <c r="A1131" s="407"/>
      <c r="B1131" s="65" t="s">
        <v>148</v>
      </c>
      <c r="C1131" s="66"/>
      <c r="D1131" s="68">
        <f>31-D1130-D1129</f>
        <v>20</v>
      </c>
      <c r="E1131" s="67"/>
      <c r="F1131" s="67"/>
      <c r="G1131" s="81">
        <f>31-G1129-G1130</f>
        <v>14.5</v>
      </c>
      <c r="H1131" s="97"/>
      <c r="I1131" s="92"/>
      <c r="J1131" s="272"/>
    </row>
    <row r="1132" spans="1:10" ht="17.25" thickBot="1" x14ac:dyDescent="0.4">
      <c r="A1132" s="408"/>
      <c r="B1132" s="70" t="s">
        <v>149</v>
      </c>
      <c r="C1132" s="71">
        <f>SUM(C1123:C1128)</f>
        <v>1530</v>
      </c>
      <c r="D1132" s="71">
        <f>D1131+D1129</f>
        <v>31</v>
      </c>
      <c r="E1132" s="71"/>
      <c r="F1132" s="71">
        <f>SUM(F1123:F1128)</f>
        <v>2512.0420999999997</v>
      </c>
      <c r="G1132" s="104">
        <f>G1131+G1129+G1130</f>
        <v>31</v>
      </c>
      <c r="H1132" s="105"/>
      <c r="I1132" s="73">
        <f>F1132/C1132</f>
        <v>1.6418575816993461</v>
      </c>
      <c r="J1132" s="273"/>
    </row>
    <row r="1133" spans="1:10" ht="15.75" x14ac:dyDescent="0.3">
      <c r="A1133" s="406" t="s">
        <v>188</v>
      </c>
      <c r="B1133" s="106" t="s">
        <v>191</v>
      </c>
      <c r="C1133" s="76"/>
      <c r="D1133" s="84"/>
      <c r="E1133" s="52"/>
      <c r="F1133" s="57"/>
      <c r="G1133" s="93"/>
      <c r="H1133" s="99" t="e">
        <f>F1133/G1133</f>
        <v>#DIV/0!</v>
      </c>
      <c r="I1133" s="107"/>
      <c r="J1133" s="271"/>
    </row>
    <row r="1134" spans="1:10" ht="15.75" x14ac:dyDescent="0.3">
      <c r="A1134" s="407"/>
      <c r="B1134" s="106" t="s">
        <v>79</v>
      </c>
      <c r="C1134" s="76"/>
      <c r="D1134" s="84"/>
      <c r="E1134" s="52"/>
      <c r="F1134" s="51"/>
      <c r="G1134" s="93"/>
      <c r="H1134" s="99"/>
      <c r="I1134" s="92"/>
      <c r="J1134" s="272"/>
    </row>
    <row r="1135" spans="1:10" ht="15.75" x14ac:dyDescent="0.3">
      <c r="A1135" s="407"/>
      <c r="B1135" s="106" t="s">
        <v>77</v>
      </c>
      <c r="C1135" s="76">
        <v>1200</v>
      </c>
      <c r="D1135" s="84">
        <v>3</v>
      </c>
      <c r="E1135" s="52">
        <f t="shared" ref="E1135" si="136">C1135/D1135</f>
        <v>400</v>
      </c>
      <c r="F1135" s="51">
        <v>850.73909999999989</v>
      </c>
      <c r="G1135" s="93">
        <v>2</v>
      </c>
      <c r="H1135" s="99">
        <f>F1135/G1135</f>
        <v>425.36954999999995</v>
      </c>
      <c r="I1135" s="92">
        <f>H1135/E1135</f>
        <v>1.0634238749999998</v>
      </c>
      <c r="J1135" s="272"/>
    </row>
    <row r="1136" spans="1:10" ht="15.75" x14ac:dyDescent="0.3">
      <c r="A1136" s="407"/>
      <c r="B1136" s="245" t="s">
        <v>365</v>
      </c>
      <c r="C1136" s="246">
        <v>1000</v>
      </c>
      <c r="D1136" s="84">
        <v>3.5</v>
      </c>
      <c r="E1136" s="52">
        <f>C1136/D1136</f>
        <v>285.71428571428572</v>
      </c>
      <c r="F1136" s="95">
        <v>949.02599999999995</v>
      </c>
      <c r="G1136" s="53">
        <v>2</v>
      </c>
      <c r="H1136" s="99">
        <f>F1136/G1136</f>
        <v>474.51299999999998</v>
      </c>
      <c r="I1136" s="92">
        <f>H1136/E1136</f>
        <v>1.6607954999999999</v>
      </c>
      <c r="J1136" s="272"/>
    </row>
    <row r="1137" spans="1:10" ht="16.5" x14ac:dyDescent="0.35">
      <c r="A1137" s="407"/>
      <c r="B1137" s="65" t="s">
        <v>189</v>
      </c>
      <c r="C1137" s="66"/>
      <c r="D1137" s="108">
        <f>31-SUM(D1133:D1136)</f>
        <v>24.5</v>
      </c>
      <c r="E1137" s="109"/>
      <c r="F1137" s="109"/>
      <c r="G1137" s="108">
        <f>31-SUM(G1133:G1136)</f>
        <v>27</v>
      </c>
      <c r="H1137" s="68"/>
      <c r="I1137" s="92"/>
      <c r="J1137" s="272"/>
    </row>
    <row r="1138" spans="1:10" ht="17.25" thickBot="1" x14ac:dyDescent="0.4">
      <c r="A1138" s="408"/>
      <c r="B1138" s="111" t="s">
        <v>149</v>
      </c>
      <c r="C1138" s="82">
        <f>SUM(C1133:C1137)</f>
        <v>2200</v>
      </c>
      <c r="D1138" s="82">
        <f>D1137+SUM(D1133:D1136)</f>
        <v>31</v>
      </c>
      <c r="E1138" s="82"/>
      <c r="F1138" s="82">
        <f>SUM(F1133:F1137)</f>
        <v>1799.7650999999998</v>
      </c>
      <c r="G1138" s="82">
        <f>G1137+SUM(G1133:G1136)</f>
        <v>31</v>
      </c>
      <c r="H1138" s="112"/>
      <c r="I1138" s="73">
        <f>F1138/C1138</f>
        <v>0.81807504545454535</v>
      </c>
      <c r="J1138" s="273"/>
    </row>
    <row r="1139" spans="1:10" ht="15.75" x14ac:dyDescent="0.3">
      <c r="A1139" s="406" t="s">
        <v>190</v>
      </c>
      <c r="B1139" s="50"/>
      <c r="C1139" s="51"/>
      <c r="D1139" s="52"/>
      <c r="E1139" s="52"/>
      <c r="F1139" s="51"/>
      <c r="G1139" s="93"/>
      <c r="H1139" s="99"/>
      <c r="I1139" s="92"/>
      <c r="J1139" s="271"/>
    </row>
    <row r="1140" spans="1:10" ht="15.75" x14ac:dyDescent="0.3">
      <c r="A1140" s="407"/>
      <c r="B1140" s="101" t="s">
        <v>206</v>
      </c>
      <c r="C1140" s="95">
        <v>340</v>
      </c>
      <c r="D1140" s="102">
        <v>20</v>
      </c>
      <c r="E1140" s="86">
        <f>C1140/D1140</f>
        <v>17</v>
      </c>
      <c r="F1140" s="95">
        <v>369.81999999999988</v>
      </c>
      <c r="G1140" s="103">
        <v>21</v>
      </c>
      <c r="H1140" s="99">
        <f>F1140/G1140</f>
        <v>17.610476190476184</v>
      </c>
      <c r="I1140" s="92">
        <f>H1140/E1140</f>
        <v>1.035910364145658</v>
      </c>
      <c r="J1140" s="272"/>
    </row>
    <row r="1141" spans="1:10" ht="15.75" x14ac:dyDescent="0.3">
      <c r="A1141" s="407"/>
      <c r="B1141" s="101" t="s">
        <v>192</v>
      </c>
      <c r="C1141" s="114"/>
      <c r="D1141" s="102"/>
      <c r="E1141" s="86"/>
      <c r="F1141" s="95"/>
      <c r="G1141" s="103"/>
      <c r="H1141" s="99"/>
      <c r="I1141" s="92"/>
      <c r="J1141" s="272"/>
    </row>
    <row r="1142" spans="1:10" ht="16.5" x14ac:dyDescent="0.35">
      <c r="A1142" s="407"/>
      <c r="B1142" s="59" t="s">
        <v>146</v>
      </c>
      <c r="C1142" s="60"/>
      <c r="D1142" s="61">
        <f>SUM(D1140:D1141)</f>
        <v>20</v>
      </c>
      <c r="E1142" s="61"/>
      <c r="F1142" s="62"/>
      <c r="G1142" s="61">
        <f>SUM(G1140:G1141)</f>
        <v>21</v>
      </c>
      <c r="H1142" s="61"/>
      <c r="I1142" s="92"/>
      <c r="J1142" s="272"/>
    </row>
    <row r="1143" spans="1:10" ht="15.75" x14ac:dyDescent="0.3">
      <c r="A1143" s="407"/>
      <c r="B1143" s="65" t="s">
        <v>148</v>
      </c>
      <c r="C1143" s="66"/>
      <c r="D1143" s="68">
        <f>31-D1142</f>
        <v>11</v>
      </c>
      <c r="E1143" s="67"/>
      <c r="F1143" s="67"/>
      <c r="G1143" s="81">
        <f>31-G1142</f>
        <v>10</v>
      </c>
      <c r="H1143" s="97"/>
      <c r="I1143" s="92"/>
      <c r="J1143" s="272"/>
    </row>
    <row r="1144" spans="1:10" ht="17.25" thickBot="1" x14ac:dyDescent="0.4">
      <c r="A1144" s="408"/>
      <c r="B1144" s="70" t="s">
        <v>149</v>
      </c>
      <c r="C1144" s="71">
        <f>SUM(C1140:C1141)</f>
        <v>340</v>
      </c>
      <c r="D1144" s="71">
        <f>D1143+D1142</f>
        <v>31</v>
      </c>
      <c r="E1144" s="71"/>
      <c r="F1144" s="71">
        <f>SUM(F1140:F1141)</f>
        <v>369.81999999999988</v>
      </c>
      <c r="G1144" s="71">
        <f>G1143+G1142</f>
        <v>31</v>
      </c>
      <c r="H1144" s="105"/>
      <c r="I1144" s="73">
        <f>F1144/C1144</f>
        <v>1.0877058823529409</v>
      </c>
      <c r="J1144" s="273"/>
    </row>
    <row r="1145" spans="1:10" ht="19.5" x14ac:dyDescent="0.3">
      <c r="A1145" s="351"/>
      <c r="B1145" s="101" t="s">
        <v>373</v>
      </c>
      <c r="C1145" s="95">
        <v>220</v>
      </c>
      <c r="D1145" s="102">
        <v>4.5</v>
      </c>
      <c r="E1145" s="86">
        <f>C1145/D1145</f>
        <v>48.888888888888886</v>
      </c>
      <c r="F1145" s="95"/>
      <c r="G1145" s="103"/>
      <c r="H1145" s="86"/>
      <c r="I1145" s="92"/>
      <c r="J1145" s="271"/>
    </row>
    <row r="1146" spans="1:10" ht="15.75" x14ac:dyDescent="0.3">
      <c r="A1146" s="407" t="s">
        <v>194</v>
      </c>
      <c r="B1146" s="101" t="s">
        <v>370</v>
      </c>
      <c r="C1146" s="95"/>
      <c r="D1146" s="102"/>
      <c r="E1146" s="86"/>
      <c r="F1146" s="95"/>
      <c r="G1146" s="103"/>
      <c r="H1146" s="86"/>
      <c r="I1146" s="92"/>
      <c r="J1146" s="272"/>
    </row>
    <row r="1147" spans="1:10" ht="15.75" x14ac:dyDescent="0.3">
      <c r="A1147" s="407"/>
      <c r="B1147" s="101" t="s">
        <v>208</v>
      </c>
      <c r="C1147" s="114"/>
      <c r="D1147" s="102"/>
      <c r="E1147" s="86" t="e">
        <f>C1147/D1147</f>
        <v>#DIV/0!</v>
      </c>
      <c r="F1147" s="103"/>
      <c r="G1147" s="103"/>
      <c r="H1147" s="86" t="e">
        <f>F1147/G1147</f>
        <v>#DIV/0!</v>
      </c>
      <c r="I1147" s="92" t="e">
        <f>H1147/E1147</f>
        <v>#DIV/0!</v>
      </c>
      <c r="J1147" s="272"/>
    </row>
    <row r="1148" spans="1:10" ht="16.5" x14ac:dyDescent="0.35">
      <c r="A1148" s="407"/>
      <c r="B1148" s="59" t="s">
        <v>146</v>
      </c>
      <c r="C1148" s="60"/>
      <c r="D1148" s="61">
        <f>SUM(D1145:D1147)</f>
        <v>4.5</v>
      </c>
      <c r="E1148" s="61"/>
      <c r="F1148" s="62"/>
      <c r="G1148" s="61">
        <f>SUM(G1145:G1147)</f>
        <v>0</v>
      </c>
      <c r="H1148" s="61"/>
      <c r="I1148" s="92"/>
      <c r="J1148" s="272"/>
    </row>
    <row r="1149" spans="1:10" ht="15.75" x14ac:dyDescent="0.3">
      <c r="A1149" s="407"/>
      <c r="B1149" s="65" t="s">
        <v>148</v>
      </c>
      <c r="C1149" s="66"/>
      <c r="D1149" s="68">
        <f>31-D1148</f>
        <v>26.5</v>
      </c>
      <c r="E1149" s="67"/>
      <c r="F1149" s="67"/>
      <c r="G1149" s="81">
        <f>31-G1148</f>
        <v>31</v>
      </c>
      <c r="H1149" s="97"/>
      <c r="I1149" s="92"/>
      <c r="J1149" s="272"/>
    </row>
    <row r="1150" spans="1:10" ht="17.25" thickBot="1" x14ac:dyDescent="0.4">
      <c r="A1150" s="408"/>
      <c r="B1150" s="70" t="s">
        <v>149</v>
      </c>
      <c r="C1150" s="71">
        <f>SUM(C1145:C1147)</f>
        <v>220</v>
      </c>
      <c r="D1150" s="71">
        <f>D1149+D1148</f>
        <v>31</v>
      </c>
      <c r="E1150" s="71"/>
      <c r="F1150" s="71">
        <f>SUM(F1145:F1147)</f>
        <v>0</v>
      </c>
      <c r="G1150" s="71">
        <f>G1149+G1148</f>
        <v>31</v>
      </c>
      <c r="H1150" s="105"/>
      <c r="I1150" s="73">
        <f>F1150/C1150</f>
        <v>0</v>
      </c>
      <c r="J1150" s="273"/>
    </row>
    <row r="1152" spans="1:10" ht="21" x14ac:dyDescent="0.4">
      <c r="A1152" s="37" t="s">
        <v>436</v>
      </c>
      <c r="B1152" s="37"/>
      <c r="C1152" s="37"/>
      <c r="D1152" s="37"/>
      <c r="E1152" s="37"/>
      <c r="F1152" s="37"/>
      <c r="G1152" s="37"/>
      <c r="H1152" s="37"/>
      <c r="I1152" s="37"/>
    </row>
    <row r="1153" spans="1:10" ht="17.25" thickBot="1" x14ac:dyDescent="0.4">
      <c r="A1153" s="40"/>
      <c r="B1153" s="41"/>
      <c r="C1153" s="42"/>
      <c r="D1153" s="42"/>
      <c r="E1153" s="42"/>
      <c r="F1153" s="42"/>
      <c r="G1153" s="42"/>
      <c r="H1153" s="42"/>
      <c r="I1153" s="42"/>
    </row>
    <row r="1154" spans="1:10" ht="16.5" x14ac:dyDescent="0.35">
      <c r="A1154" s="409" t="s">
        <v>128</v>
      </c>
      <c r="B1154" s="44"/>
      <c r="C1154" s="45"/>
      <c r="D1154" s="45"/>
      <c r="E1154" s="45"/>
      <c r="F1154" s="45"/>
      <c r="G1154" s="411" t="s">
        <v>129</v>
      </c>
      <c r="H1154" s="356"/>
      <c r="I1154" s="413" t="s">
        <v>130</v>
      </c>
      <c r="J1154" s="257" t="s">
        <v>131</v>
      </c>
    </row>
    <row r="1155" spans="1:10" ht="66.75" thickBot="1" x14ac:dyDescent="0.3">
      <c r="A1155" s="410"/>
      <c r="B1155" s="46"/>
      <c r="C1155" s="47" t="s">
        <v>132</v>
      </c>
      <c r="D1155" s="48" t="s">
        <v>133</v>
      </c>
      <c r="E1155" s="48" t="s">
        <v>134</v>
      </c>
      <c r="F1155" s="49" t="s">
        <v>135</v>
      </c>
      <c r="G1155" s="412"/>
      <c r="H1155" s="48" t="s">
        <v>136</v>
      </c>
      <c r="I1155" s="414"/>
      <c r="J1155" s="258"/>
    </row>
    <row r="1156" spans="1:10" ht="15.75" x14ac:dyDescent="0.3">
      <c r="A1156" s="415" t="s">
        <v>137</v>
      </c>
      <c r="B1156" s="50" t="s">
        <v>340</v>
      </c>
      <c r="C1156" s="51">
        <f>400+1600+1350</f>
        <v>3350</v>
      </c>
      <c r="D1156" s="123">
        <v>13</v>
      </c>
      <c r="E1156" s="52">
        <f t="shared" ref="E1156:E1161" si="137">C1156/D1156</f>
        <v>257.69230769230768</v>
      </c>
      <c r="F1156" s="51">
        <v>1826.5999999999997</v>
      </c>
      <c r="G1156" s="53">
        <v>11</v>
      </c>
      <c r="H1156" s="53">
        <f>F1156/G1156</f>
        <v>166.05454545454543</v>
      </c>
      <c r="I1156" s="54">
        <f t="shared" ref="I1156:I1161" si="138">H1156/E1156</f>
        <v>0.64439077340569872</v>
      </c>
      <c r="J1156" s="259"/>
    </row>
    <row r="1157" spans="1:10" ht="15.75" x14ac:dyDescent="0.3">
      <c r="A1157" s="416"/>
      <c r="B1157" s="56" t="s">
        <v>140</v>
      </c>
      <c r="C1157" s="57"/>
      <c r="D1157" s="53"/>
      <c r="E1157" s="52" t="e">
        <f t="shared" si="137"/>
        <v>#DIV/0!</v>
      </c>
      <c r="F1157" s="57"/>
      <c r="G1157" s="53"/>
      <c r="H1157" s="53" t="e">
        <f t="shared" ref="H1157:H1161" si="139">F1157/G1157</f>
        <v>#DIV/0!</v>
      </c>
      <c r="I1157" s="54" t="e">
        <f t="shared" si="138"/>
        <v>#DIV/0!</v>
      </c>
      <c r="J1157" s="260"/>
    </row>
    <row r="1158" spans="1:10" ht="15.75" x14ac:dyDescent="0.3">
      <c r="A1158" s="416"/>
      <c r="B1158" s="56" t="s">
        <v>325</v>
      </c>
      <c r="C1158" s="57">
        <f>180+528+600</f>
        <v>1308</v>
      </c>
      <c r="D1158" s="58">
        <f>3+2+3</f>
        <v>8</v>
      </c>
      <c r="E1158" s="52">
        <f t="shared" si="137"/>
        <v>163.5</v>
      </c>
      <c r="F1158" s="57">
        <v>1650.7710000000002</v>
      </c>
      <c r="G1158" s="53">
        <v>10.5</v>
      </c>
      <c r="H1158" s="53">
        <f t="shared" si="139"/>
        <v>157.21628571428573</v>
      </c>
      <c r="I1158" s="54">
        <f t="shared" si="138"/>
        <v>0.96156749672346009</v>
      </c>
      <c r="J1158" s="260"/>
    </row>
    <row r="1159" spans="1:10" ht="15.75" x14ac:dyDescent="0.3">
      <c r="A1159" s="416"/>
      <c r="B1159" s="56" t="s">
        <v>143</v>
      </c>
      <c r="C1159" s="57"/>
      <c r="D1159" s="58"/>
      <c r="E1159" s="52" t="e">
        <f t="shared" si="137"/>
        <v>#DIV/0!</v>
      </c>
      <c r="F1159" s="57"/>
      <c r="G1159" s="53"/>
      <c r="H1159" s="53" t="e">
        <f t="shared" si="139"/>
        <v>#DIV/0!</v>
      </c>
      <c r="I1159" s="54" t="e">
        <f t="shared" si="138"/>
        <v>#DIV/0!</v>
      </c>
      <c r="J1159" s="260"/>
    </row>
    <row r="1160" spans="1:10" ht="15.75" x14ac:dyDescent="0.3">
      <c r="A1160" s="416"/>
      <c r="B1160" s="56" t="s">
        <v>400</v>
      </c>
      <c r="C1160" s="57"/>
      <c r="D1160" s="58"/>
      <c r="E1160" s="52" t="e">
        <f t="shared" si="137"/>
        <v>#DIV/0!</v>
      </c>
      <c r="F1160" s="57"/>
      <c r="G1160" s="53"/>
      <c r="H1160" s="53" t="e">
        <f t="shared" si="139"/>
        <v>#DIV/0!</v>
      </c>
      <c r="I1160" s="54" t="e">
        <f t="shared" si="138"/>
        <v>#DIV/0!</v>
      </c>
      <c r="J1160" s="260"/>
    </row>
    <row r="1161" spans="1:10" ht="15.75" x14ac:dyDescent="0.3">
      <c r="A1161" s="416"/>
      <c r="B1161" s="56" t="s">
        <v>145</v>
      </c>
      <c r="C1161" s="57"/>
      <c r="D1161" s="58"/>
      <c r="E1161" s="52" t="e">
        <f t="shared" si="137"/>
        <v>#DIV/0!</v>
      </c>
      <c r="F1161" s="57"/>
      <c r="G1161" s="53"/>
      <c r="H1161" s="53" t="e">
        <f t="shared" si="139"/>
        <v>#DIV/0!</v>
      </c>
      <c r="I1161" s="54" t="e">
        <f t="shared" si="138"/>
        <v>#DIV/0!</v>
      </c>
      <c r="J1161" s="260"/>
    </row>
    <row r="1162" spans="1:10" ht="15.75" x14ac:dyDescent="0.3">
      <c r="A1162" s="416"/>
      <c r="B1162" s="50"/>
      <c r="C1162" s="57"/>
      <c r="D1162" s="58"/>
      <c r="E1162" s="52"/>
      <c r="F1162" s="57"/>
      <c r="G1162" s="53"/>
      <c r="H1162" s="53"/>
      <c r="I1162" s="53"/>
      <c r="J1162" s="260"/>
    </row>
    <row r="1163" spans="1:10" ht="16.5" x14ac:dyDescent="0.35">
      <c r="A1163" s="416"/>
      <c r="B1163" s="59" t="s">
        <v>146</v>
      </c>
      <c r="C1163" s="60"/>
      <c r="D1163" s="61">
        <f>SUM(D1156:D1162)</f>
        <v>21</v>
      </c>
      <c r="E1163" s="61"/>
      <c r="F1163" s="62"/>
      <c r="G1163" s="63">
        <f>SUM(G1156:G1162)</f>
        <v>21.5</v>
      </c>
      <c r="H1163" s="64"/>
      <c r="I1163" s="53"/>
      <c r="J1163" s="260"/>
    </row>
    <row r="1164" spans="1:10" ht="16.5" x14ac:dyDescent="0.35">
      <c r="A1164" s="416"/>
      <c r="B1164" s="59" t="s">
        <v>147</v>
      </c>
      <c r="C1164" s="60"/>
      <c r="D1164" s="61">
        <v>6</v>
      </c>
      <c r="E1164" s="62"/>
      <c r="F1164" s="62"/>
      <c r="G1164" s="63">
        <v>6</v>
      </c>
      <c r="H1164" s="64"/>
      <c r="I1164" s="53"/>
      <c r="J1164" s="260"/>
    </row>
    <row r="1165" spans="1:10" ht="15.75" x14ac:dyDescent="0.3">
      <c r="A1165" s="416"/>
      <c r="B1165" s="65" t="s">
        <v>148</v>
      </c>
      <c r="C1165" s="66"/>
      <c r="D1165" s="68">
        <f>30-D1164-D1163</f>
        <v>3</v>
      </c>
      <c r="E1165" s="67"/>
      <c r="F1165" s="67"/>
      <c r="G1165" s="68">
        <f>30-G1164-G1163</f>
        <v>2.5</v>
      </c>
      <c r="H1165" s="69"/>
      <c r="I1165" s="53"/>
      <c r="J1165" s="260"/>
    </row>
    <row r="1166" spans="1:10" ht="17.25" thickBot="1" x14ac:dyDescent="0.4">
      <c r="A1166" s="417"/>
      <c r="B1166" s="70" t="s">
        <v>149</v>
      </c>
      <c r="C1166" s="71">
        <f>SUM(C1156:C1161)</f>
        <v>4658</v>
      </c>
      <c r="D1166" s="71">
        <f>D1163+D1164+D1165</f>
        <v>30</v>
      </c>
      <c r="E1166" s="71">
        <f>E1163+E1164+E1165</f>
        <v>0</v>
      </c>
      <c r="F1166" s="72">
        <f>SUM(F1156:F1162)</f>
        <v>3477.3710000000001</v>
      </c>
      <c r="G1166" s="71">
        <f>G1163+G1164+G1165</f>
        <v>30</v>
      </c>
      <c r="H1166" s="71"/>
      <c r="I1166" s="73">
        <f>F1166/C1166</f>
        <v>0.74653735508802066</v>
      </c>
      <c r="J1166" s="261"/>
    </row>
    <row r="1167" spans="1:10" ht="15.75" x14ac:dyDescent="0.3">
      <c r="A1167" s="421" t="s">
        <v>150</v>
      </c>
      <c r="B1167" s="50" t="s">
        <v>154</v>
      </c>
      <c r="C1167" s="76"/>
      <c r="D1167" s="52"/>
      <c r="E1167" s="52"/>
      <c r="F1167" s="52">
        <f>180.068+17.35</f>
        <v>197.41800000000001</v>
      </c>
      <c r="G1167" s="53">
        <v>2</v>
      </c>
      <c r="H1167" s="241">
        <f>F1167/G1167</f>
        <v>98.709000000000003</v>
      </c>
      <c r="I1167" s="92" t="e">
        <f>H1167/E1167</f>
        <v>#DIV/0!</v>
      </c>
      <c r="J1167" s="262"/>
    </row>
    <row r="1168" spans="1:10" ht="15.75" x14ac:dyDescent="0.3">
      <c r="A1168" s="422"/>
      <c r="B1168" s="50" t="s">
        <v>366</v>
      </c>
      <c r="C1168" s="76">
        <f>860+675+337.5+1370+337.5</f>
        <v>3580</v>
      </c>
      <c r="D1168" s="52">
        <v>12</v>
      </c>
      <c r="E1168" s="52">
        <f>C1168/D1168</f>
        <v>298.33333333333331</v>
      </c>
      <c r="F1168" s="52">
        <f>1170.472+1377.22+133.96+93.73</f>
        <v>2775.3820000000001</v>
      </c>
      <c r="G1168" s="127">
        <v>12</v>
      </c>
      <c r="H1168" s="241">
        <f>F1168/G1168</f>
        <v>231.28183333333334</v>
      </c>
      <c r="I1168" s="92">
        <f>H1168/E1168</f>
        <v>0.7752463687150839</v>
      </c>
      <c r="J1168" s="263"/>
    </row>
    <row r="1169" spans="1:10" ht="15.75" x14ac:dyDescent="0.3">
      <c r="A1169" s="422"/>
      <c r="B1169" s="50" t="s">
        <v>155</v>
      </c>
      <c r="C1169" s="57">
        <v>500</v>
      </c>
      <c r="D1169" s="58">
        <v>4</v>
      </c>
      <c r="E1169" s="52">
        <f>C1169/D1169</f>
        <v>125</v>
      </c>
      <c r="F1169" s="57">
        <v>528.82099999999991</v>
      </c>
      <c r="G1169" s="52">
        <v>4</v>
      </c>
      <c r="H1169" s="241">
        <f>F1169/G1169</f>
        <v>132.20524999999998</v>
      </c>
      <c r="I1169" s="92">
        <f>H1169/E1169</f>
        <v>1.0576419999999997</v>
      </c>
      <c r="J1169" s="263"/>
    </row>
    <row r="1170" spans="1:10" ht="15.75" x14ac:dyDescent="0.3">
      <c r="A1170" s="422"/>
      <c r="B1170" s="78" t="s">
        <v>368</v>
      </c>
      <c r="C1170" s="51">
        <v>440</v>
      </c>
      <c r="D1170" s="52">
        <v>6</v>
      </c>
      <c r="E1170" s="52">
        <f>C1170/D1170</f>
        <v>73.333333333333329</v>
      </c>
      <c r="F1170" s="52">
        <f>233.337+108</f>
        <v>341.33699999999999</v>
      </c>
      <c r="G1170" s="52">
        <v>6</v>
      </c>
      <c r="H1170" s="241">
        <f>F1170/G1170</f>
        <v>56.889499999999998</v>
      </c>
      <c r="I1170" s="92">
        <f>H1170/E1170</f>
        <v>0.77576590909090914</v>
      </c>
      <c r="J1170" s="263"/>
    </row>
    <row r="1171" spans="1:10" ht="15.75" x14ac:dyDescent="0.3">
      <c r="A1171" s="422"/>
      <c r="B1171" s="78" t="s">
        <v>415</v>
      </c>
      <c r="C1171" s="51"/>
      <c r="D1171" s="90"/>
      <c r="E1171" s="52" t="e">
        <f>C1171/D1171</f>
        <v>#DIV/0!</v>
      </c>
      <c r="F1171" s="51">
        <v>88.194000000000003</v>
      </c>
      <c r="G1171" s="52">
        <v>1.5</v>
      </c>
      <c r="H1171" s="241">
        <f>F1171/G1171</f>
        <v>58.795999999999999</v>
      </c>
      <c r="I1171" s="92" t="e">
        <f>H1171/E1171</f>
        <v>#DIV/0!</v>
      </c>
      <c r="J1171" s="263"/>
    </row>
    <row r="1172" spans="1:10" ht="15.75" x14ac:dyDescent="0.3">
      <c r="A1172" s="422"/>
      <c r="B1172" s="78" t="s">
        <v>327</v>
      </c>
      <c r="C1172" s="51"/>
      <c r="D1172" s="52"/>
      <c r="E1172" s="52"/>
      <c r="F1172" s="52"/>
      <c r="G1172" s="52"/>
      <c r="H1172" s="241"/>
      <c r="I1172" s="92"/>
      <c r="J1172" s="263"/>
    </row>
    <row r="1173" spans="1:10" ht="15.75" x14ac:dyDescent="0.3">
      <c r="A1173" s="422"/>
      <c r="B1173" s="78" t="s">
        <v>402</v>
      </c>
      <c r="C1173" s="76"/>
      <c r="D1173" s="84"/>
      <c r="E1173" s="52"/>
      <c r="F1173" s="52"/>
      <c r="G1173" s="52"/>
      <c r="H1173" s="241" t="e">
        <f>F1173/G1173</f>
        <v>#DIV/0!</v>
      </c>
      <c r="I1173" s="92"/>
      <c r="J1173" s="263"/>
    </row>
    <row r="1174" spans="1:10" ht="15.75" x14ac:dyDescent="0.3">
      <c r="A1174" s="422"/>
      <c r="B1174" s="78" t="s">
        <v>401</v>
      </c>
      <c r="C1174" s="76"/>
      <c r="D1174" s="84"/>
      <c r="E1174" s="52"/>
      <c r="F1174" s="344"/>
      <c r="G1174" s="52"/>
      <c r="H1174" s="241"/>
      <c r="I1174" s="92"/>
      <c r="J1174" s="263"/>
    </row>
    <row r="1175" spans="1:10" ht="15.75" x14ac:dyDescent="0.3">
      <c r="A1175" s="422"/>
      <c r="B1175" s="78" t="s">
        <v>328</v>
      </c>
      <c r="C1175" s="51"/>
      <c r="D1175" s="52"/>
      <c r="E1175" s="52"/>
      <c r="F1175" s="79"/>
      <c r="G1175" s="52"/>
      <c r="H1175" s="241" t="e">
        <f>F1175/G1175</f>
        <v>#DIV/0!</v>
      </c>
      <c r="I1175" s="92"/>
      <c r="J1175" s="263"/>
    </row>
    <row r="1176" spans="1:10" ht="15.75" x14ac:dyDescent="0.3">
      <c r="A1176" s="422"/>
      <c r="B1176" s="78" t="s">
        <v>416</v>
      </c>
      <c r="C1176" s="51"/>
      <c r="D1176" s="52"/>
      <c r="E1176" s="52" t="e">
        <f>C1176/D1176</f>
        <v>#DIV/0!</v>
      </c>
      <c r="F1176" s="51"/>
      <c r="G1176" s="52"/>
      <c r="H1176" s="241" t="e">
        <f>F1176/G1176</f>
        <v>#DIV/0!</v>
      </c>
      <c r="I1176" s="92" t="e">
        <f>H1176/E1176</f>
        <v>#DIV/0!</v>
      </c>
      <c r="J1176" s="263"/>
    </row>
    <row r="1177" spans="1:10" ht="16.5" x14ac:dyDescent="0.35">
      <c r="A1177" s="422"/>
      <c r="B1177" s="59" t="s">
        <v>146</v>
      </c>
      <c r="C1177" s="60"/>
      <c r="D1177" s="63">
        <f>SUM(D1167:D1176)</f>
        <v>22</v>
      </c>
      <c r="E1177" s="61"/>
      <c r="F1177" s="62"/>
      <c r="G1177" s="63">
        <f>SUM(G1167:G1176)</f>
        <v>25.5</v>
      </c>
      <c r="H1177" s="63"/>
      <c r="I1177" s="99"/>
      <c r="J1177" s="263"/>
    </row>
    <row r="1178" spans="1:10" ht="15.75" x14ac:dyDescent="0.3">
      <c r="A1178" s="422"/>
      <c r="B1178" s="65" t="s">
        <v>148</v>
      </c>
      <c r="C1178" s="66"/>
      <c r="D1178" s="81">
        <f>30-D1177</f>
        <v>8</v>
      </c>
      <c r="E1178" s="67"/>
      <c r="F1178" s="67"/>
      <c r="G1178" s="81">
        <f>30-G1177</f>
        <v>4.5</v>
      </c>
      <c r="H1178" s="243"/>
      <c r="I1178" s="112"/>
      <c r="J1178" s="263"/>
    </row>
    <row r="1179" spans="1:10" ht="17.25" thickBot="1" x14ac:dyDescent="0.4">
      <c r="A1179" s="423"/>
      <c r="B1179" s="70" t="s">
        <v>149</v>
      </c>
      <c r="C1179" s="71">
        <f>SUM(C1167:C1176)</f>
        <v>4520</v>
      </c>
      <c r="D1179" s="71">
        <f>D1177+D1178</f>
        <v>30</v>
      </c>
      <c r="E1179" s="71">
        <f>E1177+E1178</f>
        <v>0</v>
      </c>
      <c r="F1179" s="71">
        <f>SUM(F1167:F1176)</f>
        <v>3931.152</v>
      </c>
      <c r="G1179" s="71">
        <f t="shared" ref="G1179" si="140">G1177+G1178</f>
        <v>30</v>
      </c>
      <c r="H1179" s="82"/>
      <c r="I1179" s="73">
        <f>F1179/C1179</f>
        <v>0.86972389380530979</v>
      </c>
      <c r="J1179" s="264"/>
    </row>
    <row r="1180" spans="1:10" ht="15.75" x14ac:dyDescent="0.3">
      <c r="A1180" s="421" t="s">
        <v>161</v>
      </c>
      <c r="B1180" s="50" t="s">
        <v>199</v>
      </c>
      <c r="C1180" s="51"/>
      <c r="D1180" s="83"/>
      <c r="E1180" s="52" t="e">
        <f>C1180/D1180</f>
        <v>#DIV/0!</v>
      </c>
      <c r="F1180" s="51"/>
      <c r="G1180" s="83"/>
      <c r="H1180" s="53" t="e">
        <f t="shared" ref="H1180" si="141">F1180/G1180</f>
        <v>#DIV/0!</v>
      </c>
      <c r="I1180" s="92" t="e">
        <f t="shared" ref="I1180" si="142">H1180/E1180</f>
        <v>#DIV/0!</v>
      </c>
      <c r="J1180" s="265"/>
    </row>
    <row r="1181" spans="1:10" ht="15.75" x14ac:dyDescent="0.3">
      <c r="A1181" s="422"/>
      <c r="B1181" s="50" t="s">
        <v>399</v>
      </c>
      <c r="C1181" s="76"/>
      <c r="D1181" s="84"/>
      <c r="E1181" s="52" t="e">
        <f>C1181/D1181</f>
        <v>#DIV/0!</v>
      </c>
      <c r="F1181" s="51"/>
      <c r="G1181" s="52"/>
      <c r="H1181" s="53"/>
      <c r="I1181" s="92"/>
      <c r="J1181" s="266"/>
    </row>
    <row r="1182" spans="1:10" ht="15.75" x14ac:dyDescent="0.3">
      <c r="A1182" s="422"/>
      <c r="B1182" s="50" t="s">
        <v>216</v>
      </c>
      <c r="C1182" s="76"/>
      <c r="D1182" s="84"/>
      <c r="E1182" s="52"/>
      <c r="F1182" s="57"/>
      <c r="G1182" s="52"/>
      <c r="H1182" s="53"/>
      <c r="I1182" s="92"/>
      <c r="J1182" s="266"/>
    </row>
    <row r="1183" spans="1:10" ht="15.75" x14ac:dyDescent="0.3">
      <c r="A1183" s="422"/>
      <c r="B1183" s="50" t="s">
        <v>418</v>
      </c>
      <c r="C1183" s="76"/>
      <c r="D1183" s="84"/>
      <c r="E1183" s="52"/>
      <c r="F1183" s="57"/>
      <c r="G1183" s="90"/>
      <c r="H1183" s="241" t="e">
        <f>F1183/G1183</f>
        <v>#DIV/0!</v>
      </c>
      <c r="I1183" s="92"/>
      <c r="J1183" s="266"/>
    </row>
    <row r="1184" spans="1:10" ht="15.75" x14ac:dyDescent="0.3">
      <c r="A1184" s="422"/>
      <c r="B1184" s="50" t="s">
        <v>420</v>
      </c>
      <c r="C1184" s="76"/>
      <c r="D1184" s="84"/>
      <c r="E1184" s="52"/>
      <c r="F1184" s="79"/>
      <c r="G1184" s="90"/>
      <c r="H1184" s="241" t="e">
        <f>F1184/G1184</f>
        <v>#DIV/0!</v>
      </c>
      <c r="I1184" s="92"/>
      <c r="J1184" s="266"/>
    </row>
    <row r="1185" spans="1:10" ht="15.75" x14ac:dyDescent="0.3">
      <c r="A1185" s="422"/>
      <c r="B1185" s="50" t="s">
        <v>417</v>
      </c>
      <c r="C1185" s="76"/>
      <c r="D1185" s="84"/>
      <c r="E1185" s="52" t="e">
        <f t="shared" ref="E1185:E1186" si="143">C1185/D1185</f>
        <v>#DIV/0!</v>
      </c>
      <c r="F1185" s="344"/>
      <c r="G1185" s="90"/>
      <c r="H1185" s="241" t="e">
        <f>F1185/G1185</f>
        <v>#DIV/0!</v>
      </c>
      <c r="I1185" s="92"/>
      <c r="J1185" s="266"/>
    </row>
    <row r="1186" spans="1:10" ht="15.75" x14ac:dyDescent="0.3">
      <c r="A1186" s="422"/>
      <c r="B1186" s="50" t="s">
        <v>383</v>
      </c>
      <c r="C1186" s="76">
        <v>160</v>
      </c>
      <c r="D1186" s="52">
        <v>3</v>
      </c>
      <c r="E1186" s="52">
        <f t="shared" si="143"/>
        <v>53.333333333333336</v>
      </c>
      <c r="F1186" s="51">
        <v>82.27600000000001</v>
      </c>
      <c r="G1186" s="90">
        <v>1.5</v>
      </c>
      <c r="H1186" s="241">
        <f>F1186/G1186</f>
        <v>54.850666666666676</v>
      </c>
      <c r="I1186" s="92">
        <f t="shared" ref="I1186" si="144">H1186/E1186</f>
        <v>1.0284500000000001</v>
      </c>
      <c r="J1186" s="266"/>
    </row>
    <row r="1187" spans="1:10" ht="15.75" x14ac:dyDescent="0.3">
      <c r="A1187" s="422"/>
      <c r="B1187" s="50" t="s">
        <v>232</v>
      </c>
      <c r="C1187" s="76"/>
      <c r="D1187" s="84"/>
      <c r="E1187" s="52"/>
      <c r="F1187" s="51">
        <v>162</v>
      </c>
      <c r="G1187" s="52">
        <v>1.5</v>
      </c>
      <c r="H1187" s="53">
        <f t="shared" ref="H1187:H1192" si="145">F1187/G1187</f>
        <v>108</v>
      </c>
      <c r="I1187" s="92"/>
      <c r="J1187" s="266"/>
    </row>
    <row r="1188" spans="1:10" ht="15.75" x14ac:dyDescent="0.3">
      <c r="A1188" s="422"/>
      <c r="B1188" s="50" t="s">
        <v>404</v>
      </c>
      <c r="C1188" s="76"/>
      <c r="D1188" s="84"/>
      <c r="E1188" s="52"/>
      <c r="F1188" s="51"/>
      <c r="G1188" s="52"/>
      <c r="H1188" s="53" t="e">
        <f t="shared" si="145"/>
        <v>#DIV/0!</v>
      </c>
      <c r="I1188" s="92"/>
      <c r="J1188" s="266"/>
    </row>
    <row r="1189" spans="1:10" ht="15.75" x14ac:dyDescent="0.3">
      <c r="A1189" s="422"/>
      <c r="B1189" s="50" t="s">
        <v>167</v>
      </c>
      <c r="C1189" s="76">
        <f>120+240</f>
        <v>360</v>
      </c>
      <c r="D1189" s="84">
        <v>6</v>
      </c>
      <c r="E1189" s="52">
        <f t="shared" ref="E1189:E1190" si="146">C1189/D1189</f>
        <v>60</v>
      </c>
      <c r="F1189" s="57">
        <v>174.7</v>
      </c>
      <c r="G1189" s="52">
        <v>2</v>
      </c>
      <c r="H1189" s="53">
        <f t="shared" si="145"/>
        <v>87.35</v>
      </c>
      <c r="I1189" s="92">
        <f t="shared" ref="I1189:I1191" si="147">H1189/E1189</f>
        <v>1.4558333333333333</v>
      </c>
      <c r="J1189" s="266"/>
    </row>
    <row r="1190" spans="1:10" ht="15.75" x14ac:dyDescent="0.3">
      <c r="A1190" s="422"/>
      <c r="B1190" s="50" t="s">
        <v>419</v>
      </c>
      <c r="C1190" s="76">
        <v>285</v>
      </c>
      <c r="D1190" s="84">
        <v>5</v>
      </c>
      <c r="E1190" s="52">
        <f t="shared" si="146"/>
        <v>57</v>
      </c>
      <c r="F1190" s="57">
        <f>130.385+159.16</f>
        <v>289.54499999999996</v>
      </c>
      <c r="G1190" s="52">
        <v>3.5</v>
      </c>
      <c r="H1190" s="53">
        <f t="shared" si="145"/>
        <v>82.727142857142852</v>
      </c>
      <c r="I1190" s="92">
        <f t="shared" si="147"/>
        <v>1.4513533834586465</v>
      </c>
      <c r="J1190" s="266"/>
    </row>
    <row r="1191" spans="1:10" ht="15.75" x14ac:dyDescent="0.3">
      <c r="A1191" s="422"/>
      <c r="B1191" s="50" t="s">
        <v>431</v>
      </c>
      <c r="C1191" s="76"/>
      <c r="D1191" s="84"/>
      <c r="E1191" s="52"/>
      <c r="F1191" s="57"/>
      <c r="G1191" s="90"/>
      <c r="H1191" s="53" t="e">
        <f t="shared" si="145"/>
        <v>#DIV/0!</v>
      </c>
      <c r="I1191" s="92" t="e">
        <f t="shared" si="147"/>
        <v>#DIV/0!</v>
      </c>
      <c r="J1191" s="266"/>
    </row>
    <row r="1192" spans="1:10" ht="15.75" x14ac:dyDescent="0.3">
      <c r="A1192" s="422"/>
      <c r="B1192" s="50" t="s">
        <v>398</v>
      </c>
      <c r="C1192" s="76"/>
      <c r="D1192" s="84"/>
      <c r="E1192" s="52" t="e">
        <f>C1192/D1192</f>
        <v>#DIV/0!</v>
      </c>
      <c r="F1192" s="57"/>
      <c r="G1192" s="52"/>
      <c r="H1192" s="53" t="e">
        <f t="shared" si="145"/>
        <v>#DIV/0!</v>
      </c>
      <c r="I1192" s="92" t="e">
        <f>H1192/E1192</f>
        <v>#DIV/0!</v>
      </c>
      <c r="J1192" s="266"/>
    </row>
    <row r="1193" spans="1:10" ht="16.5" x14ac:dyDescent="0.35">
      <c r="A1193" s="422"/>
      <c r="B1193" s="59" t="s">
        <v>146</v>
      </c>
      <c r="C1193" s="61">
        <f>SUM(C1180:C1192)</f>
        <v>805</v>
      </c>
      <c r="D1193" s="61">
        <f t="shared" ref="D1193" si="148">SUM(D1180:D1192)</f>
        <v>14</v>
      </c>
      <c r="E1193" s="61"/>
      <c r="F1193" s="61">
        <f t="shared" ref="F1193:G1193" si="149">SUM(F1180:F1192)</f>
        <v>708.52099999999996</v>
      </c>
      <c r="G1193" s="61">
        <f t="shared" si="149"/>
        <v>8.5</v>
      </c>
      <c r="H1193" s="61"/>
      <c r="I1193" s="92"/>
      <c r="J1193" s="266"/>
    </row>
    <row r="1194" spans="1:10" ht="15.75" x14ac:dyDescent="0.3">
      <c r="A1194" s="422"/>
      <c r="B1194" s="65" t="s">
        <v>148</v>
      </c>
      <c r="C1194" s="66"/>
      <c r="D1194" s="67">
        <f>30-D1193</f>
        <v>16</v>
      </c>
      <c r="E1194" s="67"/>
      <c r="F1194" s="67"/>
      <c r="G1194" s="67">
        <f>30-G1193</f>
        <v>21.5</v>
      </c>
      <c r="H1194" s="87"/>
      <c r="I1194" s="92"/>
      <c r="J1194" s="266"/>
    </row>
    <row r="1195" spans="1:10" ht="17.25" thickBot="1" x14ac:dyDescent="0.4">
      <c r="A1195" s="423"/>
      <c r="B1195" s="70" t="s">
        <v>149</v>
      </c>
      <c r="C1195" s="71">
        <f>SUM(C1180:C1192)</f>
        <v>805</v>
      </c>
      <c r="D1195" s="71">
        <f>D1193+D1194</f>
        <v>30</v>
      </c>
      <c r="E1195" s="71"/>
      <c r="F1195" s="71">
        <f>SUM(F1180:F1192)</f>
        <v>708.52099999999996</v>
      </c>
      <c r="G1195" s="71">
        <f>G1194+G1193</f>
        <v>30</v>
      </c>
      <c r="H1195" s="82"/>
      <c r="I1195" s="73">
        <f>F1195/C1195</f>
        <v>0.88015031055900617</v>
      </c>
      <c r="J1195" s="267"/>
    </row>
    <row r="1196" spans="1:10" ht="15.75" x14ac:dyDescent="0.3">
      <c r="A1196" s="421" t="s">
        <v>169</v>
      </c>
      <c r="B1196" s="88" t="s">
        <v>170</v>
      </c>
      <c r="C1196" s="89"/>
      <c r="D1196" s="52"/>
      <c r="E1196" s="52" t="e">
        <f>C1196/D1196</f>
        <v>#DIV/0!</v>
      </c>
      <c r="F1196" s="51"/>
      <c r="G1196" s="52"/>
      <c r="H1196" s="53" t="e">
        <f>F1196/G1196</f>
        <v>#DIV/0!</v>
      </c>
      <c r="I1196" s="92" t="e">
        <f>H1196/E1196</f>
        <v>#DIV/0!</v>
      </c>
      <c r="J1196" s="265"/>
    </row>
    <row r="1197" spans="1:10" ht="15.75" x14ac:dyDescent="0.3">
      <c r="A1197" s="422"/>
      <c r="B1197" s="244" t="s">
        <v>331</v>
      </c>
      <c r="C1197" s="51"/>
      <c r="D1197" s="52"/>
      <c r="E1197" s="52"/>
      <c r="F1197" s="51"/>
      <c r="G1197" s="52"/>
      <c r="H1197" s="53"/>
      <c r="I1197" s="92"/>
      <c r="J1197" s="266"/>
    </row>
    <row r="1198" spans="1:10" ht="15.75" x14ac:dyDescent="0.3">
      <c r="A1198" s="422"/>
      <c r="B1198" s="80" t="s">
        <v>440</v>
      </c>
      <c r="C1198" s="76">
        <v>175</v>
      </c>
      <c r="D1198" s="52">
        <v>3</v>
      </c>
      <c r="E1198" s="52">
        <f t="shared" ref="E1198:E1204" si="150">C1198/D1198</f>
        <v>58.333333333333336</v>
      </c>
      <c r="F1198" s="57">
        <v>343.22300000000001</v>
      </c>
      <c r="G1198" s="52">
        <v>7</v>
      </c>
      <c r="H1198" s="53">
        <f t="shared" ref="H1198" si="151">F1198/G1198</f>
        <v>49.031857142857142</v>
      </c>
      <c r="I1198" s="92">
        <f t="shared" ref="I1198" si="152">H1198/E1198</f>
        <v>0.84054612244897953</v>
      </c>
      <c r="J1198" s="266"/>
    </row>
    <row r="1199" spans="1:10" ht="15.75" x14ac:dyDescent="0.3">
      <c r="A1199" s="422"/>
      <c r="B1199" s="80" t="s">
        <v>159</v>
      </c>
      <c r="C1199" s="76">
        <v>280</v>
      </c>
      <c r="D1199" s="52">
        <v>4</v>
      </c>
      <c r="E1199" s="52">
        <f t="shared" si="150"/>
        <v>70</v>
      </c>
      <c r="F1199" s="57">
        <v>253.95300000000003</v>
      </c>
      <c r="G1199" s="52">
        <v>4</v>
      </c>
      <c r="H1199" s="53">
        <f>F1199/G1199</f>
        <v>63.488250000000008</v>
      </c>
      <c r="I1199" s="92">
        <f>H1199/E1199</f>
        <v>0.90697500000000009</v>
      </c>
      <c r="J1199" s="266"/>
    </row>
    <row r="1200" spans="1:10" ht="15.75" x14ac:dyDescent="0.3">
      <c r="A1200" s="422"/>
      <c r="B1200" s="80" t="s">
        <v>432</v>
      </c>
      <c r="C1200" s="76">
        <v>430</v>
      </c>
      <c r="D1200" s="52">
        <v>6</v>
      </c>
      <c r="E1200" s="52">
        <f t="shared" si="150"/>
        <v>71.666666666666671</v>
      </c>
      <c r="F1200" s="57">
        <v>141.267</v>
      </c>
      <c r="G1200" s="52">
        <v>2</v>
      </c>
      <c r="H1200" s="53">
        <f>F1200/G1200</f>
        <v>70.633499999999998</v>
      </c>
      <c r="I1200" s="92">
        <f>H1200/E1200</f>
        <v>0.9855837209302325</v>
      </c>
      <c r="J1200" s="266"/>
    </row>
    <row r="1201" spans="1:10" ht="15.75" x14ac:dyDescent="0.3">
      <c r="A1201" s="422"/>
      <c r="B1201" s="80" t="s">
        <v>441</v>
      </c>
      <c r="C1201" s="76">
        <v>120</v>
      </c>
      <c r="D1201" s="52">
        <v>2.5</v>
      </c>
      <c r="E1201" s="52">
        <f t="shared" si="150"/>
        <v>48</v>
      </c>
      <c r="F1201" s="57">
        <v>246.25700000000001</v>
      </c>
      <c r="G1201" s="52">
        <v>3.5</v>
      </c>
      <c r="H1201" s="53">
        <f t="shared" ref="H1201:H1202" si="153">F1201/G1201</f>
        <v>70.359142857142857</v>
      </c>
      <c r="I1201" s="92">
        <f t="shared" ref="I1201:I1202" si="154">H1201/E1201</f>
        <v>1.4658154761904763</v>
      </c>
      <c r="J1201" s="266"/>
    </row>
    <row r="1202" spans="1:10" ht="15.75" x14ac:dyDescent="0.3">
      <c r="A1202" s="422"/>
      <c r="B1202" s="80" t="s">
        <v>175</v>
      </c>
      <c r="C1202" s="76"/>
      <c r="D1202" s="52"/>
      <c r="E1202" s="52" t="e">
        <f t="shared" si="150"/>
        <v>#DIV/0!</v>
      </c>
      <c r="F1202" s="57">
        <v>18.66</v>
      </c>
      <c r="G1202" s="52">
        <v>0.5</v>
      </c>
      <c r="H1202" s="53">
        <f t="shared" si="153"/>
        <v>37.32</v>
      </c>
      <c r="I1202" s="92" t="e">
        <f t="shared" si="154"/>
        <v>#DIV/0!</v>
      </c>
      <c r="J1202" s="266"/>
    </row>
    <row r="1203" spans="1:10" ht="15.75" x14ac:dyDescent="0.3">
      <c r="A1203" s="422"/>
      <c r="B1203" s="80" t="s">
        <v>428</v>
      </c>
      <c r="C1203" s="76">
        <v>85</v>
      </c>
      <c r="D1203" s="52">
        <v>1</v>
      </c>
      <c r="E1203" s="52">
        <f t="shared" si="150"/>
        <v>85</v>
      </c>
      <c r="F1203" s="57">
        <v>180.07</v>
      </c>
      <c r="G1203" s="52">
        <v>2</v>
      </c>
      <c r="H1203" s="53">
        <f>F1203/G1203</f>
        <v>90.034999999999997</v>
      </c>
      <c r="I1203" s="92">
        <f>H1203/E1203</f>
        <v>1.0592352941176471</v>
      </c>
      <c r="J1203" s="266"/>
    </row>
    <row r="1204" spans="1:10" ht="15.75" x14ac:dyDescent="0.3">
      <c r="A1204" s="422"/>
      <c r="B1204" s="80" t="s">
        <v>446</v>
      </c>
      <c r="C1204" s="76">
        <v>200</v>
      </c>
      <c r="D1204" s="52">
        <v>2.5</v>
      </c>
      <c r="E1204" s="52">
        <f t="shared" si="150"/>
        <v>80</v>
      </c>
      <c r="F1204" s="52">
        <v>306.11099999999999</v>
      </c>
      <c r="G1204" s="52">
        <v>4</v>
      </c>
      <c r="H1204" s="53">
        <f>F1204/G1204</f>
        <v>76.527749999999997</v>
      </c>
      <c r="I1204" s="92">
        <f>H1204/E1204</f>
        <v>0.95659687500000001</v>
      </c>
      <c r="J1204" s="266"/>
    </row>
    <row r="1205" spans="1:10" ht="16.5" x14ac:dyDescent="0.35">
      <c r="A1205" s="422"/>
      <c r="B1205" s="59" t="s">
        <v>146</v>
      </c>
      <c r="C1205" s="61">
        <f>SUM(C1196:C1204)</f>
        <v>1290</v>
      </c>
      <c r="D1205" s="61">
        <f>SUM(D1196:D1204)</f>
        <v>19</v>
      </c>
      <c r="E1205" s="61"/>
      <c r="F1205" s="61">
        <f>SUM(F1196:F1204)</f>
        <v>1489.5410000000002</v>
      </c>
      <c r="G1205" s="63">
        <f>SUM(G1196:G1204)</f>
        <v>23</v>
      </c>
      <c r="H1205" s="64"/>
      <c r="I1205" s="92"/>
      <c r="J1205" s="266"/>
    </row>
    <row r="1206" spans="1:10" ht="15.75" x14ac:dyDescent="0.3">
      <c r="A1206" s="422"/>
      <c r="B1206" s="65" t="s">
        <v>148</v>
      </c>
      <c r="C1206" s="66"/>
      <c r="D1206" s="68">
        <f>30-D1205</f>
        <v>11</v>
      </c>
      <c r="E1206" s="67"/>
      <c r="F1206" s="67"/>
      <c r="G1206" s="81">
        <f>30-G1205</f>
        <v>7</v>
      </c>
      <c r="H1206" s="87"/>
      <c r="I1206" s="92"/>
      <c r="J1206" s="266"/>
    </row>
    <row r="1207" spans="1:10" ht="17.25" thickBot="1" x14ac:dyDescent="0.4">
      <c r="A1207" s="423"/>
      <c r="B1207" s="70" t="s">
        <v>149</v>
      </c>
      <c r="C1207" s="71">
        <f>SUM(C1196:C1204)</f>
        <v>1290</v>
      </c>
      <c r="D1207" s="71">
        <f>D1205+D1206</f>
        <v>30</v>
      </c>
      <c r="E1207" s="71"/>
      <c r="F1207" s="71">
        <f>SUM(F1196:F1204)</f>
        <v>1489.5410000000002</v>
      </c>
      <c r="G1207" s="71">
        <f>G1205+G1206</f>
        <v>30</v>
      </c>
      <c r="H1207" s="58"/>
      <c r="I1207" s="73">
        <f>F1207/C1207</f>
        <v>1.1546829457364343</v>
      </c>
      <c r="J1207" s="267"/>
    </row>
    <row r="1208" spans="1:10" ht="15.75" x14ac:dyDescent="0.3">
      <c r="A1208" s="406" t="s">
        <v>176</v>
      </c>
      <c r="B1208" s="80" t="s">
        <v>177</v>
      </c>
      <c r="C1208" s="76">
        <v>540</v>
      </c>
      <c r="D1208" s="52">
        <v>6</v>
      </c>
      <c r="E1208" s="52">
        <f t="shared" ref="E1208:E1213" si="155">C1208/D1208</f>
        <v>90</v>
      </c>
      <c r="F1208" s="51">
        <v>457.5</v>
      </c>
      <c r="G1208" s="93">
        <v>5.0999999999999996</v>
      </c>
      <c r="H1208" s="53">
        <f t="shared" ref="H1208:H1213" si="156">F1208/G1208</f>
        <v>89.705882352941188</v>
      </c>
      <c r="I1208" s="92">
        <f t="shared" ref="I1208:I1209" si="157">H1208/E1208</f>
        <v>0.99673202614379097</v>
      </c>
      <c r="J1208" s="268"/>
    </row>
    <row r="1209" spans="1:10" ht="15.75" x14ac:dyDescent="0.3">
      <c r="A1209" s="407"/>
      <c r="B1209" s="80" t="s">
        <v>442</v>
      </c>
      <c r="C1209" s="76">
        <v>840</v>
      </c>
      <c r="D1209" s="84">
        <v>8</v>
      </c>
      <c r="E1209" s="52">
        <f t="shared" si="155"/>
        <v>105</v>
      </c>
      <c r="F1209" s="93">
        <f>615+307.5</f>
        <v>922.5</v>
      </c>
      <c r="G1209" s="93">
        <v>9</v>
      </c>
      <c r="H1209" s="53">
        <f t="shared" si="156"/>
        <v>102.5</v>
      </c>
      <c r="I1209" s="92">
        <f t="shared" si="157"/>
        <v>0.97619047619047616</v>
      </c>
      <c r="J1209" s="269"/>
    </row>
    <row r="1210" spans="1:10" ht="15.75" x14ac:dyDescent="0.3">
      <c r="A1210" s="407"/>
      <c r="B1210" s="80" t="s">
        <v>429</v>
      </c>
      <c r="C1210" s="51"/>
      <c r="D1210" s="52"/>
      <c r="E1210" s="52" t="e">
        <f t="shared" si="155"/>
        <v>#DIV/0!</v>
      </c>
      <c r="F1210" s="51"/>
      <c r="G1210" s="93"/>
      <c r="H1210" s="53" t="e">
        <f t="shared" si="156"/>
        <v>#DIV/0!</v>
      </c>
      <c r="I1210" s="92" t="e">
        <f>H1210/E1210</f>
        <v>#DIV/0!</v>
      </c>
      <c r="J1210" s="269"/>
    </row>
    <row r="1211" spans="1:10" ht="15.75" x14ac:dyDescent="0.3">
      <c r="A1211" s="407"/>
      <c r="B1211" s="80" t="s">
        <v>233</v>
      </c>
      <c r="C1211" s="51">
        <v>180</v>
      </c>
      <c r="D1211" s="52">
        <v>2</v>
      </c>
      <c r="E1211" s="52">
        <f t="shared" si="155"/>
        <v>90</v>
      </c>
      <c r="F1211" s="51">
        <v>257.2</v>
      </c>
      <c r="G1211" s="93">
        <v>4</v>
      </c>
      <c r="H1211" s="53">
        <f t="shared" si="156"/>
        <v>64.3</v>
      </c>
      <c r="I1211" s="92">
        <f>H1211/E1211</f>
        <v>0.71444444444444444</v>
      </c>
      <c r="J1211" s="269"/>
    </row>
    <row r="1212" spans="1:10" ht="15.75" x14ac:dyDescent="0.3">
      <c r="A1212" s="407"/>
      <c r="B1212" s="80" t="s">
        <v>181</v>
      </c>
      <c r="C1212" s="51">
        <f>450*2</f>
        <v>900</v>
      </c>
      <c r="D1212" s="52">
        <v>10</v>
      </c>
      <c r="E1212" s="52">
        <f t="shared" si="155"/>
        <v>90</v>
      </c>
      <c r="F1212" s="51">
        <v>905</v>
      </c>
      <c r="G1212" s="93">
        <v>10</v>
      </c>
      <c r="H1212" s="53">
        <f t="shared" si="156"/>
        <v>90.5</v>
      </c>
      <c r="I1212" s="92">
        <f>H1212/E1212</f>
        <v>1.0055555555555555</v>
      </c>
      <c r="J1212" s="269"/>
    </row>
    <row r="1213" spans="1:10" ht="15.75" x14ac:dyDescent="0.3">
      <c r="A1213" s="407"/>
      <c r="B1213" s="121" t="s">
        <v>430</v>
      </c>
      <c r="C1213" s="94"/>
      <c r="D1213" s="86"/>
      <c r="E1213" s="52" t="e">
        <f t="shared" si="155"/>
        <v>#DIV/0!</v>
      </c>
      <c r="F1213" s="95"/>
      <c r="G1213" s="96"/>
      <c r="H1213" s="53" t="e">
        <f t="shared" si="156"/>
        <v>#DIV/0!</v>
      </c>
      <c r="I1213" s="92" t="e">
        <f>H1213/E1213</f>
        <v>#DIV/0!</v>
      </c>
      <c r="J1213" s="269"/>
    </row>
    <row r="1214" spans="1:10" ht="16.5" x14ac:dyDescent="0.35">
      <c r="A1214" s="407"/>
      <c r="B1214" s="59" t="s">
        <v>146</v>
      </c>
      <c r="C1214" s="60"/>
      <c r="D1214" s="61">
        <f>SUM(D1208:D1213)</f>
        <v>26</v>
      </c>
      <c r="E1214" s="61"/>
      <c r="F1214" s="62"/>
      <c r="G1214" s="61">
        <f>SUM(G1208:G1213)</f>
        <v>28.1</v>
      </c>
      <c r="H1214" s="61"/>
      <c r="I1214" s="92"/>
      <c r="J1214" s="269"/>
    </row>
    <row r="1215" spans="1:10" ht="15.75" x14ac:dyDescent="0.3">
      <c r="A1215" s="407"/>
      <c r="B1215" s="65" t="s">
        <v>148</v>
      </c>
      <c r="C1215" s="66"/>
      <c r="D1215" s="68">
        <f>30-D1214</f>
        <v>4</v>
      </c>
      <c r="E1215" s="67"/>
      <c r="F1215" s="67"/>
      <c r="G1215" s="68">
        <f>30-G1214</f>
        <v>1.8999999999999986</v>
      </c>
      <c r="H1215" s="97"/>
      <c r="I1215" s="92"/>
      <c r="J1215" s="269"/>
    </row>
    <row r="1216" spans="1:10" ht="17.25" thickBot="1" x14ac:dyDescent="0.4">
      <c r="A1216" s="408"/>
      <c r="B1216" s="70" t="s">
        <v>149</v>
      </c>
      <c r="C1216" s="71">
        <f>SUM(C1208:C1213)</f>
        <v>2460</v>
      </c>
      <c r="D1216" s="71">
        <f>D1215+D1214</f>
        <v>30</v>
      </c>
      <c r="E1216" s="98"/>
      <c r="F1216" s="71">
        <f>SUM(F1208:F1213)</f>
        <v>2542.1999999999998</v>
      </c>
      <c r="G1216" s="71">
        <f>G1215+G1214</f>
        <v>30</v>
      </c>
      <c r="H1216" s="99"/>
      <c r="I1216" s="73">
        <f>F1216/C1216</f>
        <v>1.0334146341463415</v>
      </c>
      <c r="J1216" s="270"/>
    </row>
    <row r="1217" spans="1:10" ht="15.75" x14ac:dyDescent="0.3">
      <c r="A1217" s="406" t="s">
        <v>183</v>
      </c>
      <c r="B1217" s="50" t="s">
        <v>77</v>
      </c>
      <c r="C1217" s="51">
        <f>550+450</f>
        <v>1000</v>
      </c>
      <c r="D1217" s="52">
        <v>5.5</v>
      </c>
      <c r="E1217" s="52">
        <f>C1217/D1217</f>
        <v>181.81818181818181</v>
      </c>
      <c r="F1217" s="51">
        <v>698.68399999999997</v>
      </c>
      <c r="G1217" s="93">
        <v>4</v>
      </c>
      <c r="H1217" s="96">
        <f>F1217/G1217</f>
        <v>174.67099999999999</v>
      </c>
      <c r="I1217" s="92"/>
      <c r="J1217" s="271"/>
    </row>
    <row r="1218" spans="1:10" ht="15.75" x14ac:dyDescent="0.3">
      <c r="A1218" s="407"/>
      <c r="B1218" s="50" t="s">
        <v>243</v>
      </c>
      <c r="C1218" s="51">
        <v>370</v>
      </c>
      <c r="D1218" s="52">
        <v>3</v>
      </c>
      <c r="E1218" s="52">
        <f>C1218/D1218</f>
        <v>123.33333333333333</v>
      </c>
      <c r="F1218" s="57"/>
      <c r="G1218" s="93"/>
      <c r="H1218" s="96" t="e">
        <f>F1218/G1218</f>
        <v>#DIV/0!</v>
      </c>
      <c r="I1218" s="92" t="e">
        <f>H1218/E1218</f>
        <v>#DIV/0!</v>
      </c>
      <c r="J1218" s="272"/>
    </row>
    <row r="1219" spans="1:10" ht="15.75" x14ac:dyDescent="0.3">
      <c r="A1219" s="407"/>
      <c r="B1219" s="50" t="s">
        <v>447</v>
      </c>
      <c r="C1219" s="51"/>
      <c r="D1219" s="52"/>
      <c r="E1219" s="52" t="e">
        <f>C1219/D1219</f>
        <v>#DIV/0!</v>
      </c>
      <c r="F1219" s="51">
        <v>295.73900000000003</v>
      </c>
      <c r="G1219" s="93">
        <v>2.5</v>
      </c>
      <c r="H1219" s="96">
        <f>F1219/G1219</f>
        <v>118.29560000000001</v>
      </c>
      <c r="I1219" s="92" t="e">
        <f>H1219/E1219</f>
        <v>#DIV/0!</v>
      </c>
      <c r="J1219" s="272"/>
    </row>
    <row r="1220" spans="1:10" ht="15.75" x14ac:dyDescent="0.3">
      <c r="A1220" s="407"/>
      <c r="B1220" s="50" t="s">
        <v>83</v>
      </c>
      <c r="C1220" s="51"/>
      <c r="D1220" s="52"/>
      <c r="E1220" s="52"/>
      <c r="F1220" s="51"/>
      <c r="G1220" s="93"/>
      <c r="H1220" s="96"/>
      <c r="I1220" s="92"/>
      <c r="J1220" s="272"/>
    </row>
    <row r="1221" spans="1:10" ht="15.75" x14ac:dyDescent="0.3">
      <c r="A1221" s="407"/>
      <c r="B1221" s="50" t="s">
        <v>365</v>
      </c>
      <c r="C1221" s="51"/>
      <c r="D1221" s="52"/>
      <c r="E1221" s="52" t="e">
        <f>C1221/D1221</f>
        <v>#DIV/0!</v>
      </c>
      <c r="F1221" s="51">
        <v>1876.9169999999999</v>
      </c>
      <c r="G1221" s="93">
        <v>10.5</v>
      </c>
      <c r="H1221" s="93">
        <f>F1221/G1221</f>
        <v>178.75399999999999</v>
      </c>
      <c r="I1221" s="92" t="e">
        <f>H1221/E1221</f>
        <v>#DIV/0!</v>
      </c>
      <c r="J1221" s="272"/>
    </row>
    <row r="1222" spans="1:10" ht="15.75" x14ac:dyDescent="0.3">
      <c r="A1222" s="424"/>
      <c r="B1222" s="56" t="s">
        <v>443</v>
      </c>
      <c r="C1222" s="57">
        <v>300</v>
      </c>
      <c r="D1222" s="58">
        <v>3</v>
      </c>
      <c r="E1222" s="52">
        <f>C1222/D1222</f>
        <v>100</v>
      </c>
      <c r="F1222" s="57">
        <v>484.02100000000002</v>
      </c>
      <c r="G1222" s="334">
        <v>3</v>
      </c>
      <c r="H1222" s="93">
        <f>F1222/G1222</f>
        <v>161.34033333333335</v>
      </c>
      <c r="I1222" s="92">
        <f>H1222/E1222</f>
        <v>1.6134033333333335</v>
      </c>
      <c r="J1222" s="272"/>
    </row>
    <row r="1223" spans="1:10" ht="15.75" x14ac:dyDescent="0.3">
      <c r="A1223" s="407"/>
      <c r="B1223" s="101" t="s">
        <v>423</v>
      </c>
      <c r="C1223" s="95">
        <v>1005</v>
      </c>
      <c r="D1223" s="102">
        <v>7</v>
      </c>
      <c r="E1223" s="52">
        <f>C1223/D1223</f>
        <v>143.57142857142858</v>
      </c>
      <c r="F1223" s="95">
        <v>442.49600000000004</v>
      </c>
      <c r="G1223" s="103">
        <v>3.5</v>
      </c>
      <c r="H1223" s="99">
        <f>F1223/G1223</f>
        <v>126.42742857142858</v>
      </c>
      <c r="I1223" s="92">
        <f>H1223/E1223</f>
        <v>0.88058905472636817</v>
      </c>
      <c r="J1223" s="272"/>
    </row>
    <row r="1224" spans="1:10" ht="16.5" x14ac:dyDescent="0.35">
      <c r="A1224" s="407"/>
      <c r="B1224" s="59" t="s">
        <v>146</v>
      </c>
      <c r="C1224" s="60"/>
      <c r="D1224" s="61">
        <f>SUM(D1217:D1223)</f>
        <v>18.5</v>
      </c>
      <c r="E1224" s="61"/>
      <c r="F1224" s="62"/>
      <c r="G1224" s="60">
        <f>SUM(G1217:G1223)</f>
        <v>23.5</v>
      </c>
      <c r="H1224" s="61"/>
      <c r="I1224" s="92"/>
      <c r="J1224" s="272"/>
    </row>
    <row r="1225" spans="1:10" ht="16.5" x14ac:dyDescent="0.35">
      <c r="A1225" s="407"/>
      <c r="B1225" s="130" t="s">
        <v>244</v>
      </c>
      <c r="C1225" s="131"/>
      <c r="D1225" s="132"/>
      <c r="E1225" s="133"/>
      <c r="F1225" s="133"/>
      <c r="G1225" s="132"/>
      <c r="H1225" s="134"/>
      <c r="I1225" s="92"/>
      <c r="J1225" s="272"/>
    </row>
    <row r="1226" spans="1:10" ht="15.75" x14ac:dyDescent="0.3">
      <c r="A1226" s="407"/>
      <c r="B1226" s="65" t="s">
        <v>148</v>
      </c>
      <c r="C1226" s="66"/>
      <c r="D1226" s="68">
        <f>30-D1225-D1224</f>
        <v>11.5</v>
      </c>
      <c r="E1226" s="67"/>
      <c r="F1226" s="67"/>
      <c r="G1226" s="81">
        <f>30-G1224-G1225</f>
        <v>6.5</v>
      </c>
      <c r="H1226" s="97"/>
      <c r="I1226" s="92"/>
      <c r="J1226" s="272"/>
    </row>
    <row r="1227" spans="1:10" ht="17.25" thickBot="1" x14ac:dyDescent="0.4">
      <c r="A1227" s="408"/>
      <c r="B1227" s="70" t="s">
        <v>149</v>
      </c>
      <c r="C1227" s="71">
        <f>SUM(C1217:C1223)</f>
        <v>2675</v>
      </c>
      <c r="D1227" s="71">
        <f>D1226+D1224</f>
        <v>30</v>
      </c>
      <c r="E1227" s="71"/>
      <c r="F1227" s="71">
        <f>SUM(F1217:F1223)</f>
        <v>3797.8570000000004</v>
      </c>
      <c r="G1227" s="104">
        <f>G1226+G1224+G1225</f>
        <v>30</v>
      </c>
      <c r="H1227" s="105"/>
      <c r="I1227" s="73">
        <f>F1227/C1227</f>
        <v>1.4197596261682244</v>
      </c>
      <c r="J1227" s="273"/>
    </row>
    <row r="1228" spans="1:10" ht="15.75" x14ac:dyDescent="0.3">
      <c r="A1228" s="406" t="s">
        <v>188</v>
      </c>
      <c r="B1228" s="106" t="s">
        <v>191</v>
      </c>
      <c r="C1228" s="76">
        <v>480</v>
      </c>
      <c r="D1228" s="84">
        <v>1.5</v>
      </c>
      <c r="E1228" s="52">
        <f>C1228/D1228</f>
        <v>320</v>
      </c>
      <c r="F1228" s="57"/>
      <c r="G1228" s="93"/>
      <c r="H1228" s="99" t="e">
        <f>F1228/G1228</f>
        <v>#DIV/0!</v>
      </c>
      <c r="I1228" s="107"/>
      <c r="J1228" s="271"/>
    </row>
    <row r="1229" spans="1:10" ht="15.75" x14ac:dyDescent="0.3">
      <c r="A1229" s="407"/>
      <c r="B1229" s="106" t="s">
        <v>79</v>
      </c>
      <c r="C1229" s="76"/>
      <c r="D1229" s="84"/>
      <c r="E1229" s="52"/>
      <c r="F1229" s="51"/>
      <c r="G1229" s="93"/>
      <c r="H1229" s="99"/>
      <c r="I1229" s="92"/>
      <c r="J1229" s="272"/>
    </row>
    <row r="1230" spans="1:10" ht="15.75" x14ac:dyDescent="0.3">
      <c r="A1230" s="407"/>
      <c r="B1230" s="106" t="s">
        <v>77</v>
      </c>
      <c r="C1230" s="76"/>
      <c r="D1230" s="84"/>
      <c r="E1230" s="52" t="e">
        <f t="shared" ref="E1230" si="158">C1230/D1230</f>
        <v>#DIV/0!</v>
      </c>
      <c r="F1230" s="51">
        <v>737.89300000000003</v>
      </c>
      <c r="G1230" s="93">
        <v>3.5</v>
      </c>
      <c r="H1230" s="99">
        <f>F1230/G1230</f>
        <v>210.82657142857144</v>
      </c>
      <c r="I1230" s="92" t="e">
        <f>H1230/E1230</f>
        <v>#DIV/0!</v>
      </c>
      <c r="J1230" s="272"/>
    </row>
    <row r="1231" spans="1:10" ht="15.75" x14ac:dyDescent="0.3">
      <c r="A1231" s="407"/>
      <c r="B1231" s="245" t="s">
        <v>365</v>
      </c>
      <c r="C1231" s="246">
        <v>3900</v>
      </c>
      <c r="D1231" s="84">
        <v>12</v>
      </c>
      <c r="E1231" s="52">
        <f>C1231/D1231</f>
        <v>325</v>
      </c>
      <c r="F1231" s="95">
        <v>592.428</v>
      </c>
      <c r="G1231" s="53">
        <v>2</v>
      </c>
      <c r="H1231" s="99">
        <f>F1231/G1231</f>
        <v>296.214</v>
      </c>
      <c r="I1231" s="92">
        <f>H1231/E1231</f>
        <v>0.91142769230769227</v>
      </c>
      <c r="J1231" s="272"/>
    </row>
    <row r="1232" spans="1:10" ht="16.5" x14ac:dyDescent="0.35">
      <c r="A1232" s="407"/>
      <c r="B1232" s="65" t="s">
        <v>189</v>
      </c>
      <c r="C1232" s="66"/>
      <c r="D1232" s="108">
        <f>30-SUM(D1228:D1231)</f>
        <v>16.5</v>
      </c>
      <c r="E1232" s="109"/>
      <c r="F1232" s="109"/>
      <c r="G1232" s="108">
        <f>30-SUM(G1228:G1231)</f>
        <v>24.5</v>
      </c>
      <c r="H1232" s="68"/>
      <c r="I1232" s="92"/>
      <c r="J1232" s="272"/>
    </row>
    <row r="1233" spans="1:10" ht="17.25" thickBot="1" x14ac:dyDescent="0.4">
      <c r="A1233" s="408"/>
      <c r="B1233" s="111" t="s">
        <v>149</v>
      </c>
      <c r="C1233" s="82">
        <f>SUM(C1228:C1232)</f>
        <v>4380</v>
      </c>
      <c r="D1233" s="82">
        <f>D1232+SUM(D1228:D1231)</f>
        <v>30</v>
      </c>
      <c r="E1233" s="82"/>
      <c r="F1233" s="82">
        <f>SUM(F1228:F1232)</f>
        <v>1330.3209999999999</v>
      </c>
      <c r="G1233" s="82">
        <f>G1232+SUM(G1228:G1231)</f>
        <v>30</v>
      </c>
      <c r="H1233" s="112"/>
      <c r="I1233" s="73">
        <f>F1233/C1233</f>
        <v>0.30372625570776252</v>
      </c>
      <c r="J1233" s="273"/>
    </row>
    <row r="1234" spans="1:10" ht="15.75" x14ac:dyDescent="0.3">
      <c r="A1234" s="406" t="s">
        <v>190</v>
      </c>
      <c r="B1234" s="50"/>
      <c r="C1234" s="51"/>
      <c r="D1234" s="52"/>
      <c r="E1234" s="52"/>
      <c r="F1234" s="51"/>
      <c r="G1234" s="93"/>
      <c r="H1234" s="99"/>
      <c r="I1234" s="92"/>
      <c r="J1234" s="271"/>
    </row>
    <row r="1235" spans="1:10" ht="15.75" x14ac:dyDescent="0.3">
      <c r="A1235" s="407"/>
      <c r="B1235" s="101" t="s">
        <v>206</v>
      </c>
      <c r="C1235" s="95">
        <f>119+204</f>
        <v>323</v>
      </c>
      <c r="D1235" s="102">
        <v>19</v>
      </c>
      <c r="E1235" s="86">
        <f>C1235/D1235</f>
        <v>17</v>
      </c>
      <c r="F1235" s="95">
        <v>442.79999999999984</v>
      </c>
      <c r="G1235" s="103">
        <f>F1235/18.45</f>
        <v>23.999999999999993</v>
      </c>
      <c r="H1235" s="99">
        <f>F1235/G1235</f>
        <v>18.45</v>
      </c>
      <c r="I1235" s="92">
        <f>H1235/E1235</f>
        <v>1.0852941176470587</v>
      </c>
      <c r="J1235" s="272"/>
    </row>
    <row r="1236" spans="1:10" ht="15.75" x14ac:dyDescent="0.3">
      <c r="A1236" s="407"/>
      <c r="B1236" s="101" t="s">
        <v>192</v>
      </c>
      <c r="C1236" s="114"/>
      <c r="D1236" s="102"/>
      <c r="E1236" s="86"/>
      <c r="F1236" s="95"/>
      <c r="G1236" s="103"/>
      <c r="H1236" s="99"/>
      <c r="I1236" s="92"/>
      <c r="J1236" s="272"/>
    </row>
    <row r="1237" spans="1:10" ht="16.5" x14ac:dyDescent="0.35">
      <c r="A1237" s="407"/>
      <c r="B1237" s="59" t="s">
        <v>146</v>
      </c>
      <c r="C1237" s="60"/>
      <c r="D1237" s="61">
        <f>SUM(D1235:D1236)</f>
        <v>19</v>
      </c>
      <c r="E1237" s="61"/>
      <c r="F1237" s="62"/>
      <c r="G1237" s="61">
        <f>SUM(G1235:G1236)</f>
        <v>23.999999999999993</v>
      </c>
      <c r="H1237" s="61"/>
      <c r="I1237" s="92"/>
      <c r="J1237" s="272"/>
    </row>
    <row r="1238" spans="1:10" ht="15.75" x14ac:dyDescent="0.3">
      <c r="A1238" s="407"/>
      <c r="B1238" s="65" t="s">
        <v>148</v>
      </c>
      <c r="C1238" s="66"/>
      <c r="D1238" s="68">
        <f>30-D1237</f>
        <v>11</v>
      </c>
      <c r="E1238" s="67"/>
      <c r="F1238" s="67"/>
      <c r="G1238" s="81">
        <f>30-G1237</f>
        <v>6.0000000000000071</v>
      </c>
      <c r="H1238" s="97"/>
      <c r="I1238" s="92"/>
      <c r="J1238" s="272"/>
    </row>
    <row r="1239" spans="1:10" ht="17.25" thickBot="1" x14ac:dyDescent="0.4">
      <c r="A1239" s="408"/>
      <c r="B1239" s="70" t="s">
        <v>149</v>
      </c>
      <c r="C1239" s="71">
        <f>SUM(C1235:C1236)</f>
        <v>323</v>
      </c>
      <c r="D1239" s="71">
        <f>D1238+D1237</f>
        <v>30</v>
      </c>
      <c r="E1239" s="71"/>
      <c r="F1239" s="71">
        <f>SUM(F1235:F1236)</f>
        <v>442.79999999999984</v>
      </c>
      <c r="G1239" s="71">
        <f>G1238+G1237</f>
        <v>30</v>
      </c>
      <c r="H1239" s="105"/>
      <c r="I1239" s="73">
        <f>F1239/C1239</f>
        <v>1.3708978328173369</v>
      </c>
      <c r="J1239" s="273"/>
    </row>
    <row r="1240" spans="1:10" ht="19.5" x14ac:dyDescent="0.3">
      <c r="A1240" s="355"/>
      <c r="B1240" s="101" t="s">
        <v>373</v>
      </c>
      <c r="C1240" s="95"/>
      <c r="D1240" s="102"/>
      <c r="E1240" s="86" t="e">
        <f>C1240/D1240</f>
        <v>#DIV/0!</v>
      </c>
      <c r="F1240" s="95"/>
      <c r="G1240" s="103"/>
      <c r="H1240" s="86"/>
      <c r="I1240" s="92"/>
      <c r="J1240" s="271"/>
    </row>
    <row r="1241" spans="1:10" ht="15.75" x14ac:dyDescent="0.3">
      <c r="A1241" s="407" t="s">
        <v>194</v>
      </c>
      <c r="B1241" s="101" t="s">
        <v>370</v>
      </c>
      <c r="C1241" s="95">
        <v>610</v>
      </c>
      <c r="D1241" s="102">
        <v>12.5</v>
      </c>
      <c r="E1241" s="86">
        <f>C1241/D1241</f>
        <v>48.8</v>
      </c>
      <c r="F1241" s="95">
        <v>523.8130000000001</v>
      </c>
      <c r="G1241" s="103">
        <v>9</v>
      </c>
      <c r="H1241" s="86">
        <f>F1241/G1241</f>
        <v>58.201444444444455</v>
      </c>
      <c r="I1241" s="92">
        <f>H1241/E1241</f>
        <v>1.192652550091075</v>
      </c>
      <c r="J1241" s="272"/>
    </row>
    <row r="1242" spans="1:10" ht="15.75" x14ac:dyDescent="0.3">
      <c r="A1242" s="407"/>
      <c r="B1242" s="101" t="s">
        <v>444</v>
      </c>
      <c r="C1242" s="114">
        <v>200</v>
      </c>
      <c r="D1242" s="102">
        <v>4</v>
      </c>
      <c r="E1242" s="86">
        <f>C1242/D1242</f>
        <v>50</v>
      </c>
      <c r="F1242" s="103">
        <v>427.82</v>
      </c>
      <c r="G1242" s="103">
        <v>5</v>
      </c>
      <c r="H1242" s="86">
        <f>F1242/G1242</f>
        <v>85.563999999999993</v>
      </c>
      <c r="I1242" s="92">
        <f>H1242/E1242</f>
        <v>1.7112799999999999</v>
      </c>
      <c r="J1242" s="272"/>
    </row>
    <row r="1243" spans="1:10" ht="16.5" x14ac:dyDescent="0.35">
      <c r="A1243" s="407"/>
      <c r="B1243" s="59" t="s">
        <v>146</v>
      </c>
      <c r="C1243" s="60"/>
      <c r="D1243" s="61">
        <f>SUM(D1240:D1242)</f>
        <v>16.5</v>
      </c>
      <c r="E1243" s="61"/>
      <c r="F1243" s="62"/>
      <c r="G1243" s="61">
        <f>SUM(G1240:G1242)</f>
        <v>14</v>
      </c>
      <c r="H1243" s="61"/>
      <c r="I1243" s="92"/>
      <c r="J1243" s="272"/>
    </row>
    <row r="1244" spans="1:10" ht="15.75" x14ac:dyDescent="0.3">
      <c r="A1244" s="407"/>
      <c r="B1244" s="65" t="s">
        <v>148</v>
      </c>
      <c r="C1244" s="66"/>
      <c r="D1244" s="68">
        <f>30-D1243</f>
        <v>13.5</v>
      </c>
      <c r="E1244" s="67"/>
      <c r="F1244" s="67"/>
      <c r="G1244" s="81">
        <f>30-G1243</f>
        <v>16</v>
      </c>
      <c r="H1244" s="97"/>
      <c r="I1244" s="92"/>
      <c r="J1244" s="272"/>
    </row>
    <row r="1245" spans="1:10" ht="17.25" thickBot="1" x14ac:dyDescent="0.4">
      <c r="A1245" s="408"/>
      <c r="B1245" s="70" t="s">
        <v>149</v>
      </c>
      <c r="C1245" s="71">
        <f>SUM(C1240:C1242)</f>
        <v>810</v>
      </c>
      <c r="D1245" s="71">
        <f>D1244+D1243</f>
        <v>30</v>
      </c>
      <c r="E1245" s="71"/>
      <c r="F1245" s="71">
        <f>SUM(F1240:F1242)</f>
        <v>951.63300000000004</v>
      </c>
      <c r="G1245" s="71">
        <f>G1244+G1243</f>
        <v>30</v>
      </c>
      <c r="H1245" s="105"/>
      <c r="I1245" s="73">
        <f>F1245/C1245</f>
        <v>1.1748555555555555</v>
      </c>
      <c r="J1245" s="273"/>
    </row>
    <row r="1247" spans="1:10" ht="21" x14ac:dyDescent="0.4">
      <c r="A1247" s="37" t="s">
        <v>445</v>
      </c>
      <c r="B1247" s="37"/>
      <c r="C1247" s="37"/>
      <c r="D1247" s="37"/>
      <c r="E1247" s="37"/>
      <c r="F1247" s="37"/>
      <c r="G1247" s="37"/>
      <c r="H1247" s="37"/>
      <c r="I1247" s="37"/>
    </row>
    <row r="1248" spans="1:10" ht="17.25" thickBot="1" x14ac:dyDescent="0.4">
      <c r="A1248" s="40"/>
      <c r="B1248" s="41"/>
      <c r="C1248" s="42"/>
      <c r="D1248" s="42"/>
      <c r="E1248" s="42"/>
      <c r="F1248" s="42"/>
      <c r="G1248" s="42"/>
      <c r="H1248" s="42"/>
      <c r="I1248" s="42"/>
    </row>
    <row r="1249" spans="1:10" ht="16.5" x14ac:dyDescent="0.35">
      <c r="A1249" s="409" t="s">
        <v>128</v>
      </c>
      <c r="B1249" s="44"/>
      <c r="C1249" s="45"/>
      <c r="D1249" s="45"/>
      <c r="E1249" s="45"/>
      <c r="F1249" s="45"/>
      <c r="G1249" s="411" t="s">
        <v>129</v>
      </c>
      <c r="H1249" s="359"/>
      <c r="I1249" s="413" t="s">
        <v>130</v>
      </c>
      <c r="J1249" s="257" t="s">
        <v>131</v>
      </c>
    </row>
    <row r="1250" spans="1:10" ht="66.75" thickBot="1" x14ac:dyDescent="0.3">
      <c r="A1250" s="410"/>
      <c r="B1250" s="46"/>
      <c r="C1250" s="47" t="s">
        <v>132</v>
      </c>
      <c r="D1250" s="48" t="s">
        <v>133</v>
      </c>
      <c r="E1250" s="48" t="s">
        <v>134</v>
      </c>
      <c r="F1250" s="49" t="s">
        <v>135</v>
      </c>
      <c r="G1250" s="412"/>
      <c r="H1250" s="48" t="s">
        <v>136</v>
      </c>
      <c r="I1250" s="414"/>
      <c r="J1250" s="258"/>
    </row>
    <row r="1251" spans="1:10" ht="15.75" x14ac:dyDescent="0.3">
      <c r="A1251" s="415" t="s">
        <v>137</v>
      </c>
      <c r="B1251" s="50" t="s">
        <v>340</v>
      </c>
      <c r="C1251" s="51">
        <f>1200+780+920+200</f>
        <v>3100</v>
      </c>
      <c r="D1251" s="123">
        <f>3+6.5+1</f>
        <v>10.5</v>
      </c>
      <c r="E1251" s="52">
        <f t="shared" ref="E1251:E1256" si="159">C1251/D1251</f>
        <v>295.23809523809524</v>
      </c>
      <c r="F1251" s="51">
        <v>3648.529</v>
      </c>
      <c r="G1251" s="53">
        <v>13</v>
      </c>
      <c r="H1251" s="53">
        <f>F1251/G1251</f>
        <v>280.65607692307691</v>
      </c>
      <c r="I1251" s="54">
        <f t="shared" ref="I1251:I1256" si="160">H1251/E1251</f>
        <v>0.95060929280397022</v>
      </c>
      <c r="J1251" s="259"/>
    </row>
    <row r="1252" spans="1:10" ht="15.75" x14ac:dyDescent="0.3">
      <c r="A1252" s="416"/>
      <c r="B1252" s="56" t="s">
        <v>140</v>
      </c>
      <c r="C1252" s="57">
        <v>500</v>
      </c>
      <c r="D1252" s="53">
        <v>3</v>
      </c>
      <c r="E1252" s="52">
        <f t="shared" si="159"/>
        <v>166.66666666666666</v>
      </c>
      <c r="F1252" s="57">
        <v>782.35800000000006</v>
      </c>
      <c r="G1252" s="53">
        <v>5</v>
      </c>
      <c r="H1252" s="53">
        <f t="shared" ref="H1252:H1256" si="161">F1252/G1252</f>
        <v>156.47160000000002</v>
      </c>
      <c r="I1252" s="54">
        <f t="shared" si="160"/>
        <v>0.93882960000000015</v>
      </c>
      <c r="J1252" s="260"/>
    </row>
    <row r="1253" spans="1:10" ht="15.75" x14ac:dyDescent="0.3">
      <c r="A1253" s="416"/>
      <c r="B1253" s="56" t="s">
        <v>325</v>
      </c>
      <c r="C1253" s="57">
        <v>600</v>
      </c>
      <c r="D1253" s="58">
        <v>3</v>
      </c>
      <c r="E1253" s="52">
        <f t="shared" si="159"/>
        <v>200</v>
      </c>
      <c r="F1253" s="57">
        <v>695.46</v>
      </c>
      <c r="G1253" s="53">
        <v>4</v>
      </c>
      <c r="H1253" s="53">
        <f t="shared" si="161"/>
        <v>173.86500000000001</v>
      </c>
      <c r="I1253" s="54">
        <f t="shared" si="160"/>
        <v>0.86932500000000001</v>
      </c>
      <c r="J1253" s="260"/>
    </row>
    <row r="1254" spans="1:10" ht="15.75" x14ac:dyDescent="0.3">
      <c r="A1254" s="416"/>
      <c r="B1254" s="56" t="s">
        <v>143</v>
      </c>
      <c r="C1254" s="57">
        <v>225</v>
      </c>
      <c r="D1254" s="58">
        <v>2.5</v>
      </c>
      <c r="E1254" s="52">
        <f t="shared" si="159"/>
        <v>90</v>
      </c>
      <c r="F1254" s="57">
        <v>253.53999999999996</v>
      </c>
      <c r="G1254" s="53">
        <v>3</v>
      </c>
      <c r="H1254" s="53">
        <f t="shared" si="161"/>
        <v>84.513333333333321</v>
      </c>
      <c r="I1254" s="54">
        <f t="shared" si="160"/>
        <v>0.93903703703703689</v>
      </c>
      <c r="J1254" s="260"/>
    </row>
    <row r="1255" spans="1:10" ht="15.75" x14ac:dyDescent="0.3">
      <c r="A1255" s="416"/>
      <c r="B1255" s="56" t="s">
        <v>400</v>
      </c>
      <c r="C1255" s="57"/>
      <c r="D1255" s="58"/>
      <c r="E1255" s="52" t="e">
        <f t="shared" si="159"/>
        <v>#DIV/0!</v>
      </c>
      <c r="F1255" s="57"/>
      <c r="G1255" s="53"/>
      <c r="H1255" s="53" t="e">
        <f t="shared" si="161"/>
        <v>#DIV/0!</v>
      </c>
      <c r="I1255" s="54" t="e">
        <f t="shared" si="160"/>
        <v>#DIV/0!</v>
      </c>
      <c r="J1255" s="260"/>
    </row>
    <row r="1256" spans="1:10" ht="15.75" x14ac:dyDescent="0.3">
      <c r="A1256" s="416"/>
      <c r="B1256" s="56" t="s">
        <v>145</v>
      </c>
      <c r="C1256" s="57"/>
      <c r="D1256" s="58"/>
      <c r="E1256" s="52" t="e">
        <f t="shared" si="159"/>
        <v>#DIV/0!</v>
      </c>
      <c r="F1256" s="57"/>
      <c r="G1256" s="53"/>
      <c r="H1256" s="53" t="e">
        <f t="shared" si="161"/>
        <v>#DIV/0!</v>
      </c>
      <c r="I1256" s="54" t="e">
        <f t="shared" si="160"/>
        <v>#DIV/0!</v>
      </c>
      <c r="J1256" s="260"/>
    </row>
    <row r="1257" spans="1:10" ht="15.75" x14ac:dyDescent="0.3">
      <c r="A1257" s="416"/>
      <c r="B1257" s="50"/>
      <c r="C1257" s="57"/>
      <c r="D1257" s="58"/>
      <c r="E1257" s="52"/>
      <c r="F1257" s="57"/>
      <c r="G1257" s="53"/>
      <c r="H1257" s="53"/>
      <c r="I1257" s="53"/>
      <c r="J1257" s="260"/>
    </row>
    <row r="1258" spans="1:10" ht="16.5" x14ac:dyDescent="0.35">
      <c r="A1258" s="416"/>
      <c r="B1258" s="59" t="s">
        <v>146</v>
      </c>
      <c r="C1258" s="60"/>
      <c r="D1258" s="61">
        <f>SUM(D1251:D1257)</f>
        <v>19</v>
      </c>
      <c r="E1258" s="61"/>
      <c r="F1258" s="62"/>
      <c r="G1258" s="63">
        <f>SUM(G1251:G1257)</f>
        <v>25</v>
      </c>
      <c r="H1258" s="64"/>
      <c r="I1258" s="53"/>
      <c r="J1258" s="260"/>
    </row>
    <row r="1259" spans="1:10" ht="16.5" x14ac:dyDescent="0.35">
      <c r="A1259" s="416"/>
      <c r="B1259" s="59" t="s">
        <v>147</v>
      </c>
      <c r="C1259" s="60"/>
      <c r="D1259" s="61"/>
      <c r="E1259" s="62"/>
      <c r="F1259" s="62"/>
      <c r="G1259" s="63"/>
      <c r="H1259" s="64"/>
      <c r="I1259" s="53"/>
      <c r="J1259" s="260"/>
    </row>
    <row r="1260" spans="1:10" ht="15.75" x14ac:dyDescent="0.3">
      <c r="A1260" s="416"/>
      <c r="B1260" s="65" t="s">
        <v>148</v>
      </c>
      <c r="C1260" s="66"/>
      <c r="D1260" s="68">
        <f>31-D1259-D1258</f>
        <v>12</v>
      </c>
      <c r="E1260" s="67"/>
      <c r="F1260" s="67"/>
      <c r="G1260" s="68">
        <f>31-G1259-G1258</f>
        <v>6</v>
      </c>
      <c r="H1260" s="69"/>
      <c r="I1260" s="53"/>
      <c r="J1260" s="260"/>
    </row>
    <row r="1261" spans="1:10" ht="17.25" thickBot="1" x14ac:dyDescent="0.4">
      <c r="A1261" s="417"/>
      <c r="B1261" s="70" t="s">
        <v>149</v>
      </c>
      <c r="C1261" s="71">
        <f>SUM(C1251:C1256)</f>
        <v>4425</v>
      </c>
      <c r="D1261" s="71">
        <f>D1258+D1259+D1260</f>
        <v>31</v>
      </c>
      <c r="E1261" s="71">
        <f>E1258+E1259+E1260</f>
        <v>0</v>
      </c>
      <c r="F1261" s="72">
        <f>SUM(F1251:F1257)</f>
        <v>5379.8869999999997</v>
      </c>
      <c r="G1261" s="71">
        <f>G1258+G1259+G1260</f>
        <v>31</v>
      </c>
      <c r="H1261" s="71"/>
      <c r="I1261" s="73">
        <f>F1261/C1261</f>
        <v>1.215793672316384</v>
      </c>
      <c r="J1261" s="261"/>
    </row>
    <row r="1262" spans="1:10" ht="15.75" x14ac:dyDescent="0.3">
      <c r="A1262" s="421" t="s">
        <v>150</v>
      </c>
      <c r="B1262" s="50" t="s">
        <v>154</v>
      </c>
      <c r="C1262" s="76">
        <v>150</v>
      </c>
      <c r="D1262" s="52">
        <v>2</v>
      </c>
      <c r="E1262" s="52">
        <f>C1262/D1262</f>
        <v>75</v>
      </c>
      <c r="F1262" s="51">
        <f>178.041+254</f>
        <v>432.041</v>
      </c>
      <c r="G1262" s="52">
        <v>5</v>
      </c>
      <c r="H1262" s="241">
        <f>F1262/G1262</f>
        <v>86.408199999999994</v>
      </c>
      <c r="I1262" s="92">
        <f>H1262/E1262</f>
        <v>1.1521093333333332</v>
      </c>
      <c r="J1262" s="262"/>
    </row>
    <row r="1263" spans="1:10" ht="15.75" x14ac:dyDescent="0.3">
      <c r="A1263" s="422"/>
      <c r="B1263" s="50" t="s">
        <v>366</v>
      </c>
      <c r="C1263" s="76">
        <v>2816</v>
      </c>
      <c r="D1263" s="52">
        <v>12</v>
      </c>
      <c r="E1263" s="52">
        <f>C1263/D1263</f>
        <v>234.66666666666666</v>
      </c>
      <c r="F1263" s="52">
        <f>355.905+1886.59+1535.66</f>
        <v>3778.1549999999997</v>
      </c>
      <c r="G1263" s="127">
        <v>13</v>
      </c>
      <c r="H1263" s="241">
        <f>F1263/G1263</f>
        <v>290.62730769230768</v>
      </c>
      <c r="I1263" s="92">
        <f>H1263/E1263</f>
        <v>1.2384686407342658</v>
      </c>
      <c r="J1263" s="263"/>
    </row>
    <row r="1264" spans="1:10" ht="15.75" x14ac:dyDescent="0.3">
      <c r="A1264" s="422"/>
      <c r="B1264" s="50" t="s">
        <v>155</v>
      </c>
      <c r="C1264" s="57">
        <v>540</v>
      </c>
      <c r="D1264" s="58">
        <v>4</v>
      </c>
      <c r="E1264" s="52">
        <f>C1264/D1264</f>
        <v>135</v>
      </c>
      <c r="F1264" s="57">
        <v>220.08800000000002</v>
      </c>
      <c r="G1264" s="52">
        <v>2</v>
      </c>
      <c r="H1264" s="241">
        <f>F1264/G1264</f>
        <v>110.04400000000001</v>
      </c>
      <c r="I1264" s="92">
        <f>H1264/E1264</f>
        <v>0.81514074074074083</v>
      </c>
      <c r="J1264" s="263"/>
    </row>
    <row r="1265" spans="1:10" ht="15.75" x14ac:dyDescent="0.3">
      <c r="A1265" s="422"/>
      <c r="B1265" s="78" t="s">
        <v>368</v>
      </c>
      <c r="C1265" s="51">
        <v>465</v>
      </c>
      <c r="D1265" s="52">
        <v>7</v>
      </c>
      <c r="E1265" s="52">
        <f>C1265/D1265</f>
        <v>66.428571428571431</v>
      </c>
      <c r="F1265" s="79">
        <f>112.92+176.8+184.91+87.1</f>
        <v>561.73</v>
      </c>
      <c r="G1265" s="127">
        <v>9</v>
      </c>
      <c r="H1265" s="241">
        <f>F1265/G1265</f>
        <v>62.414444444444449</v>
      </c>
      <c r="I1265" s="92">
        <f>H1265/E1265</f>
        <v>0.93957228195937881</v>
      </c>
      <c r="J1265" s="263"/>
    </row>
    <row r="1266" spans="1:10" ht="15.75" x14ac:dyDescent="0.3">
      <c r="A1266" s="422"/>
      <c r="B1266" s="78" t="s">
        <v>415</v>
      </c>
      <c r="C1266" s="51"/>
      <c r="D1266" s="90"/>
      <c r="E1266" s="52" t="e">
        <f>C1266/D1266</f>
        <v>#DIV/0!</v>
      </c>
      <c r="F1266" s="51">
        <v>19.405000000000001</v>
      </c>
      <c r="G1266" s="52">
        <v>0.5</v>
      </c>
      <c r="H1266" s="241">
        <f>F1266/G1266</f>
        <v>38.81</v>
      </c>
      <c r="I1266" s="92" t="e">
        <f>H1266/E1266</f>
        <v>#DIV/0!</v>
      </c>
      <c r="J1266" s="263"/>
    </row>
    <row r="1267" spans="1:10" ht="15.75" x14ac:dyDescent="0.3">
      <c r="A1267" s="422"/>
      <c r="B1267" s="78" t="s">
        <v>327</v>
      </c>
      <c r="C1267" s="51"/>
      <c r="D1267" s="52"/>
      <c r="E1267" s="52"/>
      <c r="F1267" s="52"/>
      <c r="G1267" s="52"/>
      <c r="H1267" s="241"/>
      <c r="I1267" s="92"/>
      <c r="J1267" s="263"/>
    </row>
    <row r="1268" spans="1:10" ht="15.75" x14ac:dyDescent="0.3">
      <c r="A1268" s="422"/>
      <c r="B1268" s="78" t="s">
        <v>402</v>
      </c>
      <c r="C1268" s="76"/>
      <c r="D1268" s="84"/>
      <c r="E1268" s="52"/>
      <c r="F1268" s="52"/>
      <c r="G1268" s="52"/>
      <c r="H1268" s="241" t="e">
        <f>F1268/G1268</f>
        <v>#DIV/0!</v>
      </c>
      <c r="I1268" s="92"/>
      <c r="J1268" s="263"/>
    </row>
    <row r="1269" spans="1:10" ht="15.75" x14ac:dyDescent="0.3">
      <c r="A1269" s="422"/>
      <c r="B1269" s="78" t="s">
        <v>401</v>
      </c>
      <c r="C1269" s="76"/>
      <c r="D1269" s="84"/>
      <c r="E1269" s="52"/>
      <c r="F1269" s="344"/>
      <c r="G1269" s="52"/>
      <c r="H1269" s="241"/>
      <c r="I1269" s="92"/>
      <c r="J1269" s="263"/>
    </row>
    <row r="1270" spans="1:10" ht="15.75" x14ac:dyDescent="0.3">
      <c r="A1270" s="422"/>
      <c r="B1270" s="78" t="s">
        <v>328</v>
      </c>
      <c r="C1270" s="51"/>
      <c r="D1270" s="52"/>
      <c r="E1270" s="52"/>
      <c r="F1270" s="79"/>
      <c r="G1270" s="52"/>
      <c r="H1270" s="241" t="e">
        <f>F1270/G1270</f>
        <v>#DIV/0!</v>
      </c>
      <c r="I1270" s="92"/>
      <c r="J1270" s="263"/>
    </row>
    <row r="1271" spans="1:10" ht="15.75" x14ac:dyDescent="0.3">
      <c r="A1271" s="422"/>
      <c r="B1271" s="78" t="s">
        <v>416</v>
      </c>
      <c r="C1271" s="51"/>
      <c r="D1271" s="52"/>
      <c r="E1271" s="52" t="e">
        <f>C1271/D1271</f>
        <v>#DIV/0!</v>
      </c>
      <c r="F1271" s="51"/>
      <c r="G1271" s="52"/>
      <c r="H1271" s="241" t="e">
        <f>F1271/G1271</f>
        <v>#DIV/0!</v>
      </c>
      <c r="I1271" s="92" t="e">
        <f>H1271/E1271</f>
        <v>#DIV/0!</v>
      </c>
      <c r="J1271" s="263"/>
    </row>
    <row r="1272" spans="1:10" ht="16.5" x14ac:dyDescent="0.35">
      <c r="A1272" s="422"/>
      <c r="B1272" s="59" t="s">
        <v>146</v>
      </c>
      <c r="C1272" s="60"/>
      <c r="D1272" s="63">
        <f>SUM(D1262:D1271)</f>
        <v>25</v>
      </c>
      <c r="E1272" s="61"/>
      <c r="F1272" s="62"/>
      <c r="G1272" s="63">
        <f>SUM(G1262:G1271)</f>
        <v>29.5</v>
      </c>
      <c r="H1272" s="63"/>
      <c r="I1272" s="99"/>
      <c r="J1272" s="263"/>
    </row>
    <row r="1273" spans="1:10" ht="15.75" x14ac:dyDescent="0.3">
      <c r="A1273" s="422"/>
      <c r="B1273" s="65" t="s">
        <v>148</v>
      </c>
      <c r="C1273" s="66"/>
      <c r="D1273" s="81">
        <f>31-D1272</f>
        <v>6</v>
      </c>
      <c r="E1273" s="67"/>
      <c r="F1273" s="67"/>
      <c r="G1273" s="81">
        <f>31-G1272</f>
        <v>1.5</v>
      </c>
      <c r="H1273" s="243"/>
      <c r="I1273" s="112"/>
      <c r="J1273" s="263"/>
    </row>
    <row r="1274" spans="1:10" ht="17.25" thickBot="1" x14ac:dyDescent="0.4">
      <c r="A1274" s="423"/>
      <c r="B1274" s="70" t="s">
        <v>149</v>
      </c>
      <c r="C1274" s="71">
        <f>SUM(C1262:C1271)</f>
        <v>3971</v>
      </c>
      <c r="D1274" s="71">
        <f>D1272+D1273</f>
        <v>31</v>
      </c>
      <c r="E1274" s="71">
        <f>E1272+E1273</f>
        <v>0</v>
      </c>
      <c r="F1274" s="71">
        <f>SUM(F1262:F1271)</f>
        <v>5011.418999999999</v>
      </c>
      <c r="G1274" s="71">
        <f t="shared" ref="G1274" si="162">G1272+G1273</f>
        <v>31</v>
      </c>
      <c r="H1274" s="82"/>
      <c r="I1274" s="73">
        <f>F1274/C1274</f>
        <v>1.2620042810375218</v>
      </c>
      <c r="J1274" s="264"/>
    </row>
    <row r="1275" spans="1:10" ht="15.75" x14ac:dyDescent="0.3">
      <c r="A1275" s="421" t="s">
        <v>161</v>
      </c>
      <c r="B1275" s="50" t="s">
        <v>199</v>
      </c>
      <c r="C1275" s="51"/>
      <c r="D1275" s="83"/>
      <c r="E1275" s="52" t="e">
        <f>C1275/D1275</f>
        <v>#DIV/0!</v>
      </c>
      <c r="F1275" s="51">
        <v>237.50399999999996</v>
      </c>
      <c r="G1275" s="83">
        <v>4</v>
      </c>
      <c r="H1275" s="53">
        <f t="shared" ref="H1275" si="163">F1275/G1275</f>
        <v>59.375999999999991</v>
      </c>
      <c r="I1275" s="92" t="e">
        <f t="shared" ref="I1275" si="164">H1275/E1275</f>
        <v>#DIV/0!</v>
      </c>
      <c r="J1275" s="265"/>
    </row>
    <row r="1276" spans="1:10" ht="15.75" x14ac:dyDescent="0.3">
      <c r="A1276" s="422"/>
      <c r="B1276" s="50" t="s">
        <v>399</v>
      </c>
      <c r="C1276" s="76">
        <v>300</v>
      </c>
      <c r="D1276" s="84">
        <v>3</v>
      </c>
      <c r="E1276" s="52">
        <f>C1276/D1276</f>
        <v>100</v>
      </c>
      <c r="F1276" s="51">
        <v>326.42399999999998</v>
      </c>
      <c r="G1276" s="52">
        <v>6</v>
      </c>
      <c r="H1276" s="53">
        <f t="shared" ref="H1276:H1277" si="165">F1276/G1276</f>
        <v>54.403999999999996</v>
      </c>
      <c r="I1276" s="92">
        <f t="shared" ref="I1276:I1277" si="166">H1276/E1276</f>
        <v>0.54403999999999997</v>
      </c>
      <c r="J1276" s="266"/>
    </row>
    <row r="1277" spans="1:10" ht="15.75" x14ac:dyDescent="0.3">
      <c r="A1277" s="422"/>
      <c r="B1277" s="50" t="s">
        <v>448</v>
      </c>
      <c r="C1277" s="76">
        <v>370</v>
      </c>
      <c r="D1277" s="84">
        <v>3</v>
      </c>
      <c r="E1277" s="52">
        <f t="shared" ref="E1277:E1279" si="167">C1277/D1277</f>
        <v>123.33333333333333</v>
      </c>
      <c r="F1277" s="57">
        <v>204.596</v>
      </c>
      <c r="G1277" s="52">
        <v>2</v>
      </c>
      <c r="H1277" s="53">
        <f t="shared" si="165"/>
        <v>102.298</v>
      </c>
      <c r="I1277" s="92">
        <f t="shared" si="166"/>
        <v>0.82944324324324326</v>
      </c>
      <c r="J1277" s="266"/>
    </row>
    <row r="1278" spans="1:10" ht="15.75" x14ac:dyDescent="0.3">
      <c r="A1278" s="422"/>
      <c r="B1278" s="50" t="s">
        <v>418</v>
      </c>
      <c r="C1278" s="76"/>
      <c r="D1278" s="84"/>
      <c r="E1278" s="52" t="e">
        <f t="shared" si="167"/>
        <v>#DIV/0!</v>
      </c>
      <c r="F1278" s="57"/>
      <c r="G1278" s="90"/>
      <c r="H1278" s="241" t="e">
        <f>F1278/G1278</f>
        <v>#DIV/0!</v>
      </c>
      <c r="I1278" s="92"/>
      <c r="J1278" s="266"/>
    </row>
    <row r="1279" spans="1:10" ht="15.75" x14ac:dyDescent="0.3">
      <c r="A1279" s="422"/>
      <c r="B1279" s="50" t="s">
        <v>420</v>
      </c>
      <c r="C1279" s="76"/>
      <c r="D1279" s="84"/>
      <c r="E1279" s="52" t="e">
        <f t="shared" si="167"/>
        <v>#DIV/0!</v>
      </c>
      <c r="F1279" s="79"/>
      <c r="G1279" s="90"/>
      <c r="H1279" s="241" t="e">
        <f>F1279/G1279</f>
        <v>#DIV/0!</v>
      </c>
      <c r="I1279" s="92"/>
      <c r="J1279" s="266"/>
    </row>
    <row r="1280" spans="1:10" ht="15.75" x14ac:dyDescent="0.3">
      <c r="A1280" s="422"/>
      <c r="B1280" s="50" t="s">
        <v>417</v>
      </c>
      <c r="C1280" s="76"/>
      <c r="D1280" s="84"/>
      <c r="E1280" s="52" t="e">
        <f t="shared" ref="E1280:E1281" si="168">C1280/D1280</f>
        <v>#DIV/0!</v>
      </c>
      <c r="F1280" s="344"/>
      <c r="G1280" s="90"/>
      <c r="H1280" s="241" t="e">
        <f>F1280/G1280</f>
        <v>#DIV/0!</v>
      </c>
      <c r="I1280" s="92"/>
      <c r="J1280" s="266"/>
    </row>
    <row r="1281" spans="1:10" ht="15.75" x14ac:dyDescent="0.3">
      <c r="A1281" s="422"/>
      <c r="B1281" s="50" t="s">
        <v>383</v>
      </c>
      <c r="C1281" s="76"/>
      <c r="D1281" s="52"/>
      <c r="E1281" s="52" t="e">
        <f t="shared" si="168"/>
        <v>#DIV/0!</v>
      </c>
      <c r="F1281" s="51"/>
      <c r="G1281" s="90"/>
      <c r="H1281" s="241" t="e">
        <f>F1281/G1281</f>
        <v>#DIV/0!</v>
      </c>
      <c r="I1281" s="92" t="e">
        <f t="shared" ref="I1281" si="169">H1281/E1281</f>
        <v>#DIV/0!</v>
      </c>
      <c r="J1281" s="266"/>
    </row>
    <row r="1282" spans="1:10" ht="15.75" x14ac:dyDescent="0.3">
      <c r="A1282" s="422"/>
      <c r="B1282" s="50" t="s">
        <v>232</v>
      </c>
      <c r="C1282" s="76"/>
      <c r="D1282" s="84"/>
      <c r="E1282" s="52"/>
      <c r="F1282" s="51"/>
      <c r="G1282" s="52"/>
      <c r="H1282" s="53" t="e">
        <f t="shared" ref="H1282:H1287" si="170">F1282/G1282</f>
        <v>#DIV/0!</v>
      </c>
      <c r="I1282" s="92"/>
      <c r="J1282" s="266"/>
    </row>
    <row r="1283" spans="1:10" ht="15.75" x14ac:dyDescent="0.3">
      <c r="A1283" s="422"/>
      <c r="B1283" s="50" t="s">
        <v>404</v>
      </c>
      <c r="C1283" s="76"/>
      <c r="D1283" s="84"/>
      <c r="E1283" s="52"/>
      <c r="F1283" s="51"/>
      <c r="G1283" s="52"/>
      <c r="H1283" s="53" t="e">
        <f t="shared" si="170"/>
        <v>#DIV/0!</v>
      </c>
      <c r="I1283" s="92"/>
      <c r="J1283" s="266"/>
    </row>
    <row r="1284" spans="1:10" ht="15.75" x14ac:dyDescent="0.3">
      <c r="A1284" s="422"/>
      <c r="B1284" s="50" t="s">
        <v>167</v>
      </c>
      <c r="C1284" s="76">
        <v>120</v>
      </c>
      <c r="D1284" s="84">
        <v>2</v>
      </c>
      <c r="E1284" s="52">
        <f t="shared" ref="E1284:E1285" si="171">C1284/D1284</f>
        <v>60</v>
      </c>
      <c r="F1284" s="57">
        <v>378.12999999999994</v>
      </c>
      <c r="G1284" s="52">
        <v>5</v>
      </c>
      <c r="H1284" s="53">
        <f t="shared" si="170"/>
        <v>75.625999999999991</v>
      </c>
      <c r="I1284" s="92">
        <f t="shared" ref="I1284:I1286" si="172">H1284/E1284</f>
        <v>1.2604333333333331</v>
      </c>
      <c r="J1284" s="266"/>
    </row>
    <row r="1285" spans="1:10" ht="15.75" x14ac:dyDescent="0.3">
      <c r="A1285" s="422"/>
      <c r="B1285" s="50" t="s">
        <v>419</v>
      </c>
      <c r="C1285" s="76">
        <v>200</v>
      </c>
      <c r="D1285" s="84">
        <v>3</v>
      </c>
      <c r="E1285" s="52">
        <f t="shared" si="171"/>
        <v>66.666666666666671</v>
      </c>
      <c r="F1285" s="57">
        <v>190.26600000000002</v>
      </c>
      <c r="G1285" s="52">
        <v>2</v>
      </c>
      <c r="H1285" s="53">
        <f t="shared" si="170"/>
        <v>95.13300000000001</v>
      </c>
      <c r="I1285" s="92">
        <f t="shared" si="172"/>
        <v>1.426995</v>
      </c>
      <c r="J1285" s="266"/>
    </row>
    <row r="1286" spans="1:10" ht="15.75" x14ac:dyDescent="0.3">
      <c r="A1286" s="422"/>
      <c r="B1286" s="50" t="s">
        <v>431</v>
      </c>
      <c r="C1286" s="76"/>
      <c r="D1286" s="84"/>
      <c r="E1286" s="52"/>
      <c r="F1286" s="57"/>
      <c r="G1286" s="90"/>
      <c r="H1286" s="53" t="e">
        <f t="shared" si="170"/>
        <v>#DIV/0!</v>
      </c>
      <c r="I1286" s="92" t="e">
        <f t="shared" si="172"/>
        <v>#DIV/0!</v>
      </c>
      <c r="J1286" s="266"/>
    </row>
    <row r="1287" spans="1:10" ht="15.75" x14ac:dyDescent="0.3">
      <c r="A1287" s="422"/>
      <c r="B1287" s="50" t="s">
        <v>398</v>
      </c>
      <c r="C1287" s="76"/>
      <c r="D1287" s="84"/>
      <c r="E1287" s="52" t="e">
        <f>C1287/D1287</f>
        <v>#DIV/0!</v>
      </c>
      <c r="F1287" s="57"/>
      <c r="G1287" s="52"/>
      <c r="H1287" s="53" t="e">
        <f t="shared" si="170"/>
        <v>#DIV/0!</v>
      </c>
      <c r="I1287" s="92" t="e">
        <f>H1287/E1287</f>
        <v>#DIV/0!</v>
      </c>
      <c r="J1287" s="266"/>
    </row>
    <row r="1288" spans="1:10" ht="16.5" x14ac:dyDescent="0.35">
      <c r="A1288" s="422"/>
      <c r="B1288" s="59" t="s">
        <v>146</v>
      </c>
      <c r="C1288" s="61">
        <f>SUM(C1275:C1287)</f>
        <v>990</v>
      </c>
      <c r="D1288" s="61">
        <f t="shared" ref="D1288" si="173">SUM(D1275:D1287)</f>
        <v>11</v>
      </c>
      <c r="E1288" s="61"/>
      <c r="F1288" s="61">
        <f t="shared" ref="F1288:G1288" si="174">SUM(F1275:F1287)</f>
        <v>1336.9199999999998</v>
      </c>
      <c r="G1288" s="61">
        <f t="shared" si="174"/>
        <v>19</v>
      </c>
      <c r="H1288" s="61"/>
      <c r="I1288" s="92"/>
      <c r="J1288" s="266"/>
    </row>
    <row r="1289" spans="1:10" ht="15.75" x14ac:dyDescent="0.3">
      <c r="A1289" s="422"/>
      <c r="B1289" s="65" t="s">
        <v>148</v>
      </c>
      <c r="C1289" s="66"/>
      <c r="D1289" s="67">
        <f>31-D1288</f>
        <v>20</v>
      </c>
      <c r="E1289" s="67"/>
      <c r="F1289" s="67"/>
      <c r="G1289" s="67">
        <f>31-G1288</f>
        <v>12</v>
      </c>
      <c r="H1289" s="87"/>
      <c r="I1289" s="92"/>
      <c r="J1289" s="266"/>
    </row>
    <row r="1290" spans="1:10" ht="17.25" thickBot="1" x14ac:dyDescent="0.4">
      <c r="A1290" s="423"/>
      <c r="B1290" s="70" t="s">
        <v>149</v>
      </c>
      <c r="C1290" s="71">
        <f>SUM(C1275:C1287)</f>
        <v>990</v>
      </c>
      <c r="D1290" s="71">
        <f>D1288+D1289</f>
        <v>31</v>
      </c>
      <c r="E1290" s="71"/>
      <c r="F1290" s="71">
        <f>SUM(F1275:F1287)</f>
        <v>1336.9199999999998</v>
      </c>
      <c r="G1290" s="71">
        <f>G1289+G1288</f>
        <v>31</v>
      </c>
      <c r="H1290" s="82"/>
      <c r="I1290" s="73">
        <f>F1290/C1290</f>
        <v>1.3504242424242423</v>
      </c>
      <c r="J1290" s="267"/>
    </row>
    <row r="1291" spans="1:10" ht="15.75" x14ac:dyDescent="0.3">
      <c r="A1291" s="421" t="s">
        <v>169</v>
      </c>
      <c r="B1291" s="88" t="s">
        <v>170</v>
      </c>
      <c r="C1291" s="89">
        <v>120</v>
      </c>
      <c r="D1291" s="52">
        <v>2</v>
      </c>
      <c r="E1291" s="52">
        <f>C1291/D1291</f>
        <v>60</v>
      </c>
      <c r="F1291" s="51">
        <v>132.74299999999999</v>
      </c>
      <c r="G1291" s="52">
        <v>2</v>
      </c>
      <c r="H1291" s="53">
        <f>F1291/G1291</f>
        <v>66.371499999999997</v>
      </c>
      <c r="I1291" s="92">
        <f>H1291/E1291</f>
        <v>1.1061916666666667</v>
      </c>
      <c r="J1291" s="265"/>
    </row>
    <row r="1292" spans="1:10" ht="15.75" x14ac:dyDescent="0.3">
      <c r="A1292" s="422"/>
      <c r="B1292" s="244" t="s">
        <v>331</v>
      </c>
      <c r="C1292" s="51">
        <v>450</v>
      </c>
      <c r="D1292" s="52">
        <v>7</v>
      </c>
      <c r="E1292" s="52">
        <f>C1292/D1292</f>
        <v>64.285714285714292</v>
      </c>
      <c r="F1292" s="51">
        <v>448.70200000000006</v>
      </c>
      <c r="G1292" s="52">
        <v>6.5</v>
      </c>
      <c r="H1292" s="53">
        <f>F1292/G1292</f>
        <v>69.031076923076938</v>
      </c>
      <c r="I1292" s="92">
        <f>H1292/E1292</f>
        <v>1.0738167521367523</v>
      </c>
      <c r="J1292" s="266"/>
    </row>
    <row r="1293" spans="1:10" ht="15.75" x14ac:dyDescent="0.3">
      <c r="A1293" s="422"/>
      <c r="B1293" s="80" t="s">
        <v>440</v>
      </c>
      <c r="C1293" s="76"/>
      <c r="D1293" s="52"/>
      <c r="E1293" s="52" t="e">
        <f t="shared" ref="E1293:E1299" si="175">C1293/D1293</f>
        <v>#DIV/0!</v>
      </c>
      <c r="F1293" s="57">
        <v>26.103000000000002</v>
      </c>
      <c r="G1293" s="52">
        <v>0.5</v>
      </c>
      <c r="H1293" s="53">
        <f t="shared" ref="H1293" si="176">F1293/G1293</f>
        <v>52.206000000000003</v>
      </c>
      <c r="I1293" s="92" t="e">
        <f t="shared" ref="I1293" si="177">H1293/E1293</f>
        <v>#DIV/0!</v>
      </c>
      <c r="J1293" s="266"/>
    </row>
    <row r="1294" spans="1:10" ht="15.75" x14ac:dyDescent="0.3">
      <c r="A1294" s="422"/>
      <c r="B1294" s="80" t="s">
        <v>449</v>
      </c>
      <c r="C1294" s="76">
        <v>723</v>
      </c>
      <c r="D1294" s="52">
        <v>10</v>
      </c>
      <c r="E1294" s="52">
        <f t="shared" si="175"/>
        <v>72.3</v>
      </c>
      <c r="F1294" s="57">
        <f>456.14+139.664+211.96</f>
        <v>807.76400000000001</v>
      </c>
      <c r="G1294" s="52">
        <v>10.5</v>
      </c>
      <c r="H1294" s="53">
        <f>F1294/G1294</f>
        <v>76.929904761904766</v>
      </c>
      <c r="I1294" s="92">
        <f>H1294/E1294</f>
        <v>1.0640374102614767</v>
      </c>
      <c r="J1294" s="266"/>
    </row>
    <row r="1295" spans="1:10" ht="15.75" x14ac:dyDescent="0.3">
      <c r="A1295" s="422"/>
      <c r="B1295" s="80" t="s">
        <v>432</v>
      </c>
      <c r="C1295" s="76"/>
      <c r="D1295" s="52"/>
      <c r="E1295" s="52" t="e">
        <f t="shared" si="175"/>
        <v>#DIV/0!</v>
      </c>
      <c r="F1295" s="57"/>
      <c r="G1295" s="52"/>
      <c r="H1295" s="53" t="e">
        <f>F1295/G1295</f>
        <v>#DIV/0!</v>
      </c>
      <c r="I1295" s="92" t="e">
        <f>H1295/E1295</f>
        <v>#DIV/0!</v>
      </c>
      <c r="J1295" s="266"/>
    </row>
    <row r="1296" spans="1:10" ht="15.75" x14ac:dyDescent="0.3">
      <c r="A1296" s="422"/>
      <c r="B1296" s="80" t="s">
        <v>441</v>
      </c>
      <c r="C1296" s="76"/>
      <c r="D1296" s="52"/>
      <c r="E1296" s="52" t="e">
        <f t="shared" si="175"/>
        <v>#DIV/0!</v>
      </c>
      <c r="F1296" s="57"/>
      <c r="G1296" s="52"/>
      <c r="H1296" s="53" t="e">
        <f t="shared" ref="H1296:H1297" si="178">F1296/G1296</f>
        <v>#DIV/0!</v>
      </c>
      <c r="I1296" s="92" t="e">
        <f t="shared" ref="I1296:I1297" si="179">H1296/E1296</f>
        <v>#DIV/0!</v>
      </c>
      <c r="J1296" s="266"/>
    </row>
    <row r="1297" spans="1:10" ht="15.75" x14ac:dyDescent="0.3">
      <c r="A1297" s="422"/>
      <c r="B1297" s="80" t="s">
        <v>175</v>
      </c>
      <c r="C1297" s="76"/>
      <c r="D1297" s="52"/>
      <c r="E1297" s="52" t="e">
        <f t="shared" si="175"/>
        <v>#DIV/0!</v>
      </c>
      <c r="F1297" s="57"/>
      <c r="G1297" s="52"/>
      <c r="H1297" s="53" t="e">
        <f t="shared" si="178"/>
        <v>#DIV/0!</v>
      </c>
      <c r="I1297" s="92" t="e">
        <f t="shared" si="179"/>
        <v>#DIV/0!</v>
      </c>
      <c r="J1297" s="266"/>
    </row>
    <row r="1298" spans="1:10" ht="15.75" x14ac:dyDescent="0.3">
      <c r="A1298" s="422"/>
      <c r="B1298" s="80" t="s">
        <v>428</v>
      </c>
      <c r="C1298" s="76"/>
      <c r="D1298" s="52"/>
      <c r="E1298" s="52" t="e">
        <f t="shared" si="175"/>
        <v>#DIV/0!</v>
      </c>
      <c r="F1298" s="57"/>
      <c r="G1298" s="52"/>
      <c r="H1298" s="53" t="e">
        <f>F1298/G1298</f>
        <v>#DIV/0!</v>
      </c>
      <c r="I1298" s="92" t="e">
        <f>H1298/E1298</f>
        <v>#DIV/0!</v>
      </c>
      <c r="J1298" s="266"/>
    </row>
    <row r="1299" spans="1:10" ht="15.75" x14ac:dyDescent="0.3">
      <c r="A1299" s="422"/>
      <c r="B1299" s="80" t="s">
        <v>450</v>
      </c>
      <c r="C1299" s="76">
        <v>445</v>
      </c>
      <c r="D1299" s="52">
        <v>7</v>
      </c>
      <c r="E1299" s="52">
        <f t="shared" si="175"/>
        <v>63.571428571428569</v>
      </c>
      <c r="F1299" s="52">
        <f>128.697+256.46</f>
        <v>385.15699999999998</v>
      </c>
      <c r="G1299" s="52">
        <v>6</v>
      </c>
      <c r="H1299" s="53">
        <f>F1299/G1299</f>
        <v>64.192833333333326</v>
      </c>
      <c r="I1299" s="92">
        <f>H1299/E1299</f>
        <v>1.0097749063670411</v>
      </c>
      <c r="J1299" s="266"/>
    </row>
    <row r="1300" spans="1:10" ht="16.5" x14ac:dyDescent="0.35">
      <c r="A1300" s="422"/>
      <c r="B1300" s="59" t="s">
        <v>146</v>
      </c>
      <c r="C1300" s="61">
        <f>SUM(C1291:C1299)</f>
        <v>1738</v>
      </c>
      <c r="D1300" s="61">
        <f>SUM(D1291:D1299)</f>
        <v>26</v>
      </c>
      <c r="E1300" s="61"/>
      <c r="F1300" s="61">
        <f>SUM(F1291:F1299)</f>
        <v>1800.4689999999998</v>
      </c>
      <c r="G1300" s="63">
        <f>SUM(G1291:G1299)</f>
        <v>25.5</v>
      </c>
      <c r="H1300" s="64"/>
      <c r="I1300" s="92"/>
      <c r="J1300" s="266"/>
    </row>
    <row r="1301" spans="1:10" ht="15.75" x14ac:dyDescent="0.3">
      <c r="A1301" s="422"/>
      <c r="B1301" s="65" t="s">
        <v>148</v>
      </c>
      <c r="C1301" s="66"/>
      <c r="D1301" s="68">
        <f>31-D1300</f>
        <v>5</v>
      </c>
      <c r="E1301" s="67"/>
      <c r="F1301" s="67"/>
      <c r="G1301" s="68">
        <f>31-G1300</f>
        <v>5.5</v>
      </c>
      <c r="H1301" s="87"/>
      <c r="I1301" s="92"/>
      <c r="J1301" s="266"/>
    </row>
    <row r="1302" spans="1:10" ht="17.25" thickBot="1" x14ac:dyDescent="0.4">
      <c r="A1302" s="423"/>
      <c r="B1302" s="70" t="s">
        <v>149</v>
      </c>
      <c r="C1302" s="71">
        <f>SUM(C1291:C1299)</f>
        <v>1738</v>
      </c>
      <c r="D1302" s="71">
        <f>D1300+D1301</f>
        <v>31</v>
      </c>
      <c r="E1302" s="71"/>
      <c r="F1302" s="71">
        <f>SUM(F1291:F1299)</f>
        <v>1800.4689999999998</v>
      </c>
      <c r="G1302" s="71">
        <f>G1300+G1301</f>
        <v>31</v>
      </c>
      <c r="H1302" s="58"/>
      <c r="I1302" s="73">
        <f>F1302/C1302</f>
        <v>1.0359430379746835</v>
      </c>
      <c r="J1302" s="267"/>
    </row>
    <row r="1303" spans="1:10" ht="15.75" x14ac:dyDescent="0.3">
      <c r="A1303" s="406" t="s">
        <v>176</v>
      </c>
      <c r="B1303" s="80" t="s">
        <v>177</v>
      </c>
      <c r="C1303" s="76">
        <v>610</v>
      </c>
      <c r="D1303" s="52">
        <v>7.5</v>
      </c>
      <c r="E1303" s="52">
        <f t="shared" ref="E1303:E1308" si="180">C1303/D1303</f>
        <v>81.333333333333329</v>
      </c>
      <c r="F1303" s="51">
        <v>487.5</v>
      </c>
      <c r="G1303" s="93">
        <v>5.5</v>
      </c>
      <c r="H1303" s="53">
        <f t="shared" ref="H1303:H1308" si="181">F1303/G1303</f>
        <v>88.63636363636364</v>
      </c>
      <c r="I1303" s="92">
        <f t="shared" ref="I1303:I1304" si="182">H1303/E1303</f>
        <v>1.0897913561847989</v>
      </c>
      <c r="J1303" s="268"/>
    </row>
    <row r="1304" spans="1:10" ht="15.75" x14ac:dyDescent="0.3">
      <c r="A1304" s="407"/>
      <c r="B1304" s="80" t="s">
        <v>442</v>
      </c>
      <c r="C1304" s="76">
        <v>565</v>
      </c>
      <c r="D1304" s="84">
        <v>6</v>
      </c>
      <c r="E1304" s="52">
        <f t="shared" si="180"/>
        <v>94.166666666666671</v>
      </c>
      <c r="F1304" s="93">
        <f>360+862.5</f>
        <v>1222.5</v>
      </c>
      <c r="G1304" s="93">
        <v>12</v>
      </c>
      <c r="H1304" s="53">
        <f t="shared" si="181"/>
        <v>101.875</v>
      </c>
      <c r="I1304" s="92">
        <f t="shared" si="182"/>
        <v>1.081858407079646</v>
      </c>
      <c r="J1304" s="269"/>
    </row>
    <row r="1305" spans="1:10" ht="15.75" x14ac:dyDescent="0.3">
      <c r="A1305" s="407"/>
      <c r="B1305" s="80" t="s">
        <v>429</v>
      </c>
      <c r="C1305" s="51"/>
      <c r="D1305" s="52"/>
      <c r="E1305" s="52" t="e">
        <f t="shared" si="180"/>
        <v>#DIV/0!</v>
      </c>
      <c r="F1305" s="51"/>
      <c r="G1305" s="93"/>
      <c r="H1305" s="53" t="e">
        <f t="shared" si="181"/>
        <v>#DIV/0!</v>
      </c>
      <c r="I1305" s="92" t="e">
        <f>H1305/E1305</f>
        <v>#DIV/0!</v>
      </c>
      <c r="J1305" s="269"/>
    </row>
    <row r="1306" spans="1:10" ht="15.75" x14ac:dyDescent="0.3">
      <c r="A1306" s="407"/>
      <c r="B1306" s="80" t="s">
        <v>233</v>
      </c>
      <c r="C1306" s="51">
        <v>570</v>
      </c>
      <c r="D1306" s="52">
        <v>9</v>
      </c>
      <c r="E1306" s="52">
        <f t="shared" si="180"/>
        <v>63.333333333333336</v>
      </c>
      <c r="F1306" s="51">
        <v>299</v>
      </c>
      <c r="G1306" s="93">
        <v>5</v>
      </c>
      <c r="H1306" s="53">
        <f t="shared" si="181"/>
        <v>59.8</v>
      </c>
      <c r="I1306" s="92">
        <f>H1306/E1306</f>
        <v>0.94421052631578939</v>
      </c>
      <c r="J1306" s="269"/>
    </row>
    <row r="1307" spans="1:10" ht="15.75" x14ac:dyDescent="0.3">
      <c r="A1307" s="407"/>
      <c r="B1307" s="80" t="s">
        <v>181</v>
      </c>
      <c r="C1307" s="51">
        <v>450</v>
      </c>
      <c r="D1307" s="52">
        <v>5</v>
      </c>
      <c r="E1307" s="52">
        <f t="shared" si="180"/>
        <v>90</v>
      </c>
      <c r="F1307" s="51">
        <v>396</v>
      </c>
      <c r="G1307" s="93">
        <v>5</v>
      </c>
      <c r="H1307" s="53">
        <f t="shared" si="181"/>
        <v>79.2</v>
      </c>
      <c r="I1307" s="92">
        <f>H1307/E1307</f>
        <v>0.88</v>
      </c>
      <c r="J1307" s="269"/>
    </row>
    <row r="1308" spans="1:10" ht="15.75" x14ac:dyDescent="0.3">
      <c r="A1308" s="407"/>
      <c r="B1308" s="121" t="s">
        <v>430</v>
      </c>
      <c r="C1308" s="94"/>
      <c r="D1308" s="86"/>
      <c r="E1308" s="52" t="e">
        <f t="shared" si="180"/>
        <v>#DIV/0!</v>
      </c>
      <c r="F1308" s="95"/>
      <c r="G1308" s="96"/>
      <c r="H1308" s="53" t="e">
        <f t="shared" si="181"/>
        <v>#DIV/0!</v>
      </c>
      <c r="I1308" s="92" t="e">
        <f>H1308/E1308</f>
        <v>#DIV/0!</v>
      </c>
      <c r="J1308" s="269"/>
    </row>
    <row r="1309" spans="1:10" ht="16.5" x14ac:dyDescent="0.35">
      <c r="A1309" s="407"/>
      <c r="B1309" s="59" t="s">
        <v>146</v>
      </c>
      <c r="C1309" s="60"/>
      <c r="D1309" s="61">
        <f>SUM(D1303:D1308)</f>
        <v>27.5</v>
      </c>
      <c r="E1309" s="61"/>
      <c r="F1309" s="62"/>
      <c r="G1309" s="61">
        <f>SUM(G1303:G1308)</f>
        <v>27.5</v>
      </c>
      <c r="H1309" s="61"/>
      <c r="I1309" s="92"/>
      <c r="J1309" s="269"/>
    </row>
    <row r="1310" spans="1:10" ht="15.75" x14ac:dyDescent="0.3">
      <c r="A1310" s="407"/>
      <c r="B1310" s="65" t="s">
        <v>148</v>
      </c>
      <c r="C1310" s="66"/>
      <c r="D1310" s="68">
        <f>31-D1309</f>
        <v>3.5</v>
      </c>
      <c r="E1310" s="67"/>
      <c r="F1310" s="67"/>
      <c r="G1310" s="68">
        <f>31-G1309</f>
        <v>3.5</v>
      </c>
      <c r="H1310" s="97"/>
      <c r="I1310" s="92"/>
      <c r="J1310" s="269"/>
    </row>
    <row r="1311" spans="1:10" ht="17.25" thickBot="1" x14ac:dyDescent="0.4">
      <c r="A1311" s="408"/>
      <c r="B1311" s="70" t="s">
        <v>149</v>
      </c>
      <c r="C1311" s="71">
        <f>SUM(C1303:C1308)</f>
        <v>2195</v>
      </c>
      <c r="D1311" s="71">
        <f>D1310+D1309</f>
        <v>31</v>
      </c>
      <c r="E1311" s="98"/>
      <c r="F1311" s="71">
        <f>SUM(F1303:F1308)</f>
        <v>2405</v>
      </c>
      <c r="G1311" s="71">
        <f>G1310+G1309</f>
        <v>31</v>
      </c>
      <c r="H1311" s="99"/>
      <c r="I1311" s="73">
        <f>F1311/C1311</f>
        <v>1.0956719817767653</v>
      </c>
      <c r="J1311" s="270"/>
    </row>
    <row r="1312" spans="1:10" ht="15.75" x14ac:dyDescent="0.3">
      <c r="A1312" s="406" t="s">
        <v>183</v>
      </c>
      <c r="B1312" s="50" t="s">
        <v>77</v>
      </c>
      <c r="C1312" s="51">
        <v>630</v>
      </c>
      <c r="D1312" s="52">
        <v>4</v>
      </c>
      <c r="E1312" s="52">
        <f t="shared" ref="E1312:E1317" si="183">C1312/D1312</f>
        <v>157.5</v>
      </c>
      <c r="F1312" s="51">
        <v>501.529</v>
      </c>
      <c r="G1312" s="93">
        <v>3.5</v>
      </c>
      <c r="H1312" s="96">
        <f>F1312/G1312</f>
        <v>143.29400000000001</v>
      </c>
      <c r="I1312" s="92">
        <f>H1312/E1312</f>
        <v>0.90980317460317472</v>
      </c>
      <c r="J1312" s="271"/>
    </row>
    <row r="1313" spans="1:10" ht="15.75" x14ac:dyDescent="0.3">
      <c r="A1313" s="407"/>
      <c r="B1313" s="50" t="s">
        <v>243</v>
      </c>
      <c r="C1313" s="51">
        <v>480</v>
      </c>
      <c r="D1313" s="52">
        <v>4</v>
      </c>
      <c r="E1313" s="52">
        <f t="shared" si="183"/>
        <v>120</v>
      </c>
      <c r="F1313" s="57">
        <v>203.95000000000002</v>
      </c>
      <c r="G1313" s="93">
        <v>3</v>
      </c>
      <c r="H1313" s="96">
        <f>F1313/G1313</f>
        <v>67.983333333333334</v>
      </c>
      <c r="I1313" s="92">
        <f>H1313/E1313</f>
        <v>0.56652777777777774</v>
      </c>
      <c r="J1313" s="272"/>
    </row>
    <row r="1314" spans="1:10" ht="15.75" x14ac:dyDescent="0.3">
      <c r="A1314" s="407"/>
      <c r="B1314" s="50" t="s">
        <v>184</v>
      </c>
      <c r="C1314" s="51">
        <v>1320</v>
      </c>
      <c r="D1314" s="52">
        <v>8</v>
      </c>
      <c r="E1314" s="52">
        <f t="shared" si="183"/>
        <v>165</v>
      </c>
      <c r="F1314" s="51">
        <v>1390.5570000000002</v>
      </c>
      <c r="G1314" s="93">
        <v>8</v>
      </c>
      <c r="H1314" s="96">
        <f>F1314/G1314</f>
        <v>173.81962500000003</v>
      </c>
      <c r="I1314" s="92">
        <f>H1314/E1314</f>
        <v>1.0534522727272728</v>
      </c>
      <c r="J1314" s="272"/>
    </row>
    <row r="1315" spans="1:10" ht="15.75" x14ac:dyDescent="0.3">
      <c r="A1315" s="407"/>
      <c r="B1315" s="50" t="s">
        <v>447</v>
      </c>
      <c r="C1315" s="51">
        <v>250</v>
      </c>
      <c r="D1315" s="52">
        <v>2</v>
      </c>
      <c r="E1315" s="52">
        <f t="shared" si="183"/>
        <v>125</v>
      </c>
      <c r="F1315" s="51">
        <v>402.15499999999997</v>
      </c>
      <c r="G1315" s="93">
        <v>3</v>
      </c>
      <c r="H1315" s="96">
        <f t="shared" ref="H1315" si="184">F1315/G1315</f>
        <v>134.05166666666665</v>
      </c>
      <c r="I1315" s="92">
        <f t="shared" ref="I1315" si="185">H1315/E1315</f>
        <v>1.0724133333333332</v>
      </c>
      <c r="J1315" s="272"/>
    </row>
    <row r="1316" spans="1:10" ht="15.75" x14ac:dyDescent="0.3">
      <c r="A1316" s="407"/>
      <c r="B1316" s="50" t="s">
        <v>365</v>
      </c>
      <c r="C1316" s="51">
        <v>950</v>
      </c>
      <c r="D1316" s="52">
        <v>5</v>
      </c>
      <c r="E1316" s="52">
        <f t="shared" si="183"/>
        <v>190</v>
      </c>
      <c r="F1316" s="57"/>
      <c r="G1316" s="334"/>
      <c r="H1316" s="96" t="e">
        <f t="shared" ref="H1316:H1318" si="186">F1316/G1316</f>
        <v>#DIV/0!</v>
      </c>
      <c r="I1316" s="92" t="e">
        <f t="shared" ref="I1316:I1318" si="187">H1316/E1316</f>
        <v>#DIV/0!</v>
      </c>
      <c r="J1316" s="272"/>
    </row>
    <row r="1317" spans="1:10" ht="15.75" x14ac:dyDescent="0.3">
      <c r="A1317" s="424"/>
      <c r="B1317" s="56" t="s">
        <v>443</v>
      </c>
      <c r="C1317" s="57">
        <v>240</v>
      </c>
      <c r="D1317" s="58">
        <v>2</v>
      </c>
      <c r="E1317" s="52">
        <f t="shared" si="183"/>
        <v>120</v>
      </c>
      <c r="F1317" s="57"/>
      <c r="G1317" s="334"/>
      <c r="H1317" s="96" t="e">
        <f t="shared" si="186"/>
        <v>#DIV/0!</v>
      </c>
      <c r="I1317" s="92" t="e">
        <f t="shared" si="187"/>
        <v>#DIV/0!</v>
      </c>
      <c r="J1317" s="272"/>
    </row>
    <row r="1318" spans="1:10" ht="15.75" x14ac:dyDescent="0.3">
      <c r="A1318" s="424"/>
      <c r="B1318" s="56" t="s">
        <v>364</v>
      </c>
      <c r="C1318" s="57"/>
      <c r="D1318" s="58"/>
      <c r="E1318" s="52"/>
      <c r="F1318" s="51">
        <v>495.137</v>
      </c>
      <c r="G1318" s="334">
        <v>4</v>
      </c>
      <c r="H1318" s="93">
        <f t="shared" si="186"/>
        <v>123.78425</v>
      </c>
      <c r="I1318" s="363" t="e">
        <f t="shared" si="187"/>
        <v>#DIV/0!</v>
      </c>
      <c r="J1318" s="272"/>
    </row>
    <row r="1319" spans="1:10" ht="15.75" x14ac:dyDescent="0.3">
      <c r="A1319" s="424"/>
      <c r="B1319" s="56" t="s">
        <v>423</v>
      </c>
      <c r="C1319" s="57"/>
      <c r="D1319" s="58"/>
      <c r="E1319" s="52"/>
      <c r="F1319" s="51">
        <v>182.32499999999999</v>
      </c>
      <c r="G1319" s="334">
        <v>2</v>
      </c>
      <c r="H1319" s="93">
        <f t="shared" ref="H1319" si="188">F1319/G1319</f>
        <v>91.162499999999994</v>
      </c>
      <c r="I1319" s="363" t="e">
        <f t="shared" ref="I1319" si="189">H1319/E1319</f>
        <v>#DIV/0!</v>
      </c>
      <c r="J1319" s="272"/>
    </row>
    <row r="1320" spans="1:10" ht="15.75" x14ac:dyDescent="0.3">
      <c r="A1320" s="407"/>
      <c r="B1320" s="101" t="s">
        <v>79</v>
      </c>
      <c r="C1320" s="95"/>
      <c r="D1320" s="102"/>
      <c r="E1320" s="52" t="e">
        <f>C1320/D1320</f>
        <v>#DIV/0!</v>
      </c>
      <c r="F1320" s="51">
        <v>994.93389999999988</v>
      </c>
      <c r="G1320" s="93">
        <v>6.5</v>
      </c>
      <c r="H1320" s="99">
        <f t="shared" ref="H1320" si="190">F1320/G1320</f>
        <v>153.06675384615383</v>
      </c>
      <c r="I1320" s="92" t="e">
        <f t="shared" ref="I1320" si="191">H1320/E1320</f>
        <v>#DIV/0!</v>
      </c>
      <c r="J1320" s="272"/>
    </row>
    <row r="1321" spans="1:10" ht="16.5" x14ac:dyDescent="0.35">
      <c r="A1321" s="407"/>
      <c r="B1321" s="59" t="s">
        <v>146</v>
      </c>
      <c r="C1321" s="60"/>
      <c r="D1321" s="61">
        <f>SUM(D1312:D1320)</f>
        <v>25</v>
      </c>
      <c r="E1321" s="61"/>
      <c r="F1321" s="62"/>
      <c r="G1321" s="60">
        <f>SUM(G1312:G1320)</f>
        <v>30</v>
      </c>
      <c r="H1321" s="61"/>
      <c r="I1321" s="92"/>
      <c r="J1321" s="272"/>
    </row>
    <row r="1322" spans="1:10" ht="16.5" x14ac:dyDescent="0.35">
      <c r="A1322" s="407"/>
      <c r="B1322" s="130" t="s">
        <v>244</v>
      </c>
      <c r="C1322" s="131"/>
      <c r="D1322" s="132"/>
      <c r="E1322" s="133"/>
      <c r="F1322" s="133"/>
      <c r="G1322" s="132"/>
      <c r="H1322" s="134"/>
      <c r="I1322" s="92"/>
      <c r="J1322" s="272"/>
    </row>
    <row r="1323" spans="1:10" ht="15.75" x14ac:dyDescent="0.3">
      <c r="A1323" s="407"/>
      <c r="B1323" s="65" t="s">
        <v>148</v>
      </c>
      <c r="C1323" s="66"/>
      <c r="D1323" s="68">
        <f>31-D1322-D1321</f>
        <v>6</v>
      </c>
      <c r="E1323" s="67"/>
      <c r="F1323" s="67"/>
      <c r="G1323" s="81">
        <f>31-G1321-G1322</f>
        <v>1</v>
      </c>
      <c r="H1323" s="97"/>
      <c r="I1323" s="92"/>
      <c r="J1323" s="272"/>
    </row>
    <row r="1324" spans="1:10" ht="17.25" thickBot="1" x14ac:dyDescent="0.4">
      <c r="A1324" s="408"/>
      <c r="B1324" s="70" t="s">
        <v>149</v>
      </c>
      <c r="C1324" s="71">
        <f>SUM(C1312:C1320)</f>
        <v>3870</v>
      </c>
      <c r="D1324" s="71">
        <f>D1323+D1321</f>
        <v>31</v>
      </c>
      <c r="E1324" s="71"/>
      <c r="F1324" s="71">
        <f>SUM(F1312:F1320)</f>
        <v>4170.5868999999993</v>
      </c>
      <c r="G1324" s="104">
        <f>G1323+G1321+G1322</f>
        <v>31</v>
      </c>
      <c r="H1324" s="105"/>
      <c r="I1324" s="73">
        <f>F1324/C1324</f>
        <v>1.077671033591731</v>
      </c>
      <c r="J1324" s="273"/>
    </row>
    <row r="1325" spans="1:10" ht="15.75" x14ac:dyDescent="0.3">
      <c r="A1325" s="406" t="s">
        <v>188</v>
      </c>
      <c r="B1325" s="106" t="s">
        <v>77</v>
      </c>
      <c r="C1325" s="76"/>
      <c r="D1325" s="84"/>
      <c r="E1325" s="52" t="e">
        <f>C1325/D1325</f>
        <v>#DIV/0!</v>
      </c>
      <c r="F1325" s="57">
        <v>437.90299999999996</v>
      </c>
      <c r="G1325" s="93">
        <v>1.5</v>
      </c>
      <c r="H1325" s="99">
        <f t="shared" ref="H1325:H1326" si="192">F1325/G1325</f>
        <v>291.93533333333329</v>
      </c>
      <c r="I1325" s="92" t="e">
        <f t="shared" ref="I1325:I1326" si="193">H1325/E1325</f>
        <v>#DIV/0!</v>
      </c>
      <c r="J1325" s="271"/>
    </row>
    <row r="1326" spans="1:10" ht="15.75" x14ac:dyDescent="0.3">
      <c r="A1326" s="407"/>
      <c r="B1326" s="106" t="s">
        <v>79</v>
      </c>
      <c r="C1326" s="76">
        <v>1000</v>
      </c>
      <c r="D1326" s="84">
        <v>3</v>
      </c>
      <c r="E1326" s="52">
        <f>C1326/D1326</f>
        <v>333.33333333333331</v>
      </c>
      <c r="F1326" s="51"/>
      <c r="G1326" s="93"/>
      <c r="H1326" s="99" t="e">
        <f t="shared" si="192"/>
        <v>#DIV/0!</v>
      </c>
      <c r="I1326" s="92" t="e">
        <f t="shared" si="193"/>
        <v>#DIV/0!</v>
      </c>
      <c r="J1326" s="272"/>
    </row>
    <row r="1327" spans="1:10" ht="15.75" x14ac:dyDescent="0.3">
      <c r="A1327" s="407"/>
      <c r="B1327" s="106" t="s">
        <v>423</v>
      </c>
      <c r="C1327" s="76">
        <v>540</v>
      </c>
      <c r="D1327" s="84">
        <v>2</v>
      </c>
      <c r="E1327" s="52">
        <f t="shared" ref="E1327" si="194">C1327/D1327</f>
        <v>270</v>
      </c>
      <c r="F1327" s="51">
        <v>381.68599999999998</v>
      </c>
      <c r="G1327" s="93">
        <v>1.5</v>
      </c>
      <c r="H1327" s="99">
        <f>F1327/G1327</f>
        <v>254.45733333333331</v>
      </c>
      <c r="I1327" s="92">
        <f>H1327/E1327</f>
        <v>0.94243456790123448</v>
      </c>
      <c r="J1327" s="272"/>
    </row>
    <row r="1328" spans="1:10" ht="15.75" x14ac:dyDescent="0.3">
      <c r="A1328" s="407"/>
      <c r="B1328" s="245" t="s">
        <v>365</v>
      </c>
      <c r="C1328" s="246">
        <v>2100</v>
      </c>
      <c r="D1328" s="84">
        <v>9</v>
      </c>
      <c r="E1328" s="52">
        <f>C1328/D1328</f>
        <v>233.33333333333334</v>
      </c>
      <c r="F1328" s="95">
        <v>3241.7670000000003</v>
      </c>
      <c r="G1328" s="53">
        <v>12</v>
      </c>
      <c r="H1328" s="99">
        <f>F1328/G1328</f>
        <v>270.14725000000004</v>
      </c>
      <c r="I1328" s="92">
        <f>H1328/E1328</f>
        <v>1.1577739285714288</v>
      </c>
      <c r="J1328" s="272"/>
    </row>
    <row r="1329" spans="1:10" ht="16.5" x14ac:dyDescent="0.35">
      <c r="A1329" s="407"/>
      <c r="B1329" s="65" t="s">
        <v>189</v>
      </c>
      <c r="C1329" s="66"/>
      <c r="D1329" s="108">
        <f>31-SUM(D1325:D1328)</f>
        <v>17</v>
      </c>
      <c r="E1329" s="109"/>
      <c r="F1329" s="109"/>
      <c r="G1329" s="108">
        <f>31-SUM(G1325:G1328)</f>
        <v>16</v>
      </c>
      <c r="H1329" s="68"/>
      <c r="I1329" s="92"/>
      <c r="J1329" s="272"/>
    </row>
    <row r="1330" spans="1:10" ht="17.25" thickBot="1" x14ac:dyDescent="0.4">
      <c r="A1330" s="408"/>
      <c r="B1330" s="111" t="s">
        <v>149</v>
      </c>
      <c r="C1330" s="82">
        <f>SUM(C1325:C1329)</f>
        <v>3640</v>
      </c>
      <c r="D1330" s="82">
        <f>D1329+SUM(D1325:D1328)</f>
        <v>31</v>
      </c>
      <c r="E1330" s="82"/>
      <c r="F1330" s="82">
        <f>SUM(F1325:F1329)</f>
        <v>4061.3560000000002</v>
      </c>
      <c r="G1330" s="82">
        <f>G1329+SUM(G1325:G1328)</f>
        <v>31</v>
      </c>
      <c r="H1330" s="112"/>
      <c r="I1330" s="73">
        <f>F1330/C1330</f>
        <v>1.1157571428571429</v>
      </c>
      <c r="J1330" s="273"/>
    </row>
    <row r="1331" spans="1:10" ht="15.75" x14ac:dyDescent="0.3">
      <c r="A1331" s="406" t="s">
        <v>190</v>
      </c>
      <c r="B1331" s="50"/>
      <c r="C1331" s="51"/>
      <c r="D1331" s="52"/>
      <c r="E1331" s="52"/>
      <c r="F1331" s="51"/>
      <c r="G1331" s="93"/>
      <c r="H1331" s="99"/>
      <c r="I1331" s="92"/>
      <c r="J1331" s="271"/>
    </row>
    <row r="1332" spans="1:10" ht="15.75" x14ac:dyDescent="0.3">
      <c r="A1332" s="407"/>
      <c r="B1332" s="101" t="s">
        <v>206</v>
      </c>
      <c r="C1332" s="95">
        <v>102</v>
      </c>
      <c r="D1332" s="102">
        <v>6</v>
      </c>
      <c r="E1332" s="86">
        <f>C1332/D1332</f>
        <v>17</v>
      </c>
      <c r="F1332" s="95">
        <v>139.95000000000002</v>
      </c>
      <c r="G1332" s="103">
        <v>8</v>
      </c>
      <c r="H1332" s="99">
        <f>F1332/G1332</f>
        <v>17.493750000000002</v>
      </c>
      <c r="I1332" s="92">
        <f>H1332/E1332</f>
        <v>1.0290441176470591</v>
      </c>
      <c r="J1332" s="272"/>
    </row>
    <row r="1333" spans="1:10" ht="15.75" x14ac:dyDescent="0.3">
      <c r="A1333" s="407"/>
      <c r="B1333" s="101" t="s">
        <v>192</v>
      </c>
      <c r="C1333" s="114"/>
      <c r="D1333" s="102"/>
      <c r="E1333" s="86"/>
      <c r="F1333" s="95"/>
      <c r="G1333" s="103"/>
      <c r="H1333" s="99"/>
      <c r="I1333" s="92"/>
      <c r="J1333" s="272"/>
    </row>
    <row r="1334" spans="1:10" ht="16.5" x14ac:dyDescent="0.35">
      <c r="A1334" s="407"/>
      <c r="B1334" s="59" t="s">
        <v>146</v>
      </c>
      <c r="C1334" s="60"/>
      <c r="D1334" s="61">
        <f>SUM(D1332:D1333)</f>
        <v>6</v>
      </c>
      <c r="E1334" s="61"/>
      <c r="F1334" s="62"/>
      <c r="G1334" s="61">
        <f>SUM(G1332:G1333)</f>
        <v>8</v>
      </c>
      <c r="H1334" s="61"/>
      <c r="I1334" s="92"/>
      <c r="J1334" s="272"/>
    </row>
    <row r="1335" spans="1:10" ht="15.75" x14ac:dyDescent="0.3">
      <c r="A1335" s="407"/>
      <c r="B1335" s="65" t="s">
        <v>148</v>
      </c>
      <c r="C1335" s="66"/>
      <c r="D1335" s="68">
        <f>31-D1334</f>
        <v>25</v>
      </c>
      <c r="E1335" s="67"/>
      <c r="F1335" s="67"/>
      <c r="G1335" s="81">
        <f>31-G1334</f>
        <v>23</v>
      </c>
      <c r="H1335" s="97"/>
      <c r="I1335" s="92"/>
      <c r="J1335" s="272"/>
    </row>
    <row r="1336" spans="1:10" ht="17.25" thickBot="1" x14ac:dyDescent="0.4">
      <c r="A1336" s="408"/>
      <c r="B1336" s="70" t="s">
        <v>149</v>
      </c>
      <c r="C1336" s="71">
        <f>SUM(C1332:C1333)</f>
        <v>102</v>
      </c>
      <c r="D1336" s="71">
        <f>D1335+D1334</f>
        <v>31</v>
      </c>
      <c r="E1336" s="71"/>
      <c r="F1336" s="71">
        <f>SUM(F1332:F1333)</f>
        <v>139.95000000000002</v>
      </c>
      <c r="G1336" s="71">
        <f>G1335+G1334</f>
        <v>31</v>
      </c>
      <c r="H1336" s="105"/>
      <c r="I1336" s="73">
        <f>F1336/C1336</f>
        <v>1.372058823529412</v>
      </c>
      <c r="J1336" s="273"/>
    </row>
    <row r="1337" spans="1:10" ht="19.5" x14ac:dyDescent="0.3">
      <c r="A1337" s="358"/>
      <c r="B1337" s="101" t="s">
        <v>373</v>
      </c>
      <c r="C1337" s="95"/>
      <c r="D1337" s="102"/>
      <c r="E1337" s="86"/>
      <c r="F1337" s="95"/>
      <c r="G1337" s="103"/>
      <c r="H1337" s="86"/>
      <c r="I1337" s="92"/>
      <c r="J1337" s="271"/>
    </row>
    <row r="1338" spans="1:10" ht="15.75" x14ac:dyDescent="0.3">
      <c r="A1338" s="407" t="s">
        <v>194</v>
      </c>
      <c r="B1338" s="101" t="s">
        <v>370</v>
      </c>
      <c r="C1338" s="95">
        <v>100</v>
      </c>
      <c r="D1338" s="102">
        <v>2</v>
      </c>
      <c r="E1338" s="86">
        <f>C1338/D1338</f>
        <v>50</v>
      </c>
      <c r="F1338" s="95">
        <v>169.8261</v>
      </c>
      <c r="G1338" s="103">
        <v>3</v>
      </c>
      <c r="H1338" s="86">
        <f>F1338/G1338</f>
        <v>56.608699999999999</v>
      </c>
      <c r="I1338" s="92">
        <f>H1338/E1338</f>
        <v>1.132174</v>
      </c>
      <c r="J1338" s="272"/>
    </row>
    <row r="1339" spans="1:10" ht="15.75" x14ac:dyDescent="0.3">
      <c r="A1339" s="407"/>
      <c r="B1339" s="101" t="s">
        <v>208</v>
      </c>
      <c r="C1339" s="114">
        <v>420</v>
      </c>
      <c r="D1339" s="102">
        <v>7</v>
      </c>
      <c r="E1339" s="86">
        <f>C1339/D1339</f>
        <v>60</v>
      </c>
      <c r="F1339" s="103">
        <v>363.53100000000001</v>
      </c>
      <c r="G1339" s="103">
        <v>6</v>
      </c>
      <c r="H1339" s="86">
        <f>F1339/G1339</f>
        <v>60.588500000000003</v>
      </c>
      <c r="I1339" s="92">
        <f>H1339/E1339</f>
        <v>1.0098083333333334</v>
      </c>
      <c r="J1339" s="272"/>
    </row>
    <row r="1340" spans="1:10" ht="16.5" x14ac:dyDescent="0.35">
      <c r="A1340" s="407"/>
      <c r="B1340" s="59" t="s">
        <v>146</v>
      </c>
      <c r="C1340" s="60"/>
      <c r="D1340" s="61">
        <f>SUM(D1337:D1339)</f>
        <v>9</v>
      </c>
      <c r="E1340" s="61"/>
      <c r="F1340" s="62"/>
      <c r="G1340" s="61">
        <f>SUM(G1337:G1339)</f>
        <v>9</v>
      </c>
      <c r="H1340" s="61"/>
      <c r="I1340" s="92"/>
      <c r="J1340" s="272"/>
    </row>
    <row r="1341" spans="1:10" ht="15.75" x14ac:dyDescent="0.3">
      <c r="A1341" s="407"/>
      <c r="B1341" s="65" t="s">
        <v>148</v>
      </c>
      <c r="C1341" s="66"/>
      <c r="D1341" s="68">
        <f>31-D1340</f>
        <v>22</v>
      </c>
      <c r="E1341" s="67"/>
      <c r="F1341" s="67"/>
      <c r="G1341" s="81">
        <f>31-G1340</f>
        <v>22</v>
      </c>
      <c r="H1341" s="97"/>
      <c r="I1341" s="92"/>
      <c r="J1341" s="272"/>
    </row>
    <row r="1342" spans="1:10" ht="17.25" thickBot="1" x14ac:dyDescent="0.4">
      <c r="A1342" s="408"/>
      <c r="B1342" s="70" t="s">
        <v>149</v>
      </c>
      <c r="C1342" s="71">
        <f>SUM(C1337:C1339)</f>
        <v>520</v>
      </c>
      <c r="D1342" s="71">
        <f>D1341+D1340</f>
        <v>31</v>
      </c>
      <c r="E1342" s="71"/>
      <c r="F1342" s="71">
        <f>SUM(F1337:F1339)</f>
        <v>533.35709999999995</v>
      </c>
      <c r="G1342" s="71">
        <f>G1341+G1340</f>
        <v>31</v>
      </c>
      <c r="H1342" s="105"/>
      <c r="I1342" s="73">
        <f>F1342/C1342</f>
        <v>1.0256867307692306</v>
      </c>
      <c r="J1342" s="273"/>
    </row>
    <row r="1344" spans="1:10" ht="21" x14ac:dyDescent="0.4">
      <c r="A1344" s="37" t="s">
        <v>453</v>
      </c>
      <c r="B1344" s="37"/>
      <c r="C1344" s="37"/>
      <c r="D1344" s="37"/>
      <c r="E1344" s="37"/>
      <c r="F1344" s="37"/>
      <c r="G1344" s="37"/>
      <c r="H1344" s="37"/>
      <c r="I1344" s="37"/>
    </row>
    <row r="1345" spans="1:10" ht="17.25" thickBot="1" x14ac:dyDescent="0.4">
      <c r="A1345" s="40"/>
      <c r="B1345" s="41"/>
      <c r="C1345" s="42"/>
      <c r="D1345" s="42"/>
      <c r="E1345" s="42"/>
      <c r="F1345" s="42"/>
      <c r="G1345" s="42"/>
      <c r="H1345" s="42"/>
      <c r="I1345" s="42"/>
    </row>
    <row r="1346" spans="1:10" ht="16.5" x14ac:dyDescent="0.35">
      <c r="A1346" s="409" t="s">
        <v>128</v>
      </c>
      <c r="B1346" s="44"/>
      <c r="C1346" s="45"/>
      <c r="D1346" s="45"/>
      <c r="E1346" s="45"/>
      <c r="F1346" s="45"/>
      <c r="G1346" s="411" t="s">
        <v>129</v>
      </c>
      <c r="H1346" s="362"/>
      <c r="I1346" s="413" t="s">
        <v>130</v>
      </c>
      <c r="J1346" s="257" t="s">
        <v>131</v>
      </c>
    </row>
    <row r="1347" spans="1:10" ht="66.75" thickBot="1" x14ac:dyDescent="0.3">
      <c r="A1347" s="410"/>
      <c r="B1347" s="46"/>
      <c r="C1347" s="47" t="s">
        <v>132</v>
      </c>
      <c r="D1347" s="48" t="s">
        <v>133</v>
      </c>
      <c r="E1347" s="48" t="s">
        <v>134</v>
      </c>
      <c r="F1347" s="49" t="s">
        <v>135</v>
      </c>
      <c r="G1347" s="412"/>
      <c r="H1347" s="48" t="s">
        <v>136</v>
      </c>
      <c r="I1347" s="414"/>
      <c r="J1347" s="258"/>
    </row>
    <row r="1348" spans="1:10" ht="15.75" x14ac:dyDescent="0.3">
      <c r="A1348" s="415" t="s">
        <v>137</v>
      </c>
      <c r="B1348" s="50" t="s">
        <v>340</v>
      </c>
      <c r="C1348" s="51">
        <v>3470</v>
      </c>
      <c r="D1348" s="123">
        <v>11</v>
      </c>
      <c r="E1348" s="52">
        <f t="shared" ref="E1348:E1353" si="195">C1348/D1348</f>
        <v>315.45454545454544</v>
      </c>
      <c r="F1348" s="51">
        <v>2904.41</v>
      </c>
      <c r="G1348" s="53">
        <v>10</v>
      </c>
      <c r="H1348" s="53">
        <f>F1348/G1348</f>
        <v>290.44099999999997</v>
      </c>
      <c r="I1348" s="54">
        <f t="shared" ref="I1348:I1353" si="196">H1348/E1348</f>
        <v>0.92070634005763685</v>
      </c>
      <c r="J1348" s="259"/>
    </row>
    <row r="1349" spans="1:10" ht="15.75" x14ac:dyDescent="0.3">
      <c r="A1349" s="416"/>
      <c r="B1349" s="56" t="s">
        <v>140</v>
      </c>
      <c r="C1349" s="57">
        <v>570</v>
      </c>
      <c r="D1349" s="53">
        <v>3</v>
      </c>
      <c r="E1349" s="52">
        <f t="shared" si="195"/>
        <v>190</v>
      </c>
      <c r="F1349" s="57">
        <v>534.93000000000006</v>
      </c>
      <c r="G1349" s="53">
        <v>4</v>
      </c>
      <c r="H1349" s="53">
        <f t="shared" ref="H1349:H1353" si="197">F1349/G1349</f>
        <v>133.73250000000002</v>
      </c>
      <c r="I1349" s="54">
        <f t="shared" si="196"/>
        <v>0.70385526315789482</v>
      </c>
      <c r="J1349" s="260"/>
    </row>
    <row r="1350" spans="1:10" ht="15.75" x14ac:dyDescent="0.3">
      <c r="A1350" s="416"/>
      <c r="B1350" s="56" t="s">
        <v>325</v>
      </c>
      <c r="C1350" s="57">
        <v>1750</v>
      </c>
      <c r="D1350" s="58">
        <v>8</v>
      </c>
      <c r="E1350" s="52">
        <f t="shared" si="195"/>
        <v>218.75</v>
      </c>
      <c r="F1350" s="57">
        <f>708.24+1267.07</f>
        <v>1975.31</v>
      </c>
      <c r="G1350" s="53">
        <v>10</v>
      </c>
      <c r="H1350" s="53">
        <f t="shared" si="197"/>
        <v>197.53100000000001</v>
      </c>
      <c r="I1350" s="54">
        <f t="shared" si="196"/>
        <v>0.90299885714285721</v>
      </c>
      <c r="J1350" s="260"/>
    </row>
    <row r="1351" spans="1:10" ht="15.75" x14ac:dyDescent="0.3">
      <c r="A1351" s="416"/>
      <c r="B1351" s="56" t="s">
        <v>143</v>
      </c>
      <c r="C1351" s="57"/>
      <c r="D1351" s="58"/>
      <c r="E1351" s="52" t="e">
        <f t="shared" si="195"/>
        <v>#DIV/0!</v>
      </c>
      <c r="F1351" s="57"/>
      <c r="G1351" s="53"/>
      <c r="H1351" s="53" t="e">
        <f t="shared" si="197"/>
        <v>#DIV/0!</v>
      </c>
      <c r="I1351" s="54" t="e">
        <f t="shared" si="196"/>
        <v>#DIV/0!</v>
      </c>
      <c r="J1351" s="260"/>
    </row>
    <row r="1352" spans="1:10" ht="15.75" x14ac:dyDescent="0.3">
      <c r="A1352" s="416"/>
      <c r="B1352" s="56" t="s">
        <v>400</v>
      </c>
      <c r="C1352" s="57"/>
      <c r="D1352" s="58"/>
      <c r="E1352" s="52" t="e">
        <f t="shared" si="195"/>
        <v>#DIV/0!</v>
      </c>
      <c r="F1352" s="57"/>
      <c r="G1352" s="53"/>
      <c r="H1352" s="53" t="e">
        <f t="shared" si="197"/>
        <v>#DIV/0!</v>
      </c>
      <c r="I1352" s="54" t="e">
        <f t="shared" si="196"/>
        <v>#DIV/0!</v>
      </c>
      <c r="J1352" s="260"/>
    </row>
    <row r="1353" spans="1:10" ht="15.75" x14ac:dyDescent="0.3">
      <c r="A1353" s="416"/>
      <c r="B1353" s="56" t="s">
        <v>145</v>
      </c>
      <c r="C1353" s="57">
        <f>530</f>
        <v>530</v>
      </c>
      <c r="D1353" s="58">
        <v>4</v>
      </c>
      <c r="E1353" s="52">
        <f t="shared" si="195"/>
        <v>132.5</v>
      </c>
      <c r="F1353" s="57">
        <f>763.8</f>
        <v>763.8</v>
      </c>
      <c r="G1353" s="53">
        <v>5</v>
      </c>
      <c r="H1353" s="53">
        <f t="shared" si="197"/>
        <v>152.76</v>
      </c>
      <c r="I1353" s="54">
        <f t="shared" si="196"/>
        <v>1.1529056603773584</v>
      </c>
      <c r="J1353" s="260"/>
    </row>
    <row r="1354" spans="1:10" ht="15.75" x14ac:dyDescent="0.3">
      <c r="A1354" s="416"/>
      <c r="B1354" s="50"/>
      <c r="C1354" s="57"/>
      <c r="D1354" s="58"/>
      <c r="E1354" s="52"/>
      <c r="F1354" s="57"/>
      <c r="G1354" s="53"/>
      <c r="H1354" s="53"/>
      <c r="I1354" s="53"/>
      <c r="J1354" s="260"/>
    </row>
    <row r="1355" spans="1:10" ht="16.5" x14ac:dyDescent="0.35">
      <c r="A1355" s="416"/>
      <c r="B1355" s="59" t="s">
        <v>146</v>
      </c>
      <c r="C1355" s="60"/>
      <c r="D1355" s="61">
        <f>SUM(D1348:D1354)</f>
        <v>26</v>
      </c>
      <c r="E1355" s="61"/>
      <c r="F1355" s="62"/>
      <c r="G1355" s="63">
        <f>SUM(G1348:G1354)</f>
        <v>29</v>
      </c>
      <c r="H1355" s="64"/>
      <c r="I1355" s="53"/>
      <c r="J1355" s="260"/>
    </row>
    <row r="1356" spans="1:10" ht="16.5" x14ac:dyDescent="0.35">
      <c r="A1356" s="416"/>
      <c r="B1356" s="59" t="s">
        <v>147</v>
      </c>
      <c r="C1356" s="60"/>
      <c r="D1356" s="61"/>
      <c r="E1356" s="62"/>
      <c r="F1356" s="62"/>
      <c r="G1356" s="63"/>
      <c r="H1356" s="64"/>
      <c r="I1356" s="53"/>
      <c r="J1356" s="260"/>
    </row>
    <row r="1357" spans="1:10" ht="15.75" x14ac:dyDescent="0.3">
      <c r="A1357" s="416"/>
      <c r="B1357" s="65" t="s">
        <v>148</v>
      </c>
      <c r="C1357" s="66"/>
      <c r="D1357" s="68">
        <f>31-D1356-D1355</f>
        <v>5</v>
      </c>
      <c r="E1357" s="67"/>
      <c r="F1357" s="67"/>
      <c r="G1357" s="68">
        <f>31-G1356-G1355</f>
        <v>2</v>
      </c>
      <c r="H1357" s="69"/>
      <c r="I1357" s="53"/>
      <c r="J1357" s="260"/>
    </row>
    <row r="1358" spans="1:10" ht="17.25" thickBot="1" x14ac:dyDescent="0.4">
      <c r="A1358" s="417"/>
      <c r="B1358" s="70" t="s">
        <v>149</v>
      </c>
      <c r="C1358" s="71">
        <f>SUM(C1348:C1353)</f>
        <v>6320</v>
      </c>
      <c r="D1358" s="71">
        <f>D1355+D1356+D1357</f>
        <v>31</v>
      </c>
      <c r="E1358" s="71">
        <f>E1355+E1356+E1357</f>
        <v>0</v>
      </c>
      <c r="F1358" s="72">
        <f>SUM(F1348:F1354)</f>
        <v>6178.45</v>
      </c>
      <c r="G1358" s="71">
        <f>G1355+G1356+G1357</f>
        <v>31</v>
      </c>
      <c r="H1358" s="71"/>
      <c r="I1358" s="73">
        <f>F1358/C1358</f>
        <v>0.97760284810126574</v>
      </c>
      <c r="J1358" s="261"/>
    </row>
    <row r="1359" spans="1:10" ht="15.75" customHeight="1" thickBot="1" x14ac:dyDescent="0.35">
      <c r="A1359" s="418" t="s">
        <v>150</v>
      </c>
      <c r="B1359" s="78" t="s">
        <v>366</v>
      </c>
      <c r="C1359" s="76">
        <v>3274</v>
      </c>
      <c r="D1359" s="52">
        <v>10</v>
      </c>
      <c r="E1359" s="52">
        <f>C1359/D1359</f>
        <v>327.39999999999998</v>
      </c>
      <c r="F1359" s="52">
        <f>261.32+1869.47</f>
        <v>2130.79</v>
      </c>
      <c r="G1359" s="127">
        <v>8</v>
      </c>
      <c r="H1359" s="241">
        <f t="shared" ref="H1359:H1365" si="198">F1359/G1359</f>
        <v>266.34875</v>
      </c>
      <c r="I1359" s="92">
        <f t="shared" ref="I1359:I1364" si="199">H1359/E1359</f>
        <v>0.81352703115455105</v>
      </c>
      <c r="J1359" s="263"/>
    </row>
    <row r="1360" spans="1:10" ht="15.75" customHeight="1" x14ac:dyDescent="0.3">
      <c r="A1360" s="419"/>
      <c r="B1360" s="78" t="s">
        <v>154</v>
      </c>
      <c r="C1360" s="76">
        <v>290</v>
      </c>
      <c r="D1360" s="52">
        <v>4</v>
      </c>
      <c r="E1360" s="52">
        <f>C1360/D1360</f>
        <v>72.5</v>
      </c>
      <c r="F1360" s="51">
        <v>432.87599999999998</v>
      </c>
      <c r="G1360" s="52">
        <v>4</v>
      </c>
      <c r="H1360" s="241">
        <f t="shared" si="198"/>
        <v>108.21899999999999</v>
      </c>
      <c r="I1360" s="92">
        <f t="shared" si="199"/>
        <v>1.4926758620689655</v>
      </c>
      <c r="J1360" s="262"/>
    </row>
    <row r="1361" spans="1:10" ht="15.75" customHeight="1" x14ac:dyDescent="0.3">
      <c r="A1361" s="419"/>
      <c r="B1361" s="78" t="s">
        <v>455</v>
      </c>
      <c r="C1361" s="76"/>
      <c r="D1361" s="52"/>
      <c r="E1361" s="52"/>
      <c r="F1361" s="51">
        <v>396.94200000000001</v>
      </c>
      <c r="G1361" s="52">
        <v>1.5</v>
      </c>
      <c r="H1361" s="241">
        <f t="shared" si="198"/>
        <v>264.62799999999999</v>
      </c>
      <c r="I1361" s="92" t="e">
        <f t="shared" si="199"/>
        <v>#DIV/0!</v>
      </c>
      <c r="J1361" s="263"/>
    </row>
    <row r="1362" spans="1:10" ht="15.75" customHeight="1" x14ac:dyDescent="0.3">
      <c r="A1362" s="419"/>
      <c r="B1362" s="78" t="s">
        <v>155</v>
      </c>
      <c r="C1362" s="57">
        <v>250</v>
      </c>
      <c r="D1362" s="58">
        <v>2</v>
      </c>
      <c r="E1362" s="52">
        <f>C1362/D1362</f>
        <v>125</v>
      </c>
      <c r="F1362" s="57">
        <v>468.96600000000001</v>
      </c>
      <c r="G1362" s="52">
        <v>4</v>
      </c>
      <c r="H1362" s="241">
        <f t="shared" si="198"/>
        <v>117.2415</v>
      </c>
      <c r="I1362" s="92">
        <f t="shared" si="199"/>
        <v>0.93793199999999999</v>
      </c>
      <c r="J1362" s="263"/>
    </row>
    <row r="1363" spans="1:10" ht="15.75" customHeight="1" x14ac:dyDescent="0.3">
      <c r="A1363" s="419"/>
      <c r="B1363" s="78" t="s">
        <v>368</v>
      </c>
      <c r="C1363" s="51">
        <v>250</v>
      </c>
      <c r="D1363" s="52">
        <v>3</v>
      </c>
      <c r="E1363" s="52">
        <f>C1363/D1363</f>
        <v>83.333333333333329</v>
      </c>
      <c r="F1363" s="79">
        <f>238.3+129.4</f>
        <v>367.70000000000005</v>
      </c>
      <c r="G1363" s="127">
        <v>4</v>
      </c>
      <c r="H1363" s="241">
        <f t="shared" si="198"/>
        <v>91.925000000000011</v>
      </c>
      <c r="I1363" s="92">
        <f t="shared" si="199"/>
        <v>1.1031000000000002</v>
      </c>
      <c r="J1363" s="263"/>
    </row>
    <row r="1364" spans="1:10" ht="15.75" customHeight="1" x14ac:dyDescent="0.3">
      <c r="A1364" s="419"/>
      <c r="B1364" s="78" t="s">
        <v>353</v>
      </c>
      <c r="C1364" s="51">
        <v>205</v>
      </c>
      <c r="D1364" s="90">
        <v>2</v>
      </c>
      <c r="E1364" s="52">
        <f>C1364/D1364</f>
        <v>102.5</v>
      </c>
      <c r="F1364" s="51">
        <v>176.76300000000001</v>
      </c>
      <c r="G1364" s="52">
        <v>2</v>
      </c>
      <c r="H1364" s="241">
        <f t="shared" si="198"/>
        <v>88.381500000000003</v>
      </c>
      <c r="I1364" s="92">
        <f t="shared" si="199"/>
        <v>0.86225853658536589</v>
      </c>
      <c r="J1364" s="263"/>
    </row>
    <row r="1365" spans="1:10" ht="15.75" customHeight="1" x14ac:dyDescent="0.3">
      <c r="A1365" s="419"/>
      <c r="B1365" s="78" t="s">
        <v>456</v>
      </c>
      <c r="C1365" s="51"/>
      <c r="D1365" s="90"/>
      <c r="E1365" s="52"/>
      <c r="F1365" s="51">
        <v>416.27499999999998</v>
      </c>
      <c r="G1365" s="52">
        <v>6</v>
      </c>
      <c r="H1365" s="241">
        <f t="shared" si="198"/>
        <v>69.379166666666663</v>
      </c>
      <c r="I1365" s="92"/>
      <c r="J1365" s="263"/>
    </row>
    <row r="1366" spans="1:10" ht="15.75" customHeight="1" x14ac:dyDescent="0.3">
      <c r="A1366" s="419"/>
      <c r="B1366" s="78" t="s">
        <v>327</v>
      </c>
      <c r="C1366" s="51">
        <v>420</v>
      </c>
      <c r="D1366" s="52">
        <v>3</v>
      </c>
      <c r="E1366" s="52">
        <f>C1366/D1366</f>
        <v>140</v>
      </c>
      <c r="F1366" s="52"/>
      <c r="G1366" s="52"/>
      <c r="H1366" s="241"/>
      <c r="I1366" s="92"/>
      <c r="J1366" s="263"/>
    </row>
    <row r="1367" spans="1:10" ht="15.75" customHeight="1" x14ac:dyDescent="0.3">
      <c r="A1367" s="419"/>
      <c r="B1367" s="78" t="s">
        <v>402</v>
      </c>
      <c r="C1367" s="76"/>
      <c r="D1367" s="84"/>
      <c r="E1367" s="52"/>
      <c r="F1367" s="52"/>
      <c r="G1367" s="52"/>
      <c r="H1367" s="241" t="e">
        <f>F1367/G1367</f>
        <v>#DIV/0!</v>
      </c>
      <c r="I1367" s="92"/>
      <c r="J1367" s="263"/>
    </row>
    <row r="1368" spans="1:10" ht="15.75" customHeight="1" x14ac:dyDescent="0.3">
      <c r="A1368" s="419"/>
      <c r="B1368" s="78" t="s">
        <v>401</v>
      </c>
      <c r="C1368" s="76"/>
      <c r="D1368" s="84"/>
      <c r="E1368" s="52"/>
      <c r="F1368" s="344"/>
      <c r="G1368" s="52"/>
      <c r="H1368" s="241"/>
      <c r="I1368" s="92"/>
      <c r="J1368" s="263"/>
    </row>
    <row r="1369" spans="1:10" ht="15.75" customHeight="1" x14ac:dyDescent="0.3">
      <c r="A1369" s="419"/>
      <c r="B1369" s="78" t="s">
        <v>328</v>
      </c>
      <c r="C1369" s="51"/>
      <c r="D1369" s="52"/>
      <c r="E1369" s="52"/>
      <c r="F1369" s="79"/>
      <c r="G1369" s="52"/>
      <c r="H1369" s="241" t="e">
        <f>F1369/G1369</f>
        <v>#DIV/0!</v>
      </c>
      <c r="I1369" s="92"/>
      <c r="J1369" s="263"/>
    </row>
    <row r="1370" spans="1:10" ht="15.75" customHeight="1" x14ac:dyDescent="0.3">
      <c r="A1370" s="419"/>
      <c r="B1370" s="78" t="s">
        <v>416</v>
      </c>
      <c r="C1370" s="51"/>
      <c r="D1370" s="52"/>
      <c r="E1370" s="52"/>
      <c r="F1370" s="51"/>
      <c r="G1370" s="52"/>
      <c r="H1370" s="241" t="e">
        <f>F1370/G1370</f>
        <v>#DIV/0!</v>
      </c>
      <c r="I1370" s="92" t="e">
        <f>H1370/E1370</f>
        <v>#DIV/0!</v>
      </c>
      <c r="J1370" s="263"/>
    </row>
    <row r="1371" spans="1:10" ht="16.5" customHeight="1" x14ac:dyDescent="0.35">
      <c r="A1371" s="419"/>
      <c r="B1371" s="366" t="s">
        <v>146</v>
      </c>
      <c r="C1371" s="60"/>
      <c r="D1371" s="63">
        <f>SUM(D1359:D1370)</f>
        <v>24</v>
      </c>
      <c r="E1371" s="61"/>
      <c r="F1371" s="62"/>
      <c r="G1371" s="63">
        <f>SUM(G1359:G1370)</f>
        <v>29.5</v>
      </c>
      <c r="H1371" s="63"/>
      <c r="I1371" s="99"/>
      <c r="J1371" s="263"/>
    </row>
    <row r="1372" spans="1:10" ht="15.75" customHeight="1" x14ac:dyDescent="0.3">
      <c r="A1372" s="419"/>
      <c r="B1372" s="367" t="s">
        <v>148</v>
      </c>
      <c r="C1372" s="66"/>
      <c r="D1372" s="81">
        <f>31-D1371</f>
        <v>7</v>
      </c>
      <c r="E1372" s="67"/>
      <c r="F1372" s="67"/>
      <c r="G1372" s="81">
        <f>31-G1371</f>
        <v>1.5</v>
      </c>
      <c r="H1372" s="243"/>
      <c r="I1372" s="112"/>
      <c r="J1372" s="263"/>
    </row>
    <row r="1373" spans="1:10" ht="17.25" customHeight="1" thickBot="1" x14ac:dyDescent="0.4">
      <c r="A1373" s="420"/>
      <c r="B1373" s="368" t="s">
        <v>149</v>
      </c>
      <c r="C1373" s="71">
        <f>SUM(C1359:C1370)</f>
        <v>4689</v>
      </c>
      <c r="D1373" s="71">
        <f>D1371+D1372</f>
        <v>31</v>
      </c>
      <c r="E1373" s="71">
        <f>E1371+E1372</f>
        <v>0</v>
      </c>
      <c r="F1373" s="71">
        <f>SUM(F1359:F1370)</f>
        <v>4390.3119999999999</v>
      </c>
      <c r="G1373" s="71">
        <f t="shared" ref="G1373" si="200">G1371+G1372</f>
        <v>31</v>
      </c>
      <c r="H1373" s="82"/>
      <c r="I1373" s="73">
        <f>F1373/C1373</f>
        <v>0.93630027724461506</v>
      </c>
      <c r="J1373" s="264"/>
    </row>
    <row r="1374" spans="1:10" ht="15.75" x14ac:dyDescent="0.3">
      <c r="A1374" s="421" t="s">
        <v>161</v>
      </c>
      <c r="B1374" s="50" t="s">
        <v>199</v>
      </c>
      <c r="C1374" s="51">
        <v>610</v>
      </c>
      <c r="D1374" s="83">
        <v>9</v>
      </c>
      <c r="E1374" s="52">
        <f>C1374/D1374</f>
        <v>67.777777777777771</v>
      </c>
      <c r="F1374" s="51"/>
      <c r="G1374" s="83"/>
      <c r="H1374" s="53" t="e">
        <f t="shared" ref="H1374:H1376" si="201">F1374/G1374</f>
        <v>#DIV/0!</v>
      </c>
      <c r="I1374" s="92" t="e">
        <f t="shared" ref="I1374:I1376" si="202">H1374/E1374</f>
        <v>#DIV/0!</v>
      </c>
      <c r="J1374" s="265"/>
    </row>
    <row r="1375" spans="1:10" ht="15.75" x14ac:dyDescent="0.3">
      <c r="A1375" s="422"/>
      <c r="B1375" s="50" t="s">
        <v>457</v>
      </c>
      <c r="C1375" s="76">
        <v>320</v>
      </c>
      <c r="D1375" s="84">
        <v>5</v>
      </c>
      <c r="E1375" s="52">
        <f>C1375/D1375</f>
        <v>64</v>
      </c>
      <c r="F1375" s="51">
        <v>233.18499999999997</v>
      </c>
      <c r="G1375" s="52">
        <v>3.5</v>
      </c>
      <c r="H1375" s="53">
        <f t="shared" si="201"/>
        <v>66.624285714285705</v>
      </c>
      <c r="I1375" s="92">
        <f t="shared" si="202"/>
        <v>1.0410044642857141</v>
      </c>
      <c r="J1375" s="266"/>
    </row>
    <row r="1376" spans="1:10" ht="15.75" x14ac:dyDescent="0.3">
      <c r="A1376" s="422"/>
      <c r="B1376" s="50" t="s">
        <v>448</v>
      </c>
      <c r="C1376" s="76">
        <v>239</v>
      </c>
      <c r="D1376" s="84">
        <v>2</v>
      </c>
      <c r="E1376" s="52">
        <f t="shared" ref="E1376:E1383" si="203">C1376/D1376</f>
        <v>119.5</v>
      </c>
      <c r="F1376" s="57">
        <v>165.81</v>
      </c>
      <c r="G1376" s="52">
        <v>1.5</v>
      </c>
      <c r="H1376" s="53">
        <f t="shared" si="201"/>
        <v>110.54</v>
      </c>
      <c r="I1376" s="92">
        <f t="shared" si="202"/>
        <v>0.92502092050209206</v>
      </c>
      <c r="J1376" s="266"/>
    </row>
    <row r="1377" spans="1:10" ht="15.75" x14ac:dyDescent="0.3">
      <c r="A1377" s="422"/>
      <c r="B1377" s="50" t="s">
        <v>418</v>
      </c>
      <c r="C1377" s="76"/>
      <c r="D1377" s="84"/>
      <c r="E1377" s="52" t="e">
        <f t="shared" si="203"/>
        <v>#DIV/0!</v>
      </c>
      <c r="F1377" s="57"/>
      <c r="G1377" s="90"/>
      <c r="H1377" s="241" t="e">
        <f>F1377/G1377</f>
        <v>#DIV/0!</v>
      </c>
      <c r="I1377" s="92"/>
      <c r="J1377" s="266"/>
    </row>
    <row r="1378" spans="1:10" ht="15.75" x14ac:dyDescent="0.3">
      <c r="A1378" s="422"/>
      <c r="B1378" s="50" t="s">
        <v>454</v>
      </c>
      <c r="C1378" s="76">
        <v>250</v>
      </c>
      <c r="D1378" s="84">
        <v>2</v>
      </c>
      <c r="E1378" s="52">
        <f t="shared" si="203"/>
        <v>125</v>
      </c>
      <c r="F1378" s="79"/>
      <c r="G1378" s="90"/>
      <c r="H1378" s="241"/>
      <c r="I1378" s="92"/>
      <c r="J1378" s="266"/>
    </row>
    <row r="1379" spans="1:10" ht="15.75" x14ac:dyDescent="0.3">
      <c r="A1379" s="422"/>
      <c r="B1379" s="50" t="s">
        <v>420</v>
      </c>
      <c r="C1379" s="76"/>
      <c r="D1379" s="84"/>
      <c r="E1379" s="52" t="e">
        <f t="shared" si="203"/>
        <v>#DIV/0!</v>
      </c>
      <c r="F1379" s="79"/>
      <c r="G1379" s="90"/>
      <c r="H1379" s="241" t="e">
        <f>F1379/G1379</f>
        <v>#DIV/0!</v>
      </c>
      <c r="I1379" s="92"/>
      <c r="J1379" s="266"/>
    </row>
    <row r="1380" spans="1:10" ht="15.75" x14ac:dyDescent="0.3">
      <c r="A1380" s="422"/>
      <c r="B1380" s="50" t="s">
        <v>417</v>
      </c>
      <c r="C1380" s="76"/>
      <c r="D1380" s="84"/>
      <c r="E1380" s="52" t="e">
        <f t="shared" si="203"/>
        <v>#DIV/0!</v>
      </c>
      <c r="F1380" s="344"/>
      <c r="G1380" s="90"/>
      <c r="H1380" s="241" t="e">
        <f>F1380/G1380</f>
        <v>#DIV/0!</v>
      </c>
      <c r="I1380" s="92"/>
      <c r="J1380" s="266"/>
    </row>
    <row r="1381" spans="1:10" ht="15.75" x14ac:dyDescent="0.3">
      <c r="A1381" s="422"/>
      <c r="B1381" s="50" t="s">
        <v>383</v>
      </c>
      <c r="C1381" s="76"/>
      <c r="D1381" s="52"/>
      <c r="E1381" s="52" t="e">
        <f t="shared" si="203"/>
        <v>#DIV/0!</v>
      </c>
      <c r="F1381" s="51">
        <v>424.05599999999998</v>
      </c>
      <c r="G1381" s="90">
        <v>3</v>
      </c>
      <c r="H1381" s="241">
        <f>F1381/G1381</f>
        <v>141.352</v>
      </c>
      <c r="I1381" s="92" t="e">
        <f t="shared" ref="I1381" si="204">H1381/E1381</f>
        <v>#DIV/0!</v>
      </c>
      <c r="J1381" s="266"/>
    </row>
    <row r="1382" spans="1:10" ht="15.75" x14ac:dyDescent="0.3">
      <c r="A1382" s="422"/>
      <c r="B1382" s="50" t="s">
        <v>232</v>
      </c>
      <c r="C1382" s="76">
        <v>250</v>
      </c>
      <c r="D1382" s="84">
        <v>2</v>
      </c>
      <c r="E1382" s="52">
        <f t="shared" si="203"/>
        <v>125</v>
      </c>
      <c r="F1382" s="51"/>
      <c r="G1382" s="52"/>
      <c r="H1382" s="53" t="e">
        <f t="shared" ref="H1382:H1387" si="205">F1382/G1382</f>
        <v>#DIV/0!</v>
      </c>
      <c r="I1382" s="92"/>
      <c r="J1382" s="266"/>
    </row>
    <row r="1383" spans="1:10" ht="15.75" x14ac:dyDescent="0.3">
      <c r="A1383" s="422"/>
      <c r="B1383" s="50" t="s">
        <v>404</v>
      </c>
      <c r="C1383" s="76"/>
      <c r="D1383" s="84"/>
      <c r="E1383" s="52" t="e">
        <f t="shared" si="203"/>
        <v>#DIV/0!</v>
      </c>
      <c r="F1383" s="51"/>
      <c r="G1383" s="52"/>
      <c r="H1383" s="53" t="e">
        <f t="shared" si="205"/>
        <v>#DIV/0!</v>
      </c>
      <c r="I1383" s="92"/>
      <c r="J1383" s="266"/>
    </row>
    <row r="1384" spans="1:10" ht="15.75" x14ac:dyDescent="0.3">
      <c r="A1384" s="422"/>
      <c r="B1384" s="50"/>
      <c r="C1384" s="76"/>
      <c r="D1384" s="84"/>
      <c r="E1384" s="52"/>
      <c r="F1384" s="57"/>
      <c r="G1384" s="52"/>
      <c r="H1384" s="53" t="e">
        <f t="shared" si="205"/>
        <v>#DIV/0!</v>
      </c>
      <c r="I1384" s="92" t="e">
        <f t="shared" ref="I1384:I1386" si="206">H1384/E1384</f>
        <v>#DIV/0!</v>
      </c>
      <c r="J1384" s="266"/>
    </row>
    <row r="1385" spans="1:10" ht="15.75" x14ac:dyDescent="0.3">
      <c r="A1385" s="422"/>
      <c r="B1385" s="50" t="s">
        <v>419</v>
      </c>
      <c r="C1385" s="76"/>
      <c r="D1385" s="84"/>
      <c r="E1385" s="52" t="e">
        <f t="shared" ref="E1385:E1386" si="207">C1385/D1385</f>
        <v>#DIV/0!</v>
      </c>
      <c r="F1385" s="57"/>
      <c r="G1385" s="52"/>
      <c r="H1385" s="53" t="e">
        <f t="shared" si="205"/>
        <v>#DIV/0!</v>
      </c>
      <c r="I1385" s="92" t="e">
        <f t="shared" si="206"/>
        <v>#DIV/0!</v>
      </c>
      <c r="J1385" s="266"/>
    </row>
    <row r="1386" spans="1:10" ht="15.75" x14ac:dyDescent="0.3">
      <c r="A1386" s="422"/>
      <c r="B1386" s="50" t="s">
        <v>458</v>
      </c>
      <c r="C1386" s="76">
        <f>5*70</f>
        <v>350</v>
      </c>
      <c r="D1386" s="84">
        <v>5</v>
      </c>
      <c r="E1386" s="52">
        <f t="shared" si="207"/>
        <v>70</v>
      </c>
      <c r="F1386" s="57">
        <v>414.38799999999992</v>
      </c>
      <c r="G1386" s="52">
        <v>6</v>
      </c>
      <c r="H1386" s="53">
        <f t="shared" si="205"/>
        <v>69.064666666666653</v>
      </c>
      <c r="I1386" s="92">
        <f t="shared" si="206"/>
        <v>0.98663809523809509</v>
      </c>
      <c r="J1386" s="266"/>
    </row>
    <row r="1387" spans="1:10" ht="15.75" x14ac:dyDescent="0.3">
      <c r="A1387" s="422"/>
      <c r="B1387" s="50" t="s">
        <v>398</v>
      </c>
      <c r="C1387" s="76"/>
      <c r="D1387" s="84"/>
      <c r="E1387" s="52" t="e">
        <f>C1387/D1387</f>
        <v>#DIV/0!</v>
      </c>
      <c r="F1387" s="57"/>
      <c r="G1387" s="52"/>
      <c r="H1387" s="53" t="e">
        <f t="shared" si="205"/>
        <v>#DIV/0!</v>
      </c>
      <c r="I1387" s="92" t="e">
        <f>H1387/E1387</f>
        <v>#DIV/0!</v>
      </c>
      <c r="J1387" s="266"/>
    </row>
    <row r="1388" spans="1:10" ht="16.5" x14ac:dyDescent="0.35">
      <c r="A1388" s="422"/>
      <c r="B1388" s="59" t="s">
        <v>146</v>
      </c>
      <c r="C1388" s="61">
        <f>SUM(C1374:C1387)</f>
        <v>2019</v>
      </c>
      <c r="D1388" s="61">
        <f t="shared" ref="D1388" si="208">SUM(D1374:D1387)</f>
        <v>25</v>
      </c>
      <c r="E1388" s="61"/>
      <c r="F1388" s="61">
        <f t="shared" ref="F1388:G1388" si="209">SUM(F1374:F1387)</f>
        <v>1237.4389999999999</v>
      </c>
      <c r="G1388" s="61">
        <f t="shared" si="209"/>
        <v>14</v>
      </c>
      <c r="H1388" s="61"/>
      <c r="I1388" s="92"/>
      <c r="J1388" s="266"/>
    </row>
    <row r="1389" spans="1:10" ht="15.75" x14ac:dyDescent="0.3">
      <c r="A1389" s="422"/>
      <c r="B1389" s="65" t="s">
        <v>148</v>
      </c>
      <c r="C1389" s="66"/>
      <c r="D1389" s="67">
        <f>31-D1388</f>
        <v>6</v>
      </c>
      <c r="E1389" s="67"/>
      <c r="F1389" s="67"/>
      <c r="G1389" s="67">
        <f>31-G1388</f>
        <v>17</v>
      </c>
      <c r="H1389" s="87"/>
      <c r="I1389" s="92"/>
      <c r="J1389" s="266"/>
    </row>
    <row r="1390" spans="1:10" ht="17.25" thickBot="1" x14ac:dyDescent="0.4">
      <c r="A1390" s="423"/>
      <c r="B1390" s="70" t="s">
        <v>149</v>
      </c>
      <c r="C1390" s="71">
        <f>SUM(C1374:C1387)</f>
        <v>2019</v>
      </c>
      <c r="D1390" s="71">
        <f>D1388+D1389</f>
        <v>31</v>
      </c>
      <c r="E1390" s="71"/>
      <c r="F1390" s="71">
        <f>SUM(F1374:F1387)</f>
        <v>1237.4389999999999</v>
      </c>
      <c r="G1390" s="71">
        <f>G1389+G1388</f>
        <v>31</v>
      </c>
      <c r="H1390" s="82"/>
      <c r="I1390" s="73">
        <f>F1390/C1390</f>
        <v>0.61289697870232784</v>
      </c>
      <c r="J1390" s="267"/>
    </row>
    <row r="1391" spans="1:10" ht="15.75" x14ac:dyDescent="0.3">
      <c r="A1391" s="421" t="s">
        <v>169</v>
      </c>
      <c r="B1391" s="88" t="s">
        <v>170</v>
      </c>
      <c r="C1391" s="89">
        <v>360</v>
      </c>
      <c r="D1391" s="52">
        <v>6</v>
      </c>
      <c r="E1391" s="52">
        <f>C1391/D1391</f>
        <v>60</v>
      </c>
      <c r="F1391" s="51">
        <v>360.56</v>
      </c>
      <c r="G1391" s="52">
        <v>6</v>
      </c>
      <c r="H1391" s="53">
        <f>F1391/G1391</f>
        <v>60.093333333333334</v>
      </c>
      <c r="I1391" s="92">
        <f>H1391/E1391</f>
        <v>1.0015555555555555</v>
      </c>
      <c r="J1391" s="265"/>
    </row>
    <row r="1392" spans="1:10" ht="15.75" x14ac:dyDescent="0.3">
      <c r="A1392" s="422"/>
      <c r="B1392" s="244" t="s">
        <v>331</v>
      </c>
      <c r="C1392" s="51"/>
      <c r="D1392" s="52"/>
      <c r="E1392" s="52" t="e">
        <f>C1392/D1392</f>
        <v>#DIV/0!</v>
      </c>
      <c r="F1392" s="51"/>
      <c r="G1392" s="52"/>
      <c r="H1392" s="53" t="e">
        <f>F1392/G1392</f>
        <v>#DIV/0!</v>
      </c>
      <c r="I1392" s="92" t="e">
        <f>H1392/E1392</f>
        <v>#DIV/0!</v>
      </c>
      <c r="J1392" s="266"/>
    </row>
    <row r="1393" spans="1:10" ht="15.75" x14ac:dyDescent="0.3">
      <c r="A1393" s="422"/>
      <c r="B1393" s="80" t="s">
        <v>440</v>
      </c>
      <c r="C1393" s="76"/>
      <c r="D1393" s="52"/>
      <c r="E1393" s="52" t="e">
        <f t="shared" ref="E1393:E1399" si="210">C1393/D1393</f>
        <v>#DIV/0!</v>
      </c>
      <c r="F1393" s="57"/>
      <c r="G1393" s="52"/>
      <c r="H1393" s="53" t="e">
        <f t="shared" ref="H1393" si="211">F1393/G1393</f>
        <v>#DIV/0!</v>
      </c>
      <c r="I1393" s="92" t="e">
        <f t="shared" ref="I1393" si="212">H1393/E1393</f>
        <v>#DIV/0!</v>
      </c>
      <c r="J1393" s="266"/>
    </row>
    <row r="1394" spans="1:10" ht="15.75" x14ac:dyDescent="0.3">
      <c r="A1394" s="422"/>
      <c r="B1394" s="80" t="s">
        <v>449</v>
      </c>
      <c r="C1394" s="76">
        <v>730</v>
      </c>
      <c r="D1394" s="52">
        <v>9</v>
      </c>
      <c r="E1394" s="52">
        <f t="shared" si="210"/>
        <v>81.111111111111114</v>
      </c>
      <c r="F1394" s="57">
        <v>324.79099999999994</v>
      </c>
      <c r="G1394" s="52">
        <v>6</v>
      </c>
      <c r="H1394" s="53">
        <f>F1394/G1394</f>
        <v>54.131833333333326</v>
      </c>
      <c r="I1394" s="92">
        <f>H1394/E1394</f>
        <v>0.66737876712328759</v>
      </c>
      <c r="J1394" s="266"/>
    </row>
    <row r="1395" spans="1:10" ht="15.75" x14ac:dyDescent="0.3">
      <c r="A1395" s="422"/>
      <c r="B1395" s="80" t="s">
        <v>432</v>
      </c>
      <c r="C1395" s="76"/>
      <c r="D1395" s="52"/>
      <c r="E1395" s="52" t="e">
        <f t="shared" si="210"/>
        <v>#DIV/0!</v>
      </c>
      <c r="F1395" s="57">
        <f>399.73+236.838+644.95</f>
        <v>1281.518</v>
      </c>
      <c r="G1395" s="52">
        <f>3+3+4.5</f>
        <v>10.5</v>
      </c>
      <c r="H1395" s="53">
        <f>F1395/G1395</f>
        <v>122.04933333333334</v>
      </c>
      <c r="I1395" s="92" t="e">
        <f>H1395/E1395</f>
        <v>#DIV/0!</v>
      </c>
      <c r="J1395" s="266"/>
    </row>
    <row r="1396" spans="1:10" ht="15.75" x14ac:dyDescent="0.3">
      <c r="A1396" s="422"/>
      <c r="B1396" s="80" t="s">
        <v>441</v>
      </c>
      <c r="C1396" s="76"/>
      <c r="D1396" s="52"/>
      <c r="E1396" s="52" t="e">
        <f t="shared" si="210"/>
        <v>#DIV/0!</v>
      </c>
      <c r="F1396" s="57"/>
      <c r="G1396" s="52"/>
      <c r="H1396" s="53" t="e">
        <f t="shared" ref="H1396:H1397" si="213">F1396/G1396</f>
        <v>#DIV/0!</v>
      </c>
      <c r="I1396" s="92" t="e">
        <f t="shared" ref="I1396:I1397" si="214">H1396/E1396</f>
        <v>#DIV/0!</v>
      </c>
      <c r="J1396" s="266"/>
    </row>
    <row r="1397" spans="1:10" ht="15.75" x14ac:dyDescent="0.3">
      <c r="A1397" s="422"/>
      <c r="B1397" s="80" t="s">
        <v>175</v>
      </c>
      <c r="C1397" s="76"/>
      <c r="D1397" s="52"/>
      <c r="E1397" s="52" t="e">
        <f t="shared" si="210"/>
        <v>#DIV/0!</v>
      </c>
      <c r="F1397" s="57"/>
      <c r="G1397" s="52"/>
      <c r="H1397" s="53" t="e">
        <f t="shared" si="213"/>
        <v>#DIV/0!</v>
      </c>
      <c r="I1397" s="92" t="e">
        <f t="shared" si="214"/>
        <v>#DIV/0!</v>
      </c>
      <c r="J1397" s="266"/>
    </row>
    <row r="1398" spans="1:10" ht="15.75" x14ac:dyDescent="0.3">
      <c r="A1398" s="422"/>
      <c r="B1398" s="80" t="s">
        <v>428</v>
      </c>
      <c r="C1398" s="76"/>
      <c r="D1398" s="52"/>
      <c r="E1398" s="52" t="e">
        <f t="shared" si="210"/>
        <v>#DIV/0!</v>
      </c>
      <c r="F1398" s="57"/>
      <c r="G1398" s="52"/>
      <c r="H1398" s="53" t="e">
        <f>F1398/G1398</f>
        <v>#DIV/0!</v>
      </c>
      <c r="I1398" s="92" t="e">
        <f>H1398/E1398</f>
        <v>#DIV/0!</v>
      </c>
      <c r="J1398" s="266"/>
    </row>
    <row r="1399" spans="1:10" ht="15.75" x14ac:dyDescent="0.3">
      <c r="A1399" s="422"/>
      <c r="B1399" s="80" t="s">
        <v>450</v>
      </c>
      <c r="C1399" s="76">
        <v>587</v>
      </c>
      <c r="D1399" s="52">
        <v>9</v>
      </c>
      <c r="E1399" s="52">
        <f t="shared" si="210"/>
        <v>65.222222222222229</v>
      </c>
      <c r="F1399" s="52">
        <v>404.48099999999999</v>
      </c>
      <c r="G1399" s="52">
        <v>6</v>
      </c>
      <c r="H1399" s="53">
        <f>F1399/G1399</f>
        <v>67.413499999999999</v>
      </c>
      <c r="I1399" s="92">
        <f>H1399/E1399</f>
        <v>1.0335971039182281</v>
      </c>
      <c r="J1399" s="266"/>
    </row>
    <row r="1400" spans="1:10" ht="16.5" x14ac:dyDescent="0.35">
      <c r="A1400" s="422"/>
      <c r="B1400" s="59" t="s">
        <v>146</v>
      </c>
      <c r="C1400" s="61">
        <f>SUM(C1391:C1399)</f>
        <v>1677</v>
      </c>
      <c r="D1400" s="61">
        <f>SUM(D1391:D1399)</f>
        <v>24</v>
      </c>
      <c r="E1400" s="61"/>
      <c r="F1400" s="61">
        <f>SUM(F1391:F1399)</f>
        <v>2371.35</v>
      </c>
      <c r="G1400" s="63">
        <f>SUM(G1391:G1399)</f>
        <v>28.5</v>
      </c>
      <c r="H1400" s="64"/>
      <c r="I1400" s="92"/>
      <c r="J1400" s="266"/>
    </row>
    <row r="1401" spans="1:10" ht="15.75" x14ac:dyDescent="0.3">
      <c r="A1401" s="422"/>
      <c r="B1401" s="65" t="s">
        <v>148</v>
      </c>
      <c r="C1401" s="66"/>
      <c r="D1401" s="68">
        <f>31-D1400</f>
        <v>7</v>
      </c>
      <c r="E1401" s="67"/>
      <c r="F1401" s="67"/>
      <c r="G1401" s="68">
        <f>31-G1400</f>
        <v>2.5</v>
      </c>
      <c r="H1401" s="87"/>
      <c r="I1401" s="92"/>
      <c r="J1401" s="266"/>
    </row>
    <row r="1402" spans="1:10" ht="17.25" thickBot="1" x14ac:dyDescent="0.4">
      <c r="A1402" s="423"/>
      <c r="B1402" s="70" t="s">
        <v>149</v>
      </c>
      <c r="C1402" s="71">
        <f>SUM(C1391:C1399)</f>
        <v>1677</v>
      </c>
      <c r="D1402" s="71">
        <f>D1400+D1401</f>
        <v>31</v>
      </c>
      <c r="E1402" s="71"/>
      <c r="F1402" s="71">
        <f>SUM(F1391:F1399)</f>
        <v>2371.35</v>
      </c>
      <c r="G1402" s="71">
        <f>G1400+G1401</f>
        <v>31</v>
      </c>
      <c r="H1402" s="58"/>
      <c r="I1402" s="73">
        <f>F1402/C1402</f>
        <v>1.4140429338103757</v>
      </c>
      <c r="J1402" s="267"/>
    </row>
    <row r="1403" spans="1:10" ht="15.75" x14ac:dyDescent="0.3">
      <c r="A1403" s="406" t="s">
        <v>176</v>
      </c>
      <c r="B1403" s="80" t="s">
        <v>177</v>
      </c>
      <c r="C1403" s="76">
        <v>380</v>
      </c>
      <c r="D1403" s="52">
        <v>5</v>
      </c>
      <c r="E1403" s="52">
        <f t="shared" ref="E1403:E1408" si="215">C1403/D1403</f>
        <v>76</v>
      </c>
      <c r="F1403" s="51">
        <v>390</v>
      </c>
      <c r="G1403" s="93">
        <v>5</v>
      </c>
      <c r="H1403" s="53">
        <f t="shared" ref="H1403:H1408" si="216">F1403/G1403</f>
        <v>78</v>
      </c>
      <c r="I1403" s="92">
        <f t="shared" ref="I1403:I1404" si="217">H1403/E1403</f>
        <v>1.0263157894736843</v>
      </c>
      <c r="J1403" s="268"/>
    </row>
    <row r="1404" spans="1:10" ht="15.75" x14ac:dyDescent="0.3">
      <c r="A1404" s="407"/>
      <c r="B1404" s="80" t="s">
        <v>442</v>
      </c>
      <c r="C1404" s="76">
        <v>500</v>
      </c>
      <c r="D1404" s="84">
        <v>5</v>
      </c>
      <c r="E1404" s="52">
        <f t="shared" si="215"/>
        <v>100</v>
      </c>
      <c r="F1404" s="93">
        <v>165</v>
      </c>
      <c r="G1404" s="93">
        <v>2</v>
      </c>
      <c r="H1404" s="53">
        <f t="shared" si="216"/>
        <v>82.5</v>
      </c>
      <c r="I1404" s="92">
        <f t="shared" si="217"/>
        <v>0.82499999999999996</v>
      </c>
      <c r="J1404" s="269"/>
    </row>
    <row r="1405" spans="1:10" ht="15.75" x14ac:dyDescent="0.3">
      <c r="A1405" s="407"/>
      <c r="B1405" s="80" t="s">
        <v>429</v>
      </c>
      <c r="C1405" s="51"/>
      <c r="D1405" s="52"/>
      <c r="E1405" s="52" t="e">
        <f t="shared" si="215"/>
        <v>#DIV/0!</v>
      </c>
      <c r="F1405" s="51"/>
      <c r="G1405" s="93"/>
      <c r="H1405" s="53" t="e">
        <f t="shared" si="216"/>
        <v>#DIV/0!</v>
      </c>
      <c r="I1405" s="92" t="e">
        <f>H1405/E1405</f>
        <v>#DIV/0!</v>
      </c>
      <c r="J1405" s="269"/>
    </row>
    <row r="1406" spans="1:10" ht="15.75" x14ac:dyDescent="0.3">
      <c r="A1406" s="407"/>
      <c r="B1406" s="80" t="s">
        <v>233</v>
      </c>
      <c r="C1406" s="51">
        <v>420</v>
      </c>
      <c r="D1406" s="52">
        <v>6</v>
      </c>
      <c r="E1406" s="52">
        <f t="shared" si="215"/>
        <v>70</v>
      </c>
      <c r="F1406" s="51">
        <v>254</v>
      </c>
      <c r="G1406" s="93">
        <v>5</v>
      </c>
      <c r="H1406" s="53">
        <f t="shared" si="216"/>
        <v>50.8</v>
      </c>
      <c r="I1406" s="92">
        <f>H1406/E1406</f>
        <v>0.72571428571428565</v>
      </c>
      <c r="J1406" s="269"/>
    </row>
    <row r="1407" spans="1:10" ht="15.75" x14ac:dyDescent="0.3">
      <c r="A1407" s="407"/>
      <c r="B1407" s="80" t="s">
        <v>181</v>
      </c>
      <c r="C1407" s="51">
        <v>880</v>
      </c>
      <c r="D1407" s="52">
        <v>10</v>
      </c>
      <c r="E1407" s="52">
        <f t="shared" si="215"/>
        <v>88</v>
      </c>
      <c r="F1407" s="51">
        <v>1237.5</v>
      </c>
      <c r="G1407" s="93">
        <v>15</v>
      </c>
      <c r="H1407" s="53">
        <f t="shared" si="216"/>
        <v>82.5</v>
      </c>
      <c r="I1407" s="92">
        <f>H1407/E1407</f>
        <v>0.9375</v>
      </c>
      <c r="J1407" s="269"/>
    </row>
    <row r="1408" spans="1:10" ht="15.75" x14ac:dyDescent="0.3">
      <c r="A1408" s="407"/>
      <c r="B1408" s="121" t="s">
        <v>430</v>
      </c>
      <c r="C1408" s="94"/>
      <c r="D1408" s="86"/>
      <c r="E1408" s="52" t="e">
        <f t="shared" si="215"/>
        <v>#DIV/0!</v>
      </c>
      <c r="F1408" s="95"/>
      <c r="G1408" s="96"/>
      <c r="H1408" s="53" t="e">
        <f t="shared" si="216"/>
        <v>#DIV/0!</v>
      </c>
      <c r="I1408" s="92" t="e">
        <f>H1408/E1408</f>
        <v>#DIV/0!</v>
      </c>
      <c r="J1408" s="269"/>
    </row>
    <row r="1409" spans="1:10" ht="16.5" x14ac:dyDescent="0.35">
      <c r="A1409" s="407"/>
      <c r="B1409" s="59" t="s">
        <v>146</v>
      </c>
      <c r="C1409" s="60"/>
      <c r="D1409" s="61">
        <f>SUM(D1403:D1408)</f>
        <v>26</v>
      </c>
      <c r="E1409" s="61"/>
      <c r="F1409" s="62"/>
      <c r="G1409" s="61">
        <f>SUM(G1403:G1408)</f>
        <v>27</v>
      </c>
      <c r="H1409" s="61"/>
      <c r="I1409" s="92"/>
      <c r="J1409" s="269"/>
    </row>
    <row r="1410" spans="1:10" ht="15.75" x14ac:dyDescent="0.3">
      <c r="A1410" s="407"/>
      <c r="B1410" s="65" t="s">
        <v>148</v>
      </c>
      <c r="C1410" s="66"/>
      <c r="D1410" s="68">
        <f>31-D1409</f>
        <v>5</v>
      </c>
      <c r="E1410" s="67"/>
      <c r="F1410" s="67"/>
      <c r="G1410" s="68">
        <f>31-G1409</f>
        <v>4</v>
      </c>
      <c r="H1410" s="97"/>
      <c r="I1410" s="92"/>
      <c r="J1410" s="269"/>
    </row>
    <row r="1411" spans="1:10" ht="17.25" thickBot="1" x14ac:dyDescent="0.4">
      <c r="A1411" s="408"/>
      <c r="B1411" s="70" t="s">
        <v>149</v>
      </c>
      <c r="C1411" s="71">
        <f>SUM(C1403:C1408)</f>
        <v>2180</v>
      </c>
      <c r="D1411" s="71">
        <f>D1410+D1409</f>
        <v>31</v>
      </c>
      <c r="E1411" s="98"/>
      <c r="F1411" s="71">
        <f>SUM(F1403:F1408)</f>
        <v>2046.5</v>
      </c>
      <c r="G1411" s="71">
        <f>G1410+G1409</f>
        <v>31</v>
      </c>
      <c r="H1411" s="99"/>
      <c r="I1411" s="73">
        <f>F1411/C1411</f>
        <v>0.93876146788990822</v>
      </c>
      <c r="J1411" s="270"/>
    </row>
    <row r="1412" spans="1:10" ht="15.75" x14ac:dyDescent="0.3">
      <c r="A1412" s="406" t="s">
        <v>183</v>
      </c>
      <c r="B1412" s="50" t="s">
        <v>77</v>
      </c>
      <c r="C1412" s="51">
        <v>150</v>
      </c>
      <c r="D1412" s="52">
        <v>1</v>
      </c>
      <c r="E1412" s="52">
        <f t="shared" ref="E1412:E1417" si="218">C1412/D1412</f>
        <v>150</v>
      </c>
      <c r="F1412" s="51">
        <v>352.89699999999999</v>
      </c>
      <c r="G1412" s="93">
        <v>2.5</v>
      </c>
      <c r="H1412" s="96">
        <f>F1412/G1412</f>
        <v>141.15879999999999</v>
      </c>
      <c r="I1412" s="92">
        <f>H1412/E1412</f>
        <v>0.9410586666666666</v>
      </c>
      <c r="J1412" s="271"/>
    </row>
    <row r="1413" spans="1:10" ht="15.75" x14ac:dyDescent="0.3">
      <c r="A1413" s="407"/>
      <c r="B1413" s="50" t="s">
        <v>243</v>
      </c>
      <c r="C1413" s="51">
        <v>600</v>
      </c>
      <c r="D1413" s="52">
        <v>4</v>
      </c>
      <c r="E1413" s="52">
        <f t="shared" si="218"/>
        <v>150</v>
      </c>
      <c r="F1413" s="57">
        <v>939.28700000000003</v>
      </c>
      <c r="G1413" s="93">
        <v>7.5</v>
      </c>
      <c r="H1413" s="96">
        <f>F1413/G1413</f>
        <v>125.23826666666668</v>
      </c>
      <c r="I1413" s="92">
        <f>H1413/E1413</f>
        <v>0.83492177777777787</v>
      </c>
      <c r="J1413" s="272"/>
    </row>
    <row r="1414" spans="1:10" ht="15.75" x14ac:dyDescent="0.3">
      <c r="A1414" s="407"/>
      <c r="B1414" s="50" t="s">
        <v>184</v>
      </c>
      <c r="C1414" s="51">
        <v>700</v>
      </c>
      <c r="D1414" s="52">
        <v>5</v>
      </c>
      <c r="E1414" s="52">
        <f t="shared" si="218"/>
        <v>140</v>
      </c>
      <c r="F1414" s="51">
        <v>941.50400000000002</v>
      </c>
      <c r="G1414" s="93">
        <v>5.5</v>
      </c>
      <c r="H1414" s="96">
        <f>F1414/G1414</f>
        <v>171.18254545454545</v>
      </c>
      <c r="I1414" s="92">
        <f>H1414/E1414</f>
        <v>1.2227324675324676</v>
      </c>
      <c r="J1414" s="272"/>
    </row>
    <row r="1415" spans="1:10" ht="15.75" x14ac:dyDescent="0.3">
      <c r="A1415" s="407"/>
      <c r="B1415" s="50" t="s">
        <v>447</v>
      </c>
      <c r="C1415" s="51">
        <v>240</v>
      </c>
      <c r="D1415" s="52">
        <v>2</v>
      </c>
      <c r="E1415" s="52">
        <f t="shared" si="218"/>
        <v>120</v>
      </c>
      <c r="F1415" s="51"/>
      <c r="G1415" s="93"/>
      <c r="H1415" s="96" t="e">
        <f t="shared" ref="H1415:H1420" si="219">F1415/G1415</f>
        <v>#DIV/0!</v>
      </c>
      <c r="I1415" s="92" t="e">
        <f t="shared" ref="I1415:I1420" si="220">H1415/E1415</f>
        <v>#DIV/0!</v>
      </c>
      <c r="J1415" s="272"/>
    </row>
    <row r="1416" spans="1:10" ht="15.75" x14ac:dyDescent="0.3">
      <c r="A1416" s="407"/>
      <c r="B1416" s="50" t="s">
        <v>365</v>
      </c>
      <c r="C1416" s="51">
        <v>1660</v>
      </c>
      <c r="D1416" s="52">
        <v>9</v>
      </c>
      <c r="E1416" s="52">
        <f t="shared" si="218"/>
        <v>184.44444444444446</v>
      </c>
      <c r="F1416" s="57">
        <v>1201.75</v>
      </c>
      <c r="G1416" s="334">
        <v>6</v>
      </c>
      <c r="H1416" s="96">
        <f t="shared" si="219"/>
        <v>200.29166666666666</v>
      </c>
      <c r="I1416" s="92">
        <f t="shared" si="220"/>
        <v>1.085918674698795</v>
      </c>
      <c r="J1416" s="272"/>
    </row>
    <row r="1417" spans="1:10" ht="15.75" x14ac:dyDescent="0.3">
      <c r="A1417" s="424"/>
      <c r="B1417" s="56" t="s">
        <v>443</v>
      </c>
      <c r="C1417" s="57"/>
      <c r="D1417" s="58"/>
      <c r="E1417" s="52" t="e">
        <f t="shared" si="218"/>
        <v>#DIV/0!</v>
      </c>
      <c r="F1417" s="57"/>
      <c r="G1417" s="334"/>
      <c r="H1417" s="96" t="e">
        <f t="shared" si="219"/>
        <v>#DIV/0!</v>
      </c>
      <c r="I1417" s="92" t="e">
        <f t="shared" si="220"/>
        <v>#DIV/0!</v>
      </c>
      <c r="J1417" s="272"/>
    </row>
    <row r="1418" spans="1:10" ht="15.75" x14ac:dyDescent="0.3">
      <c r="A1418" s="424"/>
      <c r="B1418" s="56" t="s">
        <v>364</v>
      </c>
      <c r="C1418" s="57"/>
      <c r="D1418" s="58"/>
      <c r="E1418" s="52"/>
      <c r="F1418" s="51">
        <v>774.32400000000007</v>
      </c>
      <c r="G1418" s="334">
        <v>5</v>
      </c>
      <c r="H1418" s="93">
        <f t="shared" si="219"/>
        <v>154.8648</v>
      </c>
      <c r="I1418" s="363" t="e">
        <f t="shared" si="220"/>
        <v>#DIV/0!</v>
      </c>
      <c r="J1418" s="272"/>
    </row>
    <row r="1419" spans="1:10" ht="15.75" x14ac:dyDescent="0.3">
      <c r="A1419" s="424"/>
      <c r="B1419" s="56" t="s">
        <v>423</v>
      </c>
      <c r="C1419" s="57">
        <v>345</v>
      </c>
      <c r="D1419" s="58">
        <v>2</v>
      </c>
      <c r="E1419" s="52">
        <f>C1419/D1419</f>
        <v>172.5</v>
      </c>
      <c r="F1419" s="51">
        <v>428.20800000000003</v>
      </c>
      <c r="G1419" s="334">
        <v>2.6</v>
      </c>
      <c r="H1419" s="93">
        <f t="shared" si="219"/>
        <v>164.69538461538463</v>
      </c>
      <c r="I1419" s="363">
        <f t="shared" si="220"/>
        <v>0.95475585284280939</v>
      </c>
      <c r="J1419" s="272"/>
    </row>
    <row r="1420" spans="1:10" ht="15.75" x14ac:dyDescent="0.3">
      <c r="A1420" s="407"/>
      <c r="B1420" s="101" t="s">
        <v>79</v>
      </c>
      <c r="C1420" s="95"/>
      <c r="D1420" s="102"/>
      <c r="E1420" s="52" t="e">
        <f>C1420/D1420</f>
        <v>#DIV/0!</v>
      </c>
      <c r="F1420" s="51"/>
      <c r="G1420" s="93"/>
      <c r="H1420" s="99" t="e">
        <f t="shared" si="219"/>
        <v>#DIV/0!</v>
      </c>
      <c r="I1420" s="92" t="e">
        <f t="shared" si="220"/>
        <v>#DIV/0!</v>
      </c>
      <c r="J1420" s="272"/>
    </row>
    <row r="1421" spans="1:10" ht="16.5" x14ac:dyDescent="0.35">
      <c r="A1421" s="407"/>
      <c r="B1421" s="59" t="s">
        <v>146</v>
      </c>
      <c r="C1421" s="60"/>
      <c r="D1421" s="61">
        <f>SUM(D1412:D1420)</f>
        <v>23</v>
      </c>
      <c r="E1421" s="61"/>
      <c r="F1421" s="62"/>
      <c r="G1421" s="60">
        <f>SUM(G1412:G1420)</f>
        <v>29.1</v>
      </c>
      <c r="H1421" s="61"/>
      <c r="I1421" s="92"/>
      <c r="J1421" s="272"/>
    </row>
    <row r="1422" spans="1:10" ht="16.5" x14ac:dyDescent="0.35">
      <c r="A1422" s="407"/>
      <c r="B1422" s="130" t="s">
        <v>244</v>
      </c>
      <c r="C1422" s="131"/>
      <c r="D1422" s="132"/>
      <c r="E1422" s="133"/>
      <c r="F1422" s="133"/>
      <c r="G1422" s="132"/>
      <c r="H1422" s="134"/>
      <c r="I1422" s="92"/>
      <c r="J1422" s="272"/>
    </row>
    <row r="1423" spans="1:10" ht="15.75" x14ac:dyDescent="0.3">
      <c r="A1423" s="407"/>
      <c r="B1423" s="65" t="s">
        <v>148</v>
      </c>
      <c r="C1423" s="66"/>
      <c r="D1423" s="68">
        <f>31-D1422-D1421</f>
        <v>8</v>
      </c>
      <c r="E1423" s="67"/>
      <c r="F1423" s="67"/>
      <c r="G1423" s="81">
        <f>31-G1421-G1422</f>
        <v>1.8999999999999986</v>
      </c>
      <c r="H1423" s="97"/>
      <c r="I1423" s="92"/>
      <c r="J1423" s="272"/>
    </row>
    <row r="1424" spans="1:10" ht="17.25" thickBot="1" x14ac:dyDescent="0.4">
      <c r="A1424" s="408"/>
      <c r="B1424" s="70" t="s">
        <v>149</v>
      </c>
      <c r="C1424" s="71">
        <f>SUM(C1412:C1420)</f>
        <v>3695</v>
      </c>
      <c r="D1424" s="71">
        <f>D1423+D1421</f>
        <v>31</v>
      </c>
      <c r="E1424" s="71"/>
      <c r="F1424" s="71">
        <f>SUM(F1412:F1420)</f>
        <v>4637.97</v>
      </c>
      <c r="G1424" s="104">
        <f>G1423+G1421+G1422</f>
        <v>31</v>
      </c>
      <c r="H1424" s="105"/>
      <c r="I1424" s="73">
        <f>F1424/C1424</f>
        <v>1.2552016238159676</v>
      </c>
      <c r="J1424" s="273"/>
    </row>
    <row r="1425" spans="1:10" ht="15.75" x14ac:dyDescent="0.3">
      <c r="A1425" s="406" t="s">
        <v>188</v>
      </c>
      <c r="B1425" s="106" t="s">
        <v>77</v>
      </c>
      <c r="C1425" s="76">
        <v>2800</v>
      </c>
      <c r="D1425" s="84">
        <v>9</v>
      </c>
      <c r="E1425" s="52">
        <f>C1425/D1425</f>
        <v>311.11111111111109</v>
      </c>
      <c r="F1425" s="57">
        <v>2261.817</v>
      </c>
      <c r="G1425" s="93">
        <v>7</v>
      </c>
      <c r="H1425" s="99">
        <f t="shared" ref="H1425:H1426" si="221">F1425/G1425</f>
        <v>323.11671428571429</v>
      </c>
      <c r="I1425" s="92">
        <f t="shared" ref="I1425:I1426" si="222">H1425/E1425</f>
        <v>1.0385894387755104</v>
      </c>
      <c r="J1425" s="271"/>
    </row>
    <row r="1426" spans="1:10" ht="15.75" x14ac:dyDescent="0.3">
      <c r="A1426" s="407"/>
      <c r="B1426" s="106" t="s">
        <v>79</v>
      </c>
      <c r="C1426" s="76">
        <v>500</v>
      </c>
      <c r="D1426" s="84">
        <v>2</v>
      </c>
      <c r="E1426" s="52">
        <f>C1426/D1426</f>
        <v>250</v>
      </c>
      <c r="F1426" s="51"/>
      <c r="G1426" s="93"/>
      <c r="H1426" s="99" t="e">
        <f t="shared" si="221"/>
        <v>#DIV/0!</v>
      </c>
      <c r="I1426" s="92" t="e">
        <f t="shared" si="222"/>
        <v>#DIV/0!</v>
      </c>
      <c r="J1426" s="272"/>
    </row>
    <row r="1427" spans="1:10" ht="15.75" x14ac:dyDescent="0.3">
      <c r="A1427" s="407"/>
      <c r="B1427" s="106" t="s">
        <v>423</v>
      </c>
      <c r="C1427" s="76"/>
      <c r="D1427" s="84"/>
      <c r="E1427" s="52" t="e">
        <f t="shared" ref="E1427" si="223">C1427/D1427</f>
        <v>#DIV/0!</v>
      </c>
      <c r="F1427" s="51">
        <v>388.471</v>
      </c>
      <c r="G1427" s="93">
        <v>2</v>
      </c>
      <c r="H1427" s="99">
        <f>F1427/G1427</f>
        <v>194.2355</v>
      </c>
      <c r="I1427" s="92" t="e">
        <f>H1427/E1427</f>
        <v>#DIV/0!</v>
      </c>
      <c r="J1427" s="272"/>
    </row>
    <row r="1428" spans="1:10" ht="15.75" x14ac:dyDescent="0.3">
      <c r="A1428" s="407"/>
      <c r="B1428" s="245" t="s">
        <v>365</v>
      </c>
      <c r="C1428" s="246">
        <v>800</v>
      </c>
      <c r="D1428" s="84">
        <v>2</v>
      </c>
      <c r="E1428" s="52">
        <f>C1428/D1428</f>
        <v>400</v>
      </c>
      <c r="F1428" s="95">
        <v>1727.865</v>
      </c>
      <c r="G1428" s="53">
        <v>6</v>
      </c>
      <c r="H1428" s="99">
        <f>F1428/G1428</f>
        <v>287.97750000000002</v>
      </c>
      <c r="I1428" s="92">
        <f>H1428/E1428</f>
        <v>0.7199437500000001</v>
      </c>
      <c r="J1428" s="272"/>
    </row>
    <row r="1429" spans="1:10" ht="16.5" x14ac:dyDescent="0.35">
      <c r="A1429" s="407"/>
      <c r="B1429" s="65" t="s">
        <v>189</v>
      </c>
      <c r="C1429" s="66"/>
      <c r="D1429" s="108">
        <f>31-SUM(D1425:D1428)</f>
        <v>18</v>
      </c>
      <c r="E1429" s="109"/>
      <c r="F1429" s="109"/>
      <c r="G1429" s="108">
        <f>31-SUM(G1425:G1428)</f>
        <v>16</v>
      </c>
      <c r="H1429" s="68"/>
      <c r="I1429" s="92"/>
      <c r="J1429" s="272"/>
    </row>
    <row r="1430" spans="1:10" ht="17.25" thickBot="1" x14ac:dyDescent="0.4">
      <c r="A1430" s="408"/>
      <c r="B1430" s="111" t="s">
        <v>149</v>
      </c>
      <c r="C1430" s="82">
        <f>SUM(C1425:C1429)</f>
        <v>4100</v>
      </c>
      <c r="D1430" s="82">
        <f>D1429+SUM(D1425:D1428)</f>
        <v>31</v>
      </c>
      <c r="E1430" s="82"/>
      <c r="F1430" s="82">
        <f>SUM(F1425:F1429)</f>
        <v>4378.1530000000002</v>
      </c>
      <c r="G1430" s="82">
        <f>G1429+SUM(G1425:G1428)</f>
        <v>31</v>
      </c>
      <c r="H1430" s="112"/>
      <c r="I1430" s="73">
        <f>F1430/C1430</f>
        <v>1.0678421951219512</v>
      </c>
      <c r="J1430" s="273"/>
    </row>
    <row r="1431" spans="1:10" ht="15.75" x14ac:dyDescent="0.3">
      <c r="A1431" s="406" t="s">
        <v>190</v>
      </c>
      <c r="B1431" s="50"/>
      <c r="C1431" s="51"/>
      <c r="D1431" s="52"/>
      <c r="E1431" s="52"/>
      <c r="F1431" s="51"/>
      <c r="G1431" s="93"/>
      <c r="H1431" s="99"/>
      <c r="I1431" s="92"/>
      <c r="J1431" s="271"/>
    </row>
    <row r="1432" spans="1:10" ht="15.75" x14ac:dyDescent="0.3">
      <c r="A1432" s="407"/>
      <c r="B1432" s="101" t="s">
        <v>206</v>
      </c>
      <c r="C1432" s="95">
        <v>255</v>
      </c>
      <c r="D1432" s="102">
        <v>15</v>
      </c>
      <c r="E1432" s="86">
        <f>C1432/D1432</f>
        <v>17</v>
      </c>
      <c r="F1432" s="95">
        <v>147.6</v>
      </c>
      <c r="G1432" s="103">
        <v>8</v>
      </c>
      <c r="H1432" s="99">
        <f>F1432/G1432</f>
        <v>18.45</v>
      </c>
      <c r="I1432" s="92">
        <f>H1432/E1432</f>
        <v>1.0852941176470587</v>
      </c>
      <c r="J1432" s="272"/>
    </row>
    <row r="1433" spans="1:10" ht="15.75" x14ac:dyDescent="0.3">
      <c r="A1433" s="407"/>
      <c r="B1433" s="101" t="s">
        <v>192</v>
      </c>
      <c r="C1433" s="114"/>
      <c r="D1433" s="102"/>
      <c r="E1433" s="86"/>
      <c r="F1433" s="95"/>
      <c r="G1433" s="103"/>
      <c r="H1433" s="99"/>
      <c r="I1433" s="92"/>
      <c r="J1433" s="272"/>
    </row>
    <row r="1434" spans="1:10" ht="16.5" x14ac:dyDescent="0.35">
      <c r="A1434" s="407"/>
      <c r="B1434" s="59" t="s">
        <v>146</v>
      </c>
      <c r="C1434" s="60"/>
      <c r="D1434" s="61">
        <f>SUM(D1432:D1433)</f>
        <v>15</v>
      </c>
      <c r="E1434" s="61"/>
      <c r="F1434" s="62"/>
      <c r="G1434" s="61">
        <f>SUM(G1432:G1433)</f>
        <v>8</v>
      </c>
      <c r="H1434" s="61"/>
      <c r="I1434" s="92"/>
      <c r="J1434" s="272"/>
    </row>
    <row r="1435" spans="1:10" ht="15.75" x14ac:dyDescent="0.3">
      <c r="A1435" s="407"/>
      <c r="B1435" s="65" t="s">
        <v>148</v>
      </c>
      <c r="C1435" s="66"/>
      <c r="D1435" s="68">
        <f>31-D1434</f>
        <v>16</v>
      </c>
      <c r="E1435" s="67"/>
      <c r="F1435" s="67"/>
      <c r="G1435" s="81">
        <f>31-G1434</f>
        <v>23</v>
      </c>
      <c r="H1435" s="97"/>
      <c r="I1435" s="92"/>
      <c r="J1435" s="272"/>
    </row>
    <row r="1436" spans="1:10" ht="17.25" thickBot="1" x14ac:dyDescent="0.4">
      <c r="A1436" s="408"/>
      <c r="B1436" s="70" t="s">
        <v>149</v>
      </c>
      <c r="C1436" s="71">
        <f>SUM(C1432:C1433)</f>
        <v>255</v>
      </c>
      <c r="D1436" s="71">
        <f>D1435+D1434</f>
        <v>31</v>
      </c>
      <c r="E1436" s="71"/>
      <c r="F1436" s="71">
        <f>SUM(F1432:F1433)</f>
        <v>147.6</v>
      </c>
      <c r="G1436" s="71">
        <f>G1435+G1434</f>
        <v>31</v>
      </c>
      <c r="H1436" s="105"/>
      <c r="I1436" s="73">
        <f>F1436/C1436</f>
        <v>0.57882352941176474</v>
      </c>
      <c r="J1436" s="273"/>
    </row>
    <row r="1437" spans="1:10" ht="19.5" x14ac:dyDescent="0.3">
      <c r="A1437" s="361"/>
      <c r="B1437" s="101" t="s">
        <v>373</v>
      </c>
      <c r="C1437" s="95"/>
      <c r="D1437" s="102"/>
      <c r="E1437" s="86"/>
      <c r="F1437" s="95"/>
      <c r="G1437" s="103"/>
      <c r="H1437" s="86"/>
      <c r="I1437" s="92"/>
      <c r="J1437" s="271"/>
    </row>
    <row r="1438" spans="1:10" ht="15.75" x14ac:dyDescent="0.3">
      <c r="A1438" s="407" t="s">
        <v>194</v>
      </c>
      <c r="B1438" s="101" t="s">
        <v>370</v>
      </c>
      <c r="C1438" s="95">
        <v>240</v>
      </c>
      <c r="D1438" s="102">
        <v>4</v>
      </c>
      <c r="E1438" s="86">
        <f>C1438/D1438</f>
        <v>60</v>
      </c>
      <c r="F1438" s="95"/>
      <c r="G1438" s="103"/>
      <c r="H1438" s="86" t="e">
        <f>F1438/G1438</f>
        <v>#DIV/0!</v>
      </c>
      <c r="I1438" s="92" t="e">
        <f>H1438/E1438</f>
        <v>#DIV/0!</v>
      </c>
      <c r="J1438" s="272"/>
    </row>
    <row r="1439" spans="1:10" ht="15.75" x14ac:dyDescent="0.3">
      <c r="A1439" s="407"/>
      <c r="B1439" s="101" t="s">
        <v>208</v>
      </c>
      <c r="C1439" s="114"/>
      <c r="D1439" s="102"/>
      <c r="E1439" s="86" t="e">
        <f>C1439/D1439</f>
        <v>#DIV/0!</v>
      </c>
      <c r="F1439" s="103">
        <v>238.32400000000001</v>
      </c>
      <c r="G1439" s="103">
        <v>4</v>
      </c>
      <c r="H1439" s="86">
        <f>F1439/G1439</f>
        <v>59.581000000000003</v>
      </c>
      <c r="I1439" s="92" t="e">
        <f>H1439/E1439</f>
        <v>#DIV/0!</v>
      </c>
      <c r="J1439" s="272"/>
    </row>
    <row r="1440" spans="1:10" ht="16.5" x14ac:dyDescent="0.35">
      <c r="A1440" s="407"/>
      <c r="B1440" s="59" t="s">
        <v>146</v>
      </c>
      <c r="C1440" s="60"/>
      <c r="D1440" s="61">
        <f>SUM(D1437:D1439)</f>
        <v>4</v>
      </c>
      <c r="E1440" s="61"/>
      <c r="F1440" s="62"/>
      <c r="G1440" s="61">
        <f>SUM(G1437:G1439)</f>
        <v>4</v>
      </c>
      <c r="H1440" s="61"/>
      <c r="I1440" s="92"/>
      <c r="J1440" s="272"/>
    </row>
    <row r="1441" spans="1:10" ht="15.75" x14ac:dyDescent="0.3">
      <c r="A1441" s="407"/>
      <c r="B1441" s="65" t="s">
        <v>148</v>
      </c>
      <c r="C1441" s="66"/>
      <c r="D1441" s="68">
        <f>31-D1440</f>
        <v>27</v>
      </c>
      <c r="E1441" s="67"/>
      <c r="F1441" s="67"/>
      <c r="G1441" s="81">
        <f>31-G1440</f>
        <v>27</v>
      </c>
      <c r="H1441" s="97"/>
      <c r="I1441" s="92"/>
      <c r="J1441" s="272"/>
    </row>
    <row r="1442" spans="1:10" ht="17.25" thickBot="1" x14ac:dyDescent="0.4">
      <c r="A1442" s="408"/>
      <c r="B1442" s="70" t="s">
        <v>149</v>
      </c>
      <c r="C1442" s="71">
        <f>SUM(C1437:C1439)</f>
        <v>240</v>
      </c>
      <c r="D1442" s="71">
        <f>D1441+D1440</f>
        <v>31</v>
      </c>
      <c r="E1442" s="71"/>
      <c r="F1442" s="71">
        <f>SUM(F1437:F1439)</f>
        <v>238.32400000000001</v>
      </c>
      <c r="G1442" s="71">
        <f>G1441+G1440</f>
        <v>31</v>
      </c>
      <c r="H1442" s="105"/>
      <c r="I1442" s="73">
        <f>F1442/C1442</f>
        <v>0.99301666666666677</v>
      </c>
      <c r="J1442" s="273"/>
    </row>
    <row r="1444" spans="1:10" ht="21" x14ac:dyDescent="0.4">
      <c r="A1444" s="37" t="s">
        <v>461</v>
      </c>
      <c r="B1444" s="37"/>
      <c r="C1444" s="37"/>
      <c r="D1444" s="37"/>
      <c r="E1444" s="37"/>
      <c r="F1444" s="37"/>
      <c r="G1444" s="37"/>
      <c r="H1444" s="37"/>
      <c r="I1444" s="37"/>
    </row>
    <row r="1445" spans="1:10" ht="17.25" thickBot="1" x14ac:dyDescent="0.4">
      <c r="A1445" s="40"/>
      <c r="B1445" s="41"/>
      <c r="C1445" s="42"/>
      <c r="D1445" s="42"/>
      <c r="E1445" s="42"/>
      <c r="F1445" s="42"/>
      <c r="G1445" s="42"/>
      <c r="H1445" s="42"/>
      <c r="I1445" s="42"/>
    </row>
    <row r="1446" spans="1:10" ht="16.5" x14ac:dyDescent="0.35">
      <c r="A1446" s="409" t="s">
        <v>128</v>
      </c>
      <c r="B1446" s="44"/>
      <c r="C1446" s="45"/>
      <c r="D1446" s="45"/>
      <c r="E1446" s="45"/>
      <c r="F1446" s="45"/>
      <c r="G1446" s="411" t="s">
        <v>129</v>
      </c>
      <c r="H1446" s="365"/>
      <c r="I1446" s="413" t="s">
        <v>130</v>
      </c>
      <c r="J1446" s="257" t="s">
        <v>131</v>
      </c>
    </row>
    <row r="1447" spans="1:10" ht="66.75" thickBot="1" x14ac:dyDescent="0.3">
      <c r="A1447" s="410"/>
      <c r="B1447" s="46"/>
      <c r="C1447" s="47" t="s">
        <v>132</v>
      </c>
      <c r="D1447" s="48" t="s">
        <v>133</v>
      </c>
      <c r="E1447" s="48" t="s">
        <v>134</v>
      </c>
      <c r="F1447" s="49" t="s">
        <v>135</v>
      </c>
      <c r="G1447" s="412"/>
      <c r="H1447" s="48" t="s">
        <v>136</v>
      </c>
      <c r="I1447" s="414"/>
      <c r="J1447" s="258"/>
    </row>
    <row r="1448" spans="1:10" ht="15.75" x14ac:dyDescent="0.3">
      <c r="A1448" s="415" t="s">
        <v>137</v>
      </c>
      <c r="B1448" s="50" t="s">
        <v>340</v>
      </c>
      <c r="C1448" s="51">
        <v>2980</v>
      </c>
      <c r="D1448" s="123">
        <v>9</v>
      </c>
      <c r="E1448" s="52">
        <f t="shared" ref="E1448:E1453" si="224">C1448/D1448</f>
        <v>331.11111111111109</v>
      </c>
      <c r="F1448" s="51">
        <v>2189.5600000000004</v>
      </c>
      <c r="G1448" s="53">
        <v>9</v>
      </c>
      <c r="H1448" s="53">
        <f>F1448/G1448</f>
        <v>243.28444444444449</v>
      </c>
      <c r="I1448" s="54">
        <f t="shared" ref="I1448:I1453" si="225">H1448/E1448</f>
        <v>0.73475167785234918</v>
      </c>
      <c r="J1448" s="259"/>
    </row>
    <row r="1449" spans="1:10" ht="15.75" x14ac:dyDescent="0.3">
      <c r="A1449" s="416"/>
      <c r="B1449" s="56" t="s">
        <v>140</v>
      </c>
      <c r="C1449" s="57">
        <v>540</v>
      </c>
      <c r="D1449" s="53">
        <v>3</v>
      </c>
      <c r="E1449" s="52">
        <f t="shared" si="224"/>
        <v>180</v>
      </c>
      <c r="F1449" s="57">
        <v>60.329999999999984</v>
      </c>
      <c r="G1449" s="53">
        <v>0.32</v>
      </c>
      <c r="H1449" s="53">
        <f t="shared" ref="H1449:H1453" si="226">F1449/G1449</f>
        <v>188.53124999999994</v>
      </c>
      <c r="I1449" s="54">
        <f t="shared" si="225"/>
        <v>1.0473958333333331</v>
      </c>
      <c r="J1449" s="260"/>
    </row>
    <row r="1450" spans="1:10" ht="15.75" x14ac:dyDescent="0.3">
      <c r="A1450" s="416"/>
      <c r="B1450" s="56" t="s">
        <v>325</v>
      </c>
      <c r="C1450" s="57">
        <v>1675</v>
      </c>
      <c r="D1450" s="58">
        <v>8</v>
      </c>
      <c r="E1450" s="52">
        <f t="shared" si="224"/>
        <v>209.375</v>
      </c>
      <c r="F1450" s="57">
        <f>1181.07+555.67</f>
        <v>1736.7399999999998</v>
      </c>
      <c r="G1450" s="53">
        <v>11</v>
      </c>
      <c r="H1450" s="53">
        <f t="shared" si="226"/>
        <v>157.88545454545454</v>
      </c>
      <c r="I1450" s="54">
        <f t="shared" si="225"/>
        <v>0.75407978290366351</v>
      </c>
      <c r="J1450" s="260"/>
    </row>
    <row r="1451" spans="1:10" ht="15.75" x14ac:dyDescent="0.3">
      <c r="A1451" s="416"/>
      <c r="B1451" s="56" t="s">
        <v>462</v>
      </c>
      <c r="C1451" s="57">
        <v>375</v>
      </c>
      <c r="D1451" s="58">
        <v>3.5</v>
      </c>
      <c r="E1451" s="52">
        <f t="shared" si="224"/>
        <v>107.14285714285714</v>
      </c>
      <c r="F1451" s="57">
        <v>450.13700000000006</v>
      </c>
      <c r="G1451" s="53">
        <v>4</v>
      </c>
      <c r="H1451" s="53">
        <f t="shared" si="226"/>
        <v>112.53425000000001</v>
      </c>
      <c r="I1451" s="54">
        <f t="shared" si="225"/>
        <v>1.0503196666666668</v>
      </c>
      <c r="J1451" s="260"/>
    </row>
    <row r="1452" spans="1:10" ht="15.75" x14ac:dyDescent="0.3">
      <c r="A1452" s="416"/>
      <c r="B1452" s="56" t="s">
        <v>400</v>
      </c>
      <c r="C1452" s="57"/>
      <c r="D1452" s="58"/>
      <c r="E1452" s="52" t="e">
        <f t="shared" si="224"/>
        <v>#DIV/0!</v>
      </c>
      <c r="F1452" s="57"/>
      <c r="G1452" s="53"/>
      <c r="H1452" s="53" t="e">
        <f t="shared" si="226"/>
        <v>#DIV/0!</v>
      </c>
      <c r="I1452" s="54" t="e">
        <f t="shared" si="225"/>
        <v>#DIV/0!</v>
      </c>
      <c r="J1452" s="260"/>
    </row>
    <row r="1453" spans="1:10" ht="15.75" x14ac:dyDescent="0.3">
      <c r="A1453" s="416"/>
      <c r="B1453" s="56" t="s">
        <v>145</v>
      </c>
      <c r="C1453" s="57"/>
      <c r="D1453" s="58"/>
      <c r="E1453" s="52" t="e">
        <f t="shared" si="224"/>
        <v>#DIV/0!</v>
      </c>
      <c r="F1453" s="57"/>
      <c r="G1453" s="53"/>
      <c r="H1453" s="53" t="e">
        <f t="shared" si="226"/>
        <v>#DIV/0!</v>
      </c>
      <c r="I1453" s="54" t="e">
        <f t="shared" si="225"/>
        <v>#DIV/0!</v>
      </c>
      <c r="J1453" s="260"/>
    </row>
    <row r="1454" spans="1:10" ht="15.75" x14ac:dyDescent="0.3">
      <c r="A1454" s="416"/>
      <c r="B1454" s="50"/>
      <c r="C1454" s="57"/>
      <c r="D1454" s="58"/>
      <c r="E1454" s="52"/>
      <c r="F1454" s="57"/>
      <c r="G1454" s="53"/>
      <c r="H1454" s="53"/>
      <c r="I1454" s="53"/>
      <c r="J1454" s="260"/>
    </row>
    <row r="1455" spans="1:10" ht="16.5" x14ac:dyDescent="0.35">
      <c r="A1455" s="416"/>
      <c r="B1455" s="59" t="s">
        <v>146</v>
      </c>
      <c r="C1455" s="60"/>
      <c r="D1455" s="61">
        <f>SUM(D1448:D1454)</f>
        <v>23.5</v>
      </c>
      <c r="E1455" s="61"/>
      <c r="F1455" s="62"/>
      <c r="G1455" s="63">
        <f>SUM(G1448:G1454)</f>
        <v>24.32</v>
      </c>
      <c r="H1455" s="64"/>
      <c r="I1455" s="53"/>
      <c r="J1455" s="260"/>
    </row>
    <row r="1456" spans="1:10" ht="16.5" x14ac:dyDescent="0.35">
      <c r="A1456" s="416"/>
      <c r="B1456" s="59" t="s">
        <v>147</v>
      </c>
      <c r="C1456" s="60"/>
      <c r="D1456" s="61"/>
      <c r="E1456" s="62"/>
      <c r="F1456" s="62"/>
      <c r="G1456" s="63"/>
      <c r="H1456" s="64"/>
      <c r="I1456" s="53"/>
      <c r="J1456" s="260"/>
    </row>
    <row r="1457" spans="1:10" ht="15.75" x14ac:dyDescent="0.3">
      <c r="A1457" s="416"/>
      <c r="B1457" s="65" t="s">
        <v>148</v>
      </c>
      <c r="C1457" s="66"/>
      <c r="D1457" s="68">
        <f>28-D1456-D1455</f>
        <v>4.5</v>
      </c>
      <c r="E1457" s="67"/>
      <c r="F1457" s="67"/>
      <c r="G1457" s="68">
        <f>28-G1456-G1455</f>
        <v>3.6799999999999997</v>
      </c>
      <c r="H1457" s="69"/>
      <c r="I1457" s="53"/>
      <c r="J1457" s="260"/>
    </row>
    <row r="1458" spans="1:10" ht="17.25" thickBot="1" x14ac:dyDescent="0.4">
      <c r="A1458" s="417"/>
      <c r="B1458" s="70" t="s">
        <v>149</v>
      </c>
      <c r="C1458" s="71">
        <f>SUM(C1448:C1453)</f>
        <v>5570</v>
      </c>
      <c r="D1458" s="71">
        <f>D1455+D1456+D1457</f>
        <v>28</v>
      </c>
      <c r="E1458" s="71">
        <f>E1455+E1456+E1457</f>
        <v>0</v>
      </c>
      <c r="F1458" s="72">
        <f>SUM(F1448:F1454)</f>
        <v>4436.7669999999998</v>
      </c>
      <c r="G1458" s="71">
        <f>G1455+G1456+G1457</f>
        <v>28</v>
      </c>
      <c r="H1458" s="71"/>
      <c r="I1458" s="73">
        <f>F1458/C1458</f>
        <v>0.79654703770197488</v>
      </c>
      <c r="J1458" s="261"/>
    </row>
    <row r="1459" spans="1:10" ht="16.5" thickBot="1" x14ac:dyDescent="0.35">
      <c r="A1459" s="418" t="s">
        <v>150</v>
      </c>
      <c r="B1459" s="78" t="s">
        <v>366</v>
      </c>
      <c r="C1459" s="76">
        <v>1998</v>
      </c>
      <c r="D1459" s="52">
        <v>7</v>
      </c>
      <c r="E1459" s="52">
        <f>C1459/D1459</f>
        <v>285.42857142857144</v>
      </c>
      <c r="F1459" s="52">
        <v>2143.1329999999998</v>
      </c>
      <c r="G1459" s="127">
        <v>10</v>
      </c>
      <c r="H1459" s="241">
        <f t="shared" ref="H1459:H1466" si="227">F1459/G1459</f>
        <v>214.31329999999997</v>
      </c>
      <c r="I1459" s="92">
        <f t="shared" ref="I1459:I1464" si="228">H1459/E1459</f>
        <v>0.75084739739739725</v>
      </c>
      <c r="J1459" s="263"/>
    </row>
    <row r="1460" spans="1:10" ht="15.75" x14ac:dyDescent="0.3">
      <c r="A1460" s="419"/>
      <c r="B1460" s="78" t="s">
        <v>154</v>
      </c>
      <c r="C1460" s="76"/>
      <c r="D1460" s="52"/>
      <c r="E1460" s="52" t="e">
        <f>C1460/D1460</f>
        <v>#DIV/0!</v>
      </c>
      <c r="F1460" s="51"/>
      <c r="G1460" s="52"/>
      <c r="H1460" s="241" t="e">
        <f t="shared" si="227"/>
        <v>#DIV/0!</v>
      </c>
      <c r="I1460" s="92" t="e">
        <f t="shared" si="228"/>
        <v>#DIV/0!</v>
      </c>
      <c r="J1460" s="262"/>
    </row>
    <row r="1461" spans="1:10" ht="15.75" x14ac:dyDescent="0.3">
      <c r="A1461" s="419"/>
      <c r="B1461" s="78" t="s">
        <v>455</v>
      </c>
      <c r="C1461" s="76"/>
      <c r="D1461" s="52"/>
      <c r="E1461" s="52"/>
      <c r="F1461" s="51"/>
      <c r="G1461" s="52"/>
      <c r="H1461" s="241" t="e">
        <f t="shared" si="227"/>
        <v>#DIV/0!</v>
      </c>
      <c r="I1461" s="92" t="e">
        <f t="shared" si="228"/>
        <v>#DIV/0!</v>
      </c>
      <c r="J1461" s="263"/>
    </row>
    <row r="1462" spans="1:10" ht="15.75" x14ac:dyDescent="0.3">
      <c r="A1462" s="419"/>
      <c r="B1462" s="78" t="s">
        <v>155</v>
      </c>
      <c r="C1462" s="57"/>
      <c r="D1462" s="58"/>
      <c r="E1462" s="52" t="e">
        <f>C1462/D1462</f>
        <v>#DIV/0!</v>
      </c>
      <c r="F1462" s="57"/>
      <c r="G1462" s="52"/>
      <c r="H1462" s="241" t="e">
        <f t="shared" si="227"/>
        <v>#DIV/0!</v>
      </c>
      <c r="I1462" s="92" t="e">
        <f t="shared" si="228"/>
        <v>#DIV/0!</v>
      </c>
      <c r="J1462" s="263"/>
    </row>
    <row r="1463" spans="1:10" ht="15.75" x14ac:dyDescent="0.3">
      <c r="A1463" s="419"/>
      <c r="B1463" s="78" t="s">
        <v>368</v>
      </c>
      <c r="C1463" s="51">
        <v>350</v>
      </c>
      <c r="D1463" s="52">
        <v>3</v>
      </c>
      <c r="E1463" s="52">
        <f>C1463/D1463</f>
        <v>116.66666666666667</v>
      </c>
      <c r="F1463" s="79">
        <v>289.52699999999999</v>
      </c>
      <c r="G1463" s="127">
        <v>3.5</v>
      </c>
      <c r="H1463" s="241">
        <f t="shared" si="227"/>
        <v>82.721999999999994</v>
      </c>
      <c r="I1463" s="92">
        <f t="shared" si="228"/>
        <v>0.70904571428571417</v>
      </c>
      <c r="J1463" s="263"/>
    </row>
    <row r="1464" spans="1:10" ht="15.75" x14ac:dyDescent="0.3">
      <c r="A1464" s="419"/>
      <c r="B1464" s="78" t="s">
        <v>353</v>
      </c>
      <c r="C1464" s="51">
        <v>600</v>
      </c>
      <c r="D1464" s="90">
        <v>2</v>
      </c>
      <c r="E1464" s="52">
        <f>C1464/D1464</f>
        <v>300</v>
      </c>
      <c r="F1464" s="51">
        <v>188.59</v>
      </c>
      <c r="G1464" s="52">
        <v>1.5</v>
      </c>
      <c r="H1464" s="241">
        <f t="shared" si="227"/>
        <v>125.72666666666667</v>
      </c>
      <c r="I1464" s="92">
        <f t="shared" si="228"/>
        <v>0.4190888888888889</v>
      </c>
      <c r="J1464" s="263"/>
    </row>
    <row r="1465" spans="1:10" ht="15.75" x14ac:dyDescent="0.3">
      <c r="A1465" s="419"/>
      <c r="B1465" s="78" t="s">
        <v>456</v>
      </c>
      <c r="C1465" s="51">
        <v>280</v>
      </c>
      <c r="D1465" s="90">
        <v>3</v>
      </c>
      <c r="E1465" s="52">
        <f>C1465/D1465</f>
        <v>93.333333333333329</v>
      </c>
      <c r="F1465" s="51">
        <v>506.37199999999996</v>
      </c>
      <c r="G1465" s="52">
        <v>4.5</v>
      </c>
      <c r="H1465" s="241">
        <f t="shared" si="227"/>
        <v>112.5271111111111</v>
      </c>
      <c r="I1465" s="92"/>
      <c r="J1465" s="263"/>
    </row>
    <row r="1466" spans="1:10" ht="15.75" x14ac:dyDescent="0.3">
      <c r="A1466" s="419"/>
      <c r="B1466" s="78" t="s">
        <v>463</v>
      </c>
      <c r="C1466" s="51">
        <v>253</v>
      </c>
      <c r="D1466" s="52">
        <v>4</v>
      </c>
      <c r="E1466" s="52">
        <f>C1466/D1466</f>
        <v>63.25</v>
      </c>
      <c r="F1466" s="52">
        <v>255.14999999999998</v>
      </c>
      <c r="G1466" s="52">
        <v>4</v>
      </c>
      <c r="H1466" s="241">
        <f t="shared" si="227"/>
        <v>63.787499999999994</v>
      </c>
      <c r="I1466" s="92"/>
      <c r="J1466" s="263"/>
    </row>
    <row r="1467" spans="1:10" ht="15.75" x14ac:dyDescent="0.3">
      <c r="A1467" s="419"/>
      <c r="B1467" s="78" t="s">
        <v>402</v>
      </c>
      <c r="C1467" s="76"/>
      <c r="D1467" s="84"/>
      <c r="E1467" s="52"/>
      <c r="F1467" s="52"/>
      <c r="G1467" s="52"/>
      <c r="H1467" s="241" t="e">
        <f>F1467/G1467</f>
        <v>#DIV/0!</v>
      </c>
      <c r="I1467" s="92"/>
      <c r="J1467" s="263"/>
    </row>
    <row r="1468" spans="1:10" ht="15.75" x14ac:dyDescent="0.3">
      <c r="A1468" s="419"/>
      <c r="B1468" s="78" t="s">
        <v>401</v>
      </c>
      <c r="C1468" s="76"/>
      <c r="D1468" s="84"/>
      <c r="E1468" s="52"/>
      <c r="F1468" s="344"/>
      <c r="G1468" s="52"/>
      <c r="H1468" s="241"/>
      <c r="I1468" s="92"/>
      <c r="J1468" s="263"/>
    </row>
    <row r="1469" spans="1:10" ht="15.75" x14ac:dyDescent="0.3">
      <c r="A1469" s="419"/>
      <c r="B1469" s="78" t="s">
        <v>328</v>
      </c>
      <c r="C1469" s="51"/>
      <c r="D1469" s="52"/>
      <c r="E1469" s="52"/>
      <c r="F1469" s="79"/>
      <c r="G1469" s="52"/>
      <c r="H1469" s="241" t="e">
        <f>F1469/G1469</f>
        <v>#DIV/0!</v>
      </c>
      <c r="I1469" s="92"/>
      <c r="J1469" s="263"/>
    </row>
    <row r="1470" spans="1:10" ht="15.75" x14ac:dyDescent="0.3">
      <c r="A1470" s="419"/>
      <c r="B1470" s="78" t="s">
        <v>466</v>
      </c>
      <c r="C1470" s="51"/>
      <c r="D1470" s="52"/>
      <c r="E1470" s="52"/>
      <c r="F1470" s="51">
        <v>305.38200000000001</v>
      </c>
      <c r="G1470" s="52">
        <v>1.5</v>
      </c>
      <c r="H1470" s="241">
        <f>F1470/G1470</f>
        <v>203.58799999999999</v>
      </c>
      <c r="I1470" s="92" t="e">
        <f>H1470/E1470</f>
        <v>#DIV/0!</v>
      </c>
      <c r="J1470" s="263"/>
    </row>
    <row r="1471" spans="1:10" ht="16.5" x14ac:dyDescent="0.35">
      <c r="A1471" s="419"/>
      <c r="B1471" s="366" t="s">
        <v>146</v>
      </c>
      <c r="C1471" s="60"/>
      <c r="D1471" s="63">
        <f>SUM(D1459:D1470)</f>
        <v>19</v>
      </c>
      <c r="E1471" s="61"/>
      <c r="F1471" s="62"/>
      <c r="G1471" s="63">
        <f>SUM(G1459:G1470)</f>
        <v>25</v>
      </c>
      <c r="H1471" s="63"/>
      <c r="I1471" s="99"/>
      <c r="J1471" s="263"/>
    </row>
    <row r="1472" spans="1:10" ht="15.75" x14ac:dyDescent="0.3">
      <c r="A1472" s="419"/>
      <c r="B1472" s="367" t="s">
        <v>148</v>
      </c>
      <c r="C1472" s="66"/>
      <c r="D1472" s="81">
        <f>28-D1471</f>
        <v>9</v>
      </c>
      <c r="E1472" s="67"/>
      <c r="F1472" s="67"/>
      <c r="G1472" s="81">
        <f>28-G1471</f>
        <v>3</v>
      </c>
      <c r="H1472" s="243"/>
      <c r="I1472" s="112"/>
      <c r="J1472" s="263"/>
    </row>
    <row r="1473" spans="1:10" ht="17.25" thickBot="1" x14ac:dyDescent="0.4">
      <c r="A1473" s="420"/>
      <c r="B1473" s="368" t="s">
        <v>149</v>
      </c>
      <c r="C1473" s="71">
        <f>SUM(C1459:C1470)</f>
        <v>3481</v>
      </c>
      <c r="D1473" s="71">
        <f>D1471+D1472</f>
        <v>28</v>
      </c>
      <c r="E1473" s="71">
        <f>E1471+E1472</f>
        <v>0</v>
      </c>
      <c r="F1473" s="71">
        <f>SUM(F1459:F1470)</f>
        <v>3688.154</v>
      </c>
      <c r="G1473" s="71">
        <f t="shared" ref="G1473" si="229">G1471+G1472</f>
        <v>28</v>
      </c>
      <c r="H1473" s="82"/>
      <c r="I1473" s="73">
        <f>F1473/C1473</f>
        <v>1.0595099109451307</v>
      </c>
      <c r="J1473" s="264"/>
    </row>
    <row r="1474" spans="1:10" ht="15.75" x14ac:dyDescent="0.3">
      <c r="A1474" s="421" t="s">
        <v>161</v>
      </c>
      <c r="B1474" s="50" t="s">
        <v>199</v>
      </c>
      <c r="C1474" s="51"/>
      <c r="D1474" s="83"/>
      <c r="E1474" s="52" t="e">
        <f>C1474/D1474</f>
        <v>#DIV/0!</v>
      </c>
      <c r="F1474" s="51"/>
      <c r="G1474" s="83"/>
      <c r="H1474" s="53" t="e">
        <f t="shared" ref="H1474:H1476" si="230">F1474/G1474</f>
        <v>#DIV/0!</v>
      </c>
      <c r="I1474" s="92" t="e">
        <f t="shared" ref="I1474:I1478" si="231">H1474/E1474</f>
        <v>#DIV/0!</v>
      </c>
      <c r="J1474" s="265"/>
    </row>
    <row r="1475" spans="1:10" ht="15.75" x14ac:dyDescent="0.3">
      <c r="A1475" s="422"/>
      <c r="B1475" s="50" t="s">
        <v>457</v>
      </c>
      <c r="C1475" s="76"/>
      <c r="D1475" s="84"/>
      <c r="E1475" s="52" t="e">
        <f>C1475/D1475</f>
        <v>#DIV/0!</v>
      </c>
      <c r="F1475" s="51"/>
      <c r="G1475" s="52"/>
      <c r="H1475" s="53" t="e">
        <f t="shared" si="230"/>
        <v>#DIV/0!</v>
      </c>
      <c r="I1475" s="92" t="e">
        <f t="shared" si="231"/>
        <v>#DIV/0!</v>
      </c>
      <c r="J1475" s="266"/>
    </row>
    <row r="1476" spans="1:10" ht="15.75" x14ac:dyDescent="0.3">
      <c r="A1476" s="422"/>
      <c r="B1476" s="50" t="s">
        <v>448</v>
      </c>
      <c r="C1476" s="76">
        <v>212</v>
      </c>
      <c r="D1476" s="84">
        <v>2</v>
      </c>
      <c r="E1476" s="52">
        <f t="shared" ref="E1476:E1483" si="232">C1476/D1476</f>
        <v>106</v>
      </c>
      <c r="F1476" s="57">
        <v>179.51599999999999</v>
      </c>
      <c r="G1476" s="52">
        <v>1.5</v>
      </c>
      <c r="H1476" s="53">
        <f t="shared" si="230"/>
        <v>119.67733333333332</v>
      </c>
      <c r="I1476" s="92">
        <f t="shared" si="231"/>
        <v>1.1290314465408804</v>
      </c>
      <c r="J1476" s="266"/>
    </row>
    <row r="1477" spans="1:10" ht="15.75" x14ac:dyDescent="0.3">
      <c r="A1477" s="422"/>
      <c r="B1477" s="50" t="s">
        <v>418</v>
      </c>
      <c r="C1477" s="76"/>
      <c r="D1477" s="84"/>
      <c r="E1477" s="52" t="e">
        <f t="shared" si="232"/>
        <v>#DIV/0!</v>
      </c>
      <c r="F1477" s="57"/>
      <c r="G1477" s="90"/>
      <c r="H1477" s="241" t="e">
        <f>F1477/G1477</f>
        <v>#DIV/0!</v>
      </c>
      <c r="I1477" s="92"/>
      <c r="J1477" s="266"/>
    </row>
    <row r="1478" spans="1:10" ht="15.75" x14ac:dyDescent="0.3">
      <c r="A1478" s="422"/>
      <c r="B1478" s="50" t="s">
        <v>454</v>
      </c>
      <c r="C1478" s="76">
        <v>420</v>
      </c>
      <c r="D1478" s="84">
        <v>7</v>
      </c>
      <c r="E1478" s="52">
        <f t="shared" si="232"/>
        <v>60</v>
      </c>
      <c r="F1478" s="79">
        <v>583.09</v>
      </c>
      <c r="G1478" s="90">
        <v>9</v>
      </c>
      <c r="H1478" s="241">
        <f>F1478/G1478</f>
        <v>64.787777777777777</v>
      </c>
      <c r="I1478" s="92">
        <f t="shared" si="231"/>
        <v>1.0797962962962964</v>
      </c>
      <c r="J1478" s="266"/>
    </row>
    <row r="1479" spans="1:10" ht="15.75" x14ac:dyDescent="0.3">
      <c r="A1479" s="422"/>
      <c r="B1479" s="50" t="s">
        <v>420</v>
      </c>
      <c r="C1479" s="76"/>
      <c r="D1479" s="84"/>
      <c r="E1479" s="52" t="e">
        <f t="shared" si="232"/>
        <v>#DIV/0!</v>
      </c>
      <c r="F1479" s="79"/>
      <c r="G1479" s="90"/>
      <c r="H1479" s="241" t="e">
        <f>F1479/G1479</f>
        <v>#DIV/0!</v>
      </c>
      <c r="I1479" s="92"/>
      <c r="J1479" s="266"/>
    </row>
    <row r="1480" spans="1:10" ht="15.75" x14ac:dyDescent="0.3">
      <c r="A1480" s="422"/>
      <c r="B1480" s="50" t="s">
        <v>417</v>
      </c>
      <c r="C1480" s="76"/>
      <c r="D1480" s="84"/>
      <c r="E1480" s="52" t="e">
        <f t="shared" si="232"/>
        <v>#DIV/0!</v>
      </c>
      <c r="F1480" s="344"/>
      <c r="G1480" s="90"/>
      <c r="H1480" s="241" t="e">
        <f>F1480/G1480</f>
        <v>#DIV/0!</v>
      </c>
      <c r="I1480" s="92"/>
      <c r="J1480" s="266"/>
    </row>
    <row r="1481" spans="1:10" ht="15.75" x14ac:dyDescent="0.3">
      <c r="A1481" s="422"/>
      <c r="B1481" s="50" t="s">
        <v>383</v>
      </c>
      <c r="C1481" s="76">
        <v>280</v>
      </c>
      <c r="D1481" s="52">
        <v>4</v>
      </c>
      <c r="E1481" s="52">
        <f t="shared" si="232"/>
        <v>70</v>
      </c>
      <c r="F1481" s="51"/>
      <c r="G1481" s="90"/>
      <c r="H1481" s="241" t="e">
        <f>F1481/G1481</f>
        <v>#DIV/0!</v>
      </c>
      <c r="I1481" s="92" t="e">
        <f t="shared" ref="I1481" si="233">H1481/E1481</f>
        <v>#DIV/0!</v>
      </c>
      <c r="J1481" s="266"/>
    </row>
    <row r="1482" spans="1:10" ht="15.75" x14ac:dyDescent="0.3">
      <c r="A1482" s="422"/>
      <c r="B1482" s="50" t="s">
        <v>232</v>
      </c>
      <c r="C1482" s="76">
        <v>600</v>
      </c>
      <c r="D1482" s="84">
        <v>4</v>
      </c>
      <c r="E1482" s="52">
        <f t="shared" si="232"/>
        <v>150</v>
      </c>
      <c r="F1482" s="51"/>
      <c r="G1482" s="52"/>
      <c r="H1482" s="53" t="e">
        <f t="shared" ref="H1482:H1487" si="234">F1482/G1482</f>
        <v>#DIV/0!</v>
      </c>
      <c r="I1482" s="92"/>
      <c r="J1482" s="266"/>
    </row>
    <row r="1483" spans="1:10" ht="15.75" x14ac:dyDescent="0.3">
      <c r="A1483" s="422"/>
      <c r="B1483" s="50" t="s">
        <v>404</v>
      </c>
      <c r="C1483" s="76"/>
      <c r="D1483" s="84"/>
      <c r="E1483" s="52" t="e">
        <f t="shared" si="232"/>
        <v>#DIV/0!</v>
      </c>
      <c r="F1483" s="51"/>
      <c r="G1483" s="52"/>
      <c r="H1483" s="53" t="e">
        <f t="shared" si="234"/>
        <v>#DIV/0!</v>
      </c>
      <c r="I1483" s="92"/>
      <c r="J1483" s="266"/>
    </row>
    <row r="1484" spans="1:10" ht="15.75" x14ac:dyDescent="0.3">
      <c r="A1484" s="422"/>
      <c r="B1484" s="50"/>
      <c r="C1484" s="76"/>
      <c r="D1484" s="84"/>
      <c r="E1484" s="52"/>
      <c r="F1484" s="57"/>
      <c r="G1484" s="52"/>
      <c r="H1484" s="53" t="e">
        <f t="shared" si="234"/>
        <v>#DIV/0!</v>
      </c>
      <c r="I1484" s="92" t="e">
        <f t="shared" ref="I1484:I1486" si="235">H1484/E1484</f>
        <v>#DIV/0!</v>
      </c>
      <c r="J1484" s="266"/>
    </row>
    <row r="1485" spans="1:10" ht="15.75" x14ac:dyDescent="0.3">
      <c r="A1485" s="422"/>
      <c r="B1485" s="50" t="s">
        <v>419</v>
      </c>
      <c r="C1485" s="76"/>
      <c r="D1485" s="84"/>
      <c r="E1485" s="52" t="e">
        <f t="shared" ref="E1485:E1486" si="236">C1485/D1485</f>
        <v>#DIV/0!</v>
      </c>
      <c r="F1485" s="57"/>
      <c r="G1485" s="52"/>
      <c r="H1485" s="53" t="e">
        <f t="shared" si="234"/>
        <v>#DIV/0!</v>
      </c>
      <c r="I1485" s="92" t="e">
        <f t="shared" si="235"/>
        <v>#DIV/0!</v>
      </c>
      <c r="J1485" s="266"/>
    </row>
    <row r="1486" spans="1:10" ht="15.75" x14ac:dyDescent="0.3">
      <c r="A1486" s="422"/>
      <c r="B1486" s="50" t="s">
        <v>458</v>
      </c>
      <c r="C1486" s="76">
        <v>420</v>
      </c>
      <c r="D1486" s="84">
        <v>6</v>
      </c>
      <c r="E1486" s="52">
        <f t="shared" si="236"/>
        <v>70</v>
      </c>
      <c r="F1486" s="57">
        <v>224.25</v>
      </c>
      <c r="G1486" s="52">
        <v>6</v>
      </c>
      <c r="H1486" s="53">
        <f t="shared" si="234"/>
        <v>37.375</v>
      </c>
      <c r="I1486" s="92">
        <f t="shared" si="235"/>
        <v>0.53392857142857142</v>
      </c>
      <c r="J1486" s="266"/>
    </row>
    <row r="1487" spans="1:10" ht="15.75" x14ac:dyDescent="0.3">
      <c r="A1487" s="422"/>
      <c r="B1487" s="50" t="s">
        <v>398</v>
      </c>
      <c r="C1487" s="76"/>
      <c r="D1487" s="84"/>
      <c r="E1487" s="52" t="e">
        <f>C1487/D1487</f>
        <v>#DIV/0!</v>
      </c>
      <c r="F1487" s="57"/>
      <c r="G1487" s="52"/>
      <c r="H1487" s="53" t="e">
        <f t="shared" si="234"/>
        <v>#DIV/0!</v>
      </c>
      <c r="I1487" s="92" t="e">
        <f>H1487/E1487</f>
        <v>#DIV/0!</v>
      </c>
      <c r="J1487" s="266"/>
    </row>
    <row r="1488" spans="1:10" ht="16.5" x14ac:dyDescent="0.35">
      <c r="A1488" s="422"/>
      <c r="B1488" s="59" t="s">
        <v>146</v>
      </c>
      <c r="C1488" s="61">
        <f>SUM(C1474:C1487)</f>
        <v>1932</v>
      </c>
      <c r="D1488" s="61">
        <f t="shared" ref="D1488" si="237">SUM(D1474:D1487)</f>
        <v>23</v>
      </c>
      <c r="E1488" s="61"/>
      <c r="F1488" s="61">
        <f t="shared" ref="F1488:G1488" si="238">SUM(F1474:F1487)</f>
        <v>986.85599999999999</v>
      </c>
      <c r="G1488" s="61">
        <f t="shared" si="238"/>
        <v>16.5</v>
      </c>
      <c r="H1488" s="61"/>
      <c r="I1488" s="92"/>
      <c r="J1488" s="266"/>
    </row>
    <row r="1489" spans="1:10" ht="15.75" x14ac:dyDescent="0.3">
      <c r="A1489" s="422"/>
      <c r="B1489" s="65" t="s">
        <v>148</v>
      </c>
      <c r="C1489" s="66"/>
      <c r="D1489" s="67">
        <f>28-D1488</f>
        <v>5</v>
      </c>
      <c r="E1489" s="67"/>
      <c r="F1489" s="67"/>
      <c r="G1489" s="67">
        <f>28-G1488</f>
        <v>11.5</v>
      </c>
      <c r="H1489" s="87"/>
      <c r="I1489" s="92"/>
      <c r="J1489" s="266"/>
    </row>
    <row r="1490" spans="1:10" ht="17.25" thickBot="1" x14ac:dyDescent="0.4">
      <c r="A1490" s="423"/>
      <c r="B1490" s="70" t="s">
        <v>149</v>
      </c>
      <c r="C1490" s="71">
        <f>SUM(C1474:C1487)</f>
        <v>1932</v>
      </c>
      <c r="D1490" s="71">
        <f>D1488+D1489</f>
        <v>28</v>
      </c>
      <c r="E1490" s="71"/>
      <c r="F1490" s="71">
        <f>SUM(F1474:F1487)</f>
        <v>986.85599999999999</v>
      </c>
      <c r="G1490" s="71">
        <f>G1489+G1488</f>
        <v>28</v>
      </c>
      <c r="H1490" s="82"/>
      <c r="I1490" s="73">
        <f>F1490/C1490</f>
        <v>0.51079503105590063</v>
      </c>
      <c r="J1490" s="267"/>
    </row>
    <row r="1491" spans="1:10" ht="15.75" x14ac:dyDescent="0.3">
      <c r="A1491" s="421" t="s">
        <v>169</v>
      </c>
      <c r="B1491" s="88" t="s">
        <v>170</v>
      </c>
      <c r="C1491" s="89">
        <v>150</v>
      </c>
      <c r="D1491" s="52">
        <v>3</v>
      </c>
      <c r="E1491" s="52">
        <f>C1491/D1491</f>
        <v>50</v>
      </c>
      <c r="F1491" s="51">
        <f>404</f>
        <v>404</v>
      </c>
      <c r="G1491" s="52">
        <v>6</v>
      </c>
      <c r="H1491" s="53">
        <f>F1491/G1491</f>
        <v>67.333333333333329</v>
      </c>
      <c r="I1491" s="92">
        <f>H1491/E1491</f>
        <v>1.3466666666666667</v>
      </c>
      <c r="J1491" s="265"/>
    </row>
    <row r="1492" spans="1:10" ht="15.75" x14ac:dyDescent="0.3">
      <c r="A1492" s="422"/>
      <c r="B1492" s="244" t="s">
        <v>331</v>
      </c>
      <c r="C1492" s="51"/>
      <c r="D1492" s="52"/>
      <c r="E1492" s="52" t="e">
        <f>C1492/D1492</f>
        <v>#DIV/0!</v>
      </c>
      <c r="F1492" s="51"/>
      <c r="G1492" s="52"/>
      <c r="H1492" s="53" t="e">
        <f>F1492/G1492</f>
        <v>#DIV/0!</v>
      </c>
      <c r="I1492" s="92" t="e">
        <f>H1492/E1492</f>
        <v>#DIV/0!</v>
      </c>
      <c r="J1492" s="266"/>
    </row>
    <row r="1493" spans="1:10" ht="15.75" x14ac:dyDescent="0.3">
      <c r="A1493" s="422"/>
      <c r="B1493" s="80" t="s">
        <v>440</v>
      </c>
      <c r="C1493" s="76">
        <v>225</v>
      </c>
      <c r="D1493" s="52">
        <v>5</v>
      </c>
      <c r="E1493" s="52">
        <f t="shared" ref="E1493:E1500" si="239">C1493/D1493</f>
        <v>45</v>
      </c>
      <c r="F1493" s="57"/>
      <c r="G1493" s="52"/>
      <c r="H1493" s="53" t="e">
        <f t="shared" ref="H1493" si="240">F1493/G1493</f>
        <v>#DIV/0!</v>
      </c>
      <c r="I1493" s="92" t="e">
        <f t="shared" ref="I1493" si="241">H1493/E1493</f>
        <v>#DIV/0!</v>
      </c>
      <c r="J1493" s="266"/>
    </row>
    <row r="1494" spans="1:10" ht="15.75" x14ac:dyDescent="0.3">
      <c r="A1494" s="422"/>
      <c r="B1494" s="80" t="s">
        <v>449</v>
      </c>
      <c r="C1494" s="76">
        <v>325</v>
      </c>
      <c r="D1494" s="52">
        <v>5</v>
      </c>
      <c r="E1494" s="52">
        <f t="shared" si="239"/>
        <v>65</v>
      </c>
      <c r="F1494" s="57"/>
      <c r="G1494" s="52"/>
      <c r="H1494" s="53" t="e">
        <f>F1494/G1494</f>
        <v>#DIV/0!</v>
      </c>
      <c r="I1494" s="92" t="e">
        <f>H1494/E1494</f>
        <v>#DIV/0!</v>
      </c>
      <c r="J1494" s="266"/>
    </row>
    <row r="1495" spans="1:10" ht="15.75" x14ac:dyDescent="0.3">
      <c r="A1495" s="422"/>
      <c r="B1495" s="80" t="s">
        <v>465</v>
      </c>
      <c r="C1495" s="76">
        <v>640</v>
      </c>
      <c r="D1495" s="52">
        <v>4</v>
      </c>
      <c r="E1495" s="52">
        <f t="shared" si="239"/>
        <v>160</v>
      </c>
      <c r="F1495" s="57">
        <v>694.83600000000001</v>
      </c>
      <c r="G1495" s="52">
        <v>4</v>
      </c>
      <c r="H1495" s="53">
        <f>F1495/G1495</f>
        <v>173.709</v>
      </c>
      <c r="I1495" s="92">
        <f>H1495/E1495</f>
        <v>1.0856812499999999</v>
      </c>
      <c r="J1495" s="266"/>
    </row>
    <row r="1496" spans="1:10" ht="15.75" x14ac:dyDescent="0.3">
      <c r="A1496" s="422"/>
      <c r="B1496" s="80" t="s">
        <v>441</v>
      </c>
      <c r="C1496" s="76"/>
      <c r="D1496" s="52"/>
      <c r="E1496" s="52" t="e">
        <f t="shared" si="239"/>
        <v>#DIV/0!</v>
      </c>
      <c r="F1496" s="57"/>
      <c r="G1496" s="52"/>
      <c r="H1496" s="53" t="e">
        <f t="shared" ref="H1496:H1497" si="242">F1496/G1496</f>
        <v>#DIV/0!</v>
      </c>
      <c r="I1496" s="92" t="e">
        <f t="shared" ref="I1496:I1497" si="243">H1496/E1496</f>
        <v>#DIV/0!</v>
      </c>
      <c r="J1496" s="266"/>
    </row>
    <row r="1497" spans="1:10" ht="15.75" x14ac:dyDescent="0.3">
      <c r="A1497" s="422"/>
      <c r="B1497" s="80" t="s">
        <v>464</v>
      </c>
      <c r="C1497" s="76">
        <v>65</v>
      </c>
      <c r="D1497" s="52">
        <v>1</v>
      </c>
      <c r="E1497" s="52">
        <f t="shared" si="239"/>
        <v>65</v>
      </c>
      <c r="F1497" s="57">
        <v>48.180000000000007</v>
      </c>
      <c r="G1497" s="52">
        <v>1</v>
      </c>
      <c r="H1497" s="53">
        <f t="shared" si="242"/>
        <v>48.180000000000007</v>
      </c>
      <c r="I1497" s="92">
        <f t="shared" si="243"/>
        <v>0.74123076923076936</v>
      </c>
      <c r="J1497" s="266"/>
    </row>
    <row r="1498" spans="1:10" ht="15.75" x14ac:dyDescent="0.3">
      <c r="A1498" s="422"/>
      <c r="B1498" s="80" t="s">
        <v>428</v>
      </c>
      <c r="C1498" s="76"/>
      <c r="D1498" s="52"/>
      <c r="E1498" s="52" t="e">
        <f t="shared" si="239"/>
        <v>#DIV/0!</v>
      </c>
      <c r="F1498" s="57"/>
      <c r="G1498" s="52"/>
      <c r="H1498" s="53" t="e">
        <f>F1498/G1498</f>
        <v>#DIV/0!</v>
      </c>
      <c r="I1498" s="92" t="e">
        <f>H1498/E1498</f>
        <v>#DIV/0!</v>
      </c>
      <c r="J1498" s="266"/>
    </row>
    <row r="1499" spans="1:10" ht="15.75" x14ac:dyDescent="0.3">
      <c r="A1499" s="422"/>
      <c r="B1499" s="80" t="s">
        <v>467</v>
      </c>
      <c r="C1499" s="76"/>
      <c r="D1499" s="52"/>
      <c r="E1499" s="52"/>
      <c r="F1499" s="51">
        <v>115.39599999999999</v>
      </c>
      <c r="G1499" s="52">
        <v>1</v>
      </c>
      <c r="H1499" s="53">
        <f t="shared" ref="H1499" si="244">F1499/G1499</f>
        <v>115.39599999999999</v>
      </c>
      <c r="I1499" s="92" t="e">
        <f t="shared" ref="I1499" si="245">H1499/E1499</f>
        <v>#DIV/0!</v>
      </c>
      <c r="J1499" s="266"/>
    </row>
    <row r="1500" spans="1:10" ht="15.75" x14ac:dyDescent="0.3">
      <c r="A1500" s="422"/>
      <c r="B1500" s="80" t="s">
        <v>450</v>
      </c>
      <c r="C1500" s="76">
        <v>75</v>
      </c>
      <c r="D1500" s="52">
        <v>1</v>
      </c>
      <c r="E1500" s="52">
        <f t="shared" si="239"/>
        <v>75</v>
      </c>
      <c r="F1500" s="52">
        <f>160+221.243</f>
        <v>381.24299999999999</v>
      </c>
      <c r="G1500" s="52">
        <v>5</v>
      </c>
      <c r="H1500" s="53">
        <f>F1500/G1500</f>
        <v>76.248599999999996</v>
      </c>
      <c r="I1500" s="92">
        <f>H1500/E1500</f>
        <v>1.016648</v>
      </c>
      <c r="J1500" s="266"/>
    </row>
    <row r="1501" spans="1:10" ht="16.5" x14ac:dyDescent="0.35">
      <c r="A1501" s="422"/>
      <c r="B1501" s="59" t="s">
        <v>146</v>
      </c>
      <c r="C1501" s="61">
        <f>SUM(C1491:C1500)</f>
        <v>1480</v>
      </c>
      <c r="D1501" s="61">
        <f>SUM(D1491:D1500)</f>
        <v>19</v>
      </c>
      <c r="E1501" s="61"/>
      <c r="F1501" s="61">
        <f>SUM(F1491:F1500)</f>
        <v>1643.655</v>
      </c>
      <c r="G1501" s="63">
        <f>SUM(G1491:G1500)</f>
        <v>17</v>
      </c>
      <c r="H1501" s="64"/>
      <c r="I1501" s="92"/>
      <c r="J1501" s="266"/>
    </row>
    <row r="1502" spans="1:10" ht="15.75" x14ac:dyDescent="0.3">
      <c r="A1502" s="422"/>
      <c r="B1502" s="65" t="s">
        <v>148</v>
      </c>
      <c r="C1502" s="66"/>
      <c r="D1502" s="68">
        <f>28-D1501</f>
        <v>9</v>
      </c>
      <c r="E1502" s="67"/>
      <c r="F1502" s="67"/>
      <c r="G1502" s="68">
        <f>28-G1501</f>
        <v>11</v>
      </c>
      <c r="H1502" s="87"/>
      <c r="I1502" s="92"/>
      <c r="J1502" s="266"/>
    </row>
    <row r="1503" spans="1:10" ht="17.25" thickBot="1" x14ac:dyDescent="0.4">
      <c r="A1503" s="423"/>
      <c r="B1503" s="70" t="s">
        <v>149</v>
      </c>
      <c r="C1503" s="71">
        <f>SUM(C1491:C1500)</f>
        <v>1480</v>
      </c>
      <c r="D1503" s="71">
        <f>D1501+D1502</f>
        <v>28</v>
      </c>
      <c r="E1503" s="71"/>
      <c r="F1503" s="71">
        <f>SUM(F1491:F1500)</f>
        <v>1643.655</v>
      </c>
      <c r="G1503" s="71">
        <f>G1501+G1502</f>
        <v>28</v>
      </c>
      <c r="H1503" s="58"/>
      <c r="I1503" s="73">
        <f>F1503/C1503</f>
        <v>1.1105777027027026</v>
      </c>
      <c r="J1503" s="267"/>
    </row>
    <row r="1504" spans="1:10" ht="15.75" x14ac:dyDescent="0.3">
      <c r="A1504" s="406" t="s">
        <v>176</v>
      </c>
      <c r="B1504" s="80" t="s">
        <v>177</v>
      </c>
      <c r="C1504" s="76">
        <v>490</v>
      </c>
      <c r="D1504" s="52">
        <v>7</v>
      </c>
      <c r="E1504" s="52">
        <f t="shared" ref="E1504:E1509" si="246">C1504/D1504</f>
        <v>70</v>
      </c>
      <c r="F1504" s="51">
        <v>165</v>
      </c>
      <c r="G1504" s="93">
        <v>2</v>
      </c>
      <c r="H1504" s="53">
        <f t="shared" ref="H1504:H1509" si="247">F1504/G1504</f>
        <v>82.5</v>
      </c>
      <c r="I1504" s="92">
        <f t="shared" ref="I1504:I1505" si="248">H1504/E1504</f>
        <v>1.1785714285714286</v>
      </c>
      <c r="J1504" s="268"/>
    </row>
    <row r="1505" spans="1:10" ht="15.75" x14ac:dyDescent="0.3">
      <c r="A1505" s="407"/>
      <c r="B1505" s="80" t="s">
        <v>442</v>
      </c>
      <c r="C1505" s="76">
        <v>450</v>
      </c>
      <c r="D1505" s="84">
        <v>5</v>
      </c>
      <c r="E1505" s="52">
        <f t="shared" si="246"/>
        <v>90</v>
      </c>
      <c r="F1505" s="93">
        <v>480</v>
      </c>
      <c r="G1505" s="93">
        <v>3</v>
      </c>
      <c r="H1505" s="53">
        <f t="shared" si="247"/>
        <v>160</v>
      </c>
      <c r="I1505" s="92">
        <f t="shared" si="248"/>
        <v>1.7777777777777777</v>
      </c>
      <c r="J1505" s="269"/>
    </row>
    <row r="1506" spans="1:10" ht="15.75" x14ac:dyDescent="0.3">
      <c r="A1506" s="407"/>
      <c r="B1506" s="80" t="s">
        <v>429</v>
      </c>
      <c r="C1506" s="51"/>
      <c r="D1506" s="52"/>
      <c r="E1506" s="52" t="e">
        <f t="shared" si="246"/>
        <v>#DIV/0!</v>
      </c>
      <c r="F1506" s="51"/>
      <c r="G1506" s="93"/>
      <c r="H1506" s="53" t="e">
        <f t="shared" si="247"/>
        <v>#DIV/0!</v>
      </c>
      <c r="I1506" s="92" t="e">
        <f>H1506/E1506</f>
        <v>#DIV/0!</v>
      </c>
      <c r="J1506" s="269"/>
    </row>
    <row r="1507" spans="1:10" ht="15.75" x14ac:dyDescent="0.3">
      <c r="A1507" s="407"/>
      <c r="B1507" s="80" t="s">
        <v>233</v>
      </c>
      <c r="C1507" s="51"/>
      <c r="D1507" s="52"/>
      <c r="E1507" s="52" t="e">
        <f t="shared" si="246"/>
        <v>#DIV/0!</v>
      </c>
      <c r="F1507" s="51"/>
      <c r="G1507" s="93"/>
      <c r="H1507" s="53" t="e">
        <f t="shared" si="247"/>
        <v>#DIV/0!</v>
      </c>
      <c r="I1507" s="92" t="e">
        <f>H1507/E1507</f>
        <v>#DIV/0!</v>
      </c>
      <c r="J1507" s="269"/>
    </row>
    <row r="1508" spans="1:10" ht="15.75" x14ac:dyDescent="0.3">
      <c r="A1508" s="407"/>
      <c r="B1508" s="80" t="s">
        <v>181</v>
      </c>
      <c r="C1508" s="51">
        <v>700</v>
      </c>
      <c r="D1508" s="52">
        <v>8</v>
      </c>
      <c r="E1508" s="52">
        <f t="shared" si="246"/>
        <v>87.5</v>
      </c>
      <c r="F1508" s="51">
        <v>937.5</v>
      </c>
      <c r="G1508" s="93">
        <v>12</v>
      </c>
      <c r="H1508" s="53">
        <f t="shared" si="247"/>
        <v>78.125</v>
      </c>
      <c r="I1508" s="92">
        <f>H1508/E1508</f>
        <v>0.8928571428571429</v>
      </c>
      <c r="J1508" s="269"/>
    </row>
    <row r="1509" spans="1:10" ht="15.75" x14ac:dyDescent="0.3">
      <c r="A1509" s="407"/>
      <c r="B1509" s="121" t="s">
        <v>430</v>
      </c>
      <c r="C1509" s="94"/>
      <c r="D1509" s="86"/>
      <c r="E1509" s="52" t="e">
        <f t="shared" si="246"/>
        <v>#DIV/0!</v>
      </c>
      <c r="F1509" s="95"/>
      <c r="G1509" s="96"/>
      <c r="H1509" s="53" t="e">
        <f t="shared" si="247"/>
        <v>#DIV/0!</v>
      </c>
      <c r="I1509" s="92" t="e">
        <f>H1509/E1509</f>
        <v>#DIV/0!</v>
      </c>
      <c r="J1509" s="269"/>
    </row>
    <row r="1510" spans="1:10" ht="16.5" x14ac:dyDescent="0.35">
      <c r="A1510" s="407"/>
      <c r="B1510" s="59" t="s">
        <v>146</v>
      </c>
      <c r="C1510" s="60"/>
      <c r="D1510" s="61">
        <f>SUM(D1504:D1509)</f>
        <v>20</v>
      </c>
      <c r="E1510" s="61"/>
      <c r="F1510" s="62"/>
      <c r="G1510" s="61">
        <f>SUM(G1504:G1509)</f>
        <v>17</v>
      </c>
      <c r="H1510" s="61"/>
      <c r="I1510" s="92"/>
      <c r="J1510" s="269"/>
    </row>
    <row r="1511" spans="1:10" ht="15.75" x14ac:dyDescent="0.3">
      <c r="A1511" s="407"/>
      <c r="B1511" s="65" t="s">
        <v>148</v>
      </c>
      <c r="C1511" s="66"/>
      <c r="D1511" s="68">
        <f>28-D1510</f>
        <v>8</v>
      </c>
      <c r="E1511" s="67"/>
      <c r="F1511" s="67"/>
      <c r="G1511" s="68">
        <f>28-G1510</f>
        <v>11</v>
      </c>
      <c r="H1511" s="97"/>
      <c r="I1511" s="92"/>
      <c r="J1511" s="269"/>
    </row>
    <row r="1512" spans="1:10" ht="17.25" thickBot="1" x14ac:dyDescent="0.4">
      <c r="A1512" s="408"/>
      <c r="B1512" s="70" t="s">
        <v>149</v>
      </c>
      <c r="C1512" s="71">
        <f>SUM(C1504:C1509)</f>
        <v>1640</v>
      </c>
      <c r="D1512" s="71">
        <f>D1511+D1510</f>
        <v>28</v>
      </c>
      <c r="E1512" s="98"/>
      <c r="F1512" s="71">
        <f>SUM(F1504:F1509)</f>
        <v>1582.5</v>
      </c>
      <c r="G1512" s="71">
        <f>G1511+G1510</f>
        <v>28</v>
      </c>
      <c r="H1512" s="99"/>
      <c r="I1512" s="73">
        <f>F1512/C1512</f>
        <v>0.96493902439024393</v>
      </c>
      <c r="J1512" s="270"/>
    </row>
    <row r="1513" spans="1:10" ht="15.75" x14ac:dyDescent="0.3">
      <c r="A1513" s="406" t="s">
        <v>183</v>
      </c>
      <c r="B1513" s="50" t="s">
        <v>77</v>
      </c>
      <c r="C1513" s="51"/>
      <c r="D1513" s="52"/>
      <c r="E1513" s="52" t="e">
        <f t="shared" ref="E1513:E1518" si="249">C1513/D1513</f>
        <v>#DIV/0!</v>
      </c>
      <c r="F1513" s="51">
        <v>1168.3576</v>
      </c>
      <c r="G1513" s="93">
        <v>8</v>
      </c>
      <c r="H1513" s="96">
        <f>F1513/G1513</f>
        <v>146.04470000000001</v>
      </c>
      <c r="I1513" s="92" t="e">
        <f>H1513/E1513</f>
        <v>#DIV/0!</v>
      </c>
      <c r="J1513" s="271"/>
    </row>
    <row r="1514" spans="1:10" ht="15.75" x14ac:dyDescent="0.3">
      <c r="A1514" s="407"/>
      <c r="B1514" s="50" t="s">
        <v>243</v>
      </c>
      <c r="C1514" s="51">
        <v>720</v>
      </c>
      <c r="D1514" s="52">
        <v>6</v>
      </c>
      <c r="E1514" s="52">
        <f t="shared" si="249"/>
        <v>120</v>
      </c>
      <c r="F1514" s="57"/>
      <c r="G1514" s="93"/>
      <c r="H1514" s="96" t="e">
        <f>F1514/G1514</f>
        <v>#DIV/0!</v>
      </c>
      <c r="I1514" s="92" t="e">
        <f>H1514/E1514</f>
        <v>#DIV/0!</v>
      </c>
      <c r="J1514" s="272"/>
    </row>
    <row r="1515" spans="1:10" ht="15.75" x14ac:dyDescent="0.3">
      <c r="A1515" s="407"/>
      <c r="B1515" s="50" t="s">
        <v>184</v>
      </c>
      <c r="C1515" s="51">
        <v>400</v>
      </c>
      <c r="D1515" s="52">
        <v>2.5</v>
      </c>
      <c r="E1515" s="52">
        <f t="shared" si="249"/>
        <v>160</v>
      </c>
      <c r="F1515" s="51">
        <v>1081.1959999999997</v>
      </c>
      <c r="G1515" s="93">
        <v>9</v>
      </c>
      <c r="H1515" s="96">
        <f>F1515/G1515</f>
        <v>120.13288888888886</v>
      </c>
      <c r="I1515" s="92">
        <f>H1515/E1515</f>
        <v>0.75083055555555533</v>
      </c>
      <c r="J1515" s="272"/>
    </row>
    <row r="1516" spans="1:10" ht="15.75" x14ac:dyDescent="0.3">
      <c r="A1516" s="407"/>
      <c r="B1516" s="50" t="s">
        <v>447</v>
      </c>
      <c r="C1516" s="51"/>
      <c r="D1516" s="52"/>
      <c r="E1516" s="52" t="e">
        <f t="shared" si="249"/>
        <v>#DIV/0!</v>
      </c>
      <c r="F1516" s="51"/>
      <c r="G1516" s="93"/>
      <c r="H1516" s="96" t="e">
        <f t="shared" ref="H1516:H1521" si="250">F1516/G1516</f>
        <v>#DIV/0!</v>
      </c>
      <c r="I1516" s="92" t="e">
        <f t="shared" ref="I1516:I1521" si="251">H1516/E1516</f>
        <v>#DIV/0!</v>
      </c>
      <c r="J1516" s="272"/>
    </row>
    <row r="1517" spans="1:10" ht="15.75" x14ac:dyDescent="0.3">
      <c r="A1517" s="407"/>
      <c r="B1517" s="50" t="s">
        <v>365</v>
      </c>
      <c r="C1517" s="51"/>
      <c r="D1517" s="52"/>
      <c r="E1517" s="52" t="e">
        <f t="shared" si="249"/>
        <v>#DIV/0!</v>
      </c>
      <c r="F1517" s="57">
        <v>638.86099999999999</v>
      </c>
      <c r="G1517" s="334">
        <v>5</v>
      </c>
      <c r="H1517" s="96">
        <f t="shared" si="250"/>
        <v>127.7722</v>
      </c>
      <c r="I1517" s="92" t="e">
        <f t="shared" si="251"/>
        <v>#DIV/0!</v>
      </c>
      <c r="J1517" s="272"/>
    </row>
    <row r="1518" spans="1:10" ht="15.75" x14ac:dyDescent="0.3">
      <c r="A1518" s="424"/>
      <c r="B1518" s="56" t="s">
        <v>443</v>
      </c>
      <c r="C1518" s="57"/>
      <c r="D1518" s="58"/>
      <c r="E1518" s="52" t="e">
        <f t="shared" si="249"/>
        <v>#DIV/0!</v>
      </c>
      <c r="F1518" s="57"/>
      <c r="G1518" s="334"/>
      <c r="H1518" s="96" t="e">
        <f t="shared" si="250"/>
        <v>#DIV/0!</v>
      </c>
      <c r="I1518" s="92" t="e">
        <f t="shared" si="251"/>
        <v>#DIV/0!</v>
      </c>
      <c r="J1518" s="272"/>
    </row>
    <row r="1519" spans="1:10" ht="15.75" x14ac:dyDescent="0.3">
      <c r="A1519" s="424"/>
      <c r="B1519" s="56" t="s">
        <v>364</v>
      </c>
      <c r="C1519" s="57"/>
      <c r="D1519" s="58"/>
      <c r="E1519" s="52"/>
      <c r="F1519" s="51"/>
      <c r="G1519" s="334"/>
      <c r="H1519" s="93" t="e">
        <f t="shared" si="250"/>
        <v>#DIV/0!</v>
      </c>
      <c r="I1519" s="363" t="e">
        <f t="shared" si="251"/>
        <v>#DIV/0!</v>
      </c>
      <c r="J1519" s="272"/>
    </row>
    <row r="1520" spans="1:10" ht="15.75" x14ac:dyDescent="0.3">
      <c r="A1520" s="424"/>
      <c r="B1520" s="56" t="s">
        <v>423</v>
      </c>
      <c r="C1520" s="57">
        <v>220</v>
      </c>
      <c r="D1520" s="58">
        <v>2</v>
      </c>
      <c r="E1520" s="52">
        <f>C1520/D1520</f>
        <v>110</v>
      </c>
      <c r="F1520" s="51">
        <v>200.31200000000001</v>
      </c>
      <c r="G1520" s="334">
        <v>1.5</v>
      </c>
      <c r="H1520" s="93">
        <f t="shared" si="250"/>
        <v>133.54133333333334</v>
      </c>
      <c r="I1520" s="363">
        <f t="shared" si="251"/>
        <v>1.2140121212121213</v>
      </c>
      <c r="J1520" s="272"/>
    </row>
    <row r="1521" spans="1:10" ht="15.75" x14ac:dyDescent="0.3">
      <c r="A1521" s="407"/>
      <c r="B1521" s="101" t="s">
        <v>79</v>
      </c>
      <c r="C1521" s="95">
        <v>330</v>
      </c>
      <c r="D1521" s="102">
        <v>2</v>
      </c>
      <c r="E1521" s="52">
        <f>C1521/D1521</f>
        <v>165</v>
      </c>
      <c r="F1521" s="51"/>
      <c r="G1521" s="93"/>
      <c r="H1521" s="99" t="e">
        <f t="shared" si="250"/>
        <v>#DIV/0!</v>
      </c>
      <c r="I1521" s="92" t="e">
        <f t="shared" si="251"/>
        <v>#DIV/0!</v>
      </c>
      <c r="J1521" s="272"/>
    </row>
    <row r="1522" spans="1:10" ht="16.5" x14ac:dyDescent="0.35">
      <c r="A1522" s="407"/>
      <c r="B1522" s="59" t="s">
        <v>146</v>
      </c>
      <c r="C1522" s="60"/>
      <c r="D1522" s="61">
        <f>SUM(D1513:D1521)</f>
        <v>12.5</v>
      </c>
      <c r="E1522" s="61"/>
      <c r="F1522" s="62"/>
      <c r="G1522" s="60">
        <f>SUM(G1513:G1521)</f>
        <v>23.5</v>
      </c>
      <c r="H1522" s="61"/>
      <c r="I1522" s="92"/>
      <c r="J1522" s="272"/>
    </row>
    <row r="1523" spans="1:10" ht="16.5" x14ac:dyDescent="0.35">
      <c r="A1523" s="407"/>
      <c r="B1523" s="130" t="s">
        <v>244</v>
      </c>
      <c r="C1523" s="131"/>
      <c r="D1523" s="132"/>
      <c r="E1523" s="133"/>
      <c r="F1523" s="133"/>
      <c r="G1523" s="132"/>
      <c r="H1523" s="134"/>
      <c r="I1523" s="92"/>
      <c r="J1523" s="272"/>
    </row>
    <row r="1524" spans="1:10" ht="15.75" x14ac:dyDescent="0.3">
      <c r="A1524" s="407"/>
      <c r="B1524" s="65" t="s">
        <v>148</v>
      </c>
      <c r="C1524" s="66"/>
      <c r="D1524" s="68">
        <f>28-D1523-D1522</f>
        <v>15.5</v>
      </c>
      <c r="E1524" s="67"/>
      <c r="F1524" s="67"/>
      <c r="G1524" s="81">
        <f>28-G1522-G1523</f>
        <v>4.5</v>
      </c>
      <c r="H1524" s="97"/>
      <c r="I1524" s="92"/>
      <c r="J1524" s="272"/>
    </row>
    <row r="1525" spans="1:10" ht="17.25" thickBot="1" x14ac:dyDescent="0.4">
      <c r="A1525" s="408"/>
      <c r="B1525" s="70" t="s">
        <v>149</v>
      </c>
      <c r="C1525" s="71">
        <f>SUM(C1513:C1521)</f>
        <v>1670</v>
      </c>
      <c r="D1525" s="71">
        <f>D1524+D1522</f>
        <v>28</v>
      </c>
      <c r="E1525" s="71"/>
      <c r="F1525" s="71">
        <f>SUM(F1513:F1521)</f>
        <v>3088.7265999999995</v>
      </c>
      <c r="G1525" s="104">
        <f>G1524+G1522+G1523</f>
        <v>28</v>
      </c>
      <c r="H1525" s="105"/>
      <c r="I1525" s="73">
        <f>F1525/C1525</f>
        <v>1.8495368862275445</v>
      </c>
      <c r="J1525" s="273"/>
    </row>
    <row r="1526" spans="1:10" ht="15.75" x14ac:dyDescent="0.3">
      <c r="A1526" s="406" t="s">
        <v>270</v>
      </c>
      <c r="B1526" s="106" t="s">
        <v>77</v>
      </c>
      <c r="C1526" s="76">
        <v>3150</v>
      </c>
      <c r="D1526" s="84">
        <v>9</v>
      </c>
      <c r="E1526" s="52">
        <f>C1526/D1526</f>
        <v>350</v>
      </c>
      <c r="F1526" s="57">
        <v>2063.835</v>
      </c>
      <c r="G1526" s="93">
        <v>7</v>
      </c>
      <c r="H1526" s="99">
        <f t="shared" ref="H1526:H1527" si="252">F1526/G1526</f>
        <v>294.83357142857142</v>
      </c>
      <c r="I1526" s="92">
        <f t="shared" ref="I1526:I1527" si="253">H1526/E1526</f>
        <v>0.84238163265306121</v>
      </c>
      <c r="J1526" s="271"/>
    </row>
    <row r="1527" spans="1:10" ht="15.75" x14ac:dyDescent="0.3">
      <c r="A1527" s="407"/>
      <c r="B1527" s="106" t="s">
        <v>79</v>
      </c>
      <c r="C1527" s="76">
        <v>800</v>
      </c>
      <c r="D1527" s="84">
        <v>2</v>
      </c>
      <c r="E1527" s="52">
        <f>C1527/D1527</f>
        <v>400</v>
      </c>
      <c r="F1527" s="51">
        <v>470.17200000000003</v>
      </c>
      <c r="G1527" s="93">
        <v>2</v>
      </c>
      <c r="H1527" s="99">
        <f t="shared" si="252"/>
        <v>235.08600000000001</v>
      </c>
      <c r="I1527" s="92">
        <f t="shared" si="253"/>
        <v>0.58771499999999999</v>
      </c>
      <c r="J1527" s="272"/>
    </row>
    <row r="1528" spans="1:10" ht="15.75" x14ac:dyDescent="0.3">
      <c r="A1528" s="407"/>
      <c r="B1528" s="106" t="s">
        <v>423</v>
      </c>
      <c r="C1528" s="76"/>
      <c r="D1528" s="84"/>
      <c r="E1528" s="52" t="e">
        <f t="shared" ref="E1528" si="254">C1528/D1528</f>
        <v>#DIV/0!</v>
      </c>
      <c r="F1528" s="51"/>
      <c r="G1528" s="93"/>
      <c r="H1528" s="99" t="e">
        <f>F1528/G1528</f>
        <v>#DIV/0!</v>
      </c>
      <c r="I1528" s="92" t="e">
        <f>H1528/E1528</f>
        <v>#DIV/0!</v>
      </c>
      <c r="J1528" s="272"/>
    </row>
    <row r="1529" spans="1:10" ht="15.75" x14ac:dyDescent="0.3">
      <c r="A1529" s="407"/>
      <c r="B1529" s="245" t="s">
        <v>365</v>
      </c>
      <c r="C1529" s="246">
        <v>800</v>
      </c>
      <c r="D1529" s="84">
        <v>2.5</v>
      </c>
      <c r="E1529" s="52">
        <f>C1529/D1529</f>
        <v>320</v>
      </c>
      <c r="F1529" s="95">
        <v>958.55000000000007</v>
      </c>
      <c r="G1529" s="53">
        <v>4</v>
      </c>
      <c r="H1529" s="99">
        <f>F1529/G1529</f>
        <v>239.63750000000002</v>
      </c>
      <c r="I1529" s="92">
        <f>H1529/E1529</f>
        <v>0.74886718750000003</v>
      </c>
      <c r="J1529" s="272"/>
    </row>
    <row r="1530" spans="1:10" ht="16.5" x14ac:dyDescent="0.35">
      <c r="A1530" s="407"/>
      <c r="B1530" s="65" t="s">
        <v>189</v>
      </c>
      <c r="C1530" s="66"/>
      <c r="D1530" s="108">
        <f>28-SUM(D1526:D1529)</f>
        <v>14.5</v>
      </c>
      <c r="E1530" s="109"/>
      <c r="F1530" s="109"/>
      <c r="G1530" s="108">
        <f>28-SUM(G1526:G1529)</f>
        <v>15</v>
      </c>
      <c r="H1530" s="68"/>
      <c r="I1530" s="92"/>
      <c r="J1530" s="272"/>
    </row>
    <row r="1531" spans="1:10" ht="17.25" thickBot="1" x14ac:dyDescent="0.4">
      <c r="A1531" s="408"/>
      <c r="B1531" s="111" t="s">
        <v>149</v>
      </c>
      <c r="C1531" s="82">
        <f>SUM(C1526:C1530)</f>
        <v>4750</v>
      </c>
      <c r="D1531" s="82">
        <f>D1530+SUM(D1526:D1529)</f>
        <v>28</v>
      </c>
      <c r="E1531" s="82"/>
      <c r="F1531" s="82">
        <f>SUM(F1526:F1530)</f>
        <v>3492.5570000000002</v>
      </c>
      <c r="G1531" s="82">
        <f>G1530+SUM(G1526:G1529)</f>
        <v>28</v>
      </c>
      <c r="H1531" s="112"/>
      <c r="I1531" s="73">
        <f>F1531/C1531</f>
        <v>0.73527515789473685</v>
      </c>
      <c r="J1531" s="273"/>
    </row>
    <row r="1532" spans="1:10" ht="15.75" x14ac:dyDescent="0.3">
      <c r="A1532" s="406" t="s">
        <v>190</v>
      </c>
      <c r="B1532" s="50"/>
      <c r="C1532" s="51"/>
      <c r="D1532" s="52"/>
      <c r="E1532" s="52"/>
      <c r="F1532" s="51"/>
      <c r="G1532" s="93"/>
      <c r="H1532" s="99"/>
      <c r="I1532" s="92"/>
      <c r="J1532" s="271"/>
    </row>
    <row r="1533" spans="1:10" ht="15.75" x14ac:dyDescent="0.3">
      <c r="A1533" s="407"/>
      <c r="B1533" s="101" t="s">
        <v>206</v>
      </c>
      <c r="C1533" s="95"/>
      <c r="D1533" s="102"/>
      <c r="E1533" s="86" t="e">
        <f>C1533/D1533</f>
        <v>#DIV/0!</v>
      </c>
      <c r="F1533" s="95"/>
      <c r="G1533" s="103"/>
      <c r="H1533" s="99" t="e">
        <f>F1533/G1533</f>
        <v>#DIV/0!</v>
      </c>
      <c r="I1533" s="92" t="e">
        <f>H1533/E1533</f>
        <v>#DIV/0!</v>
      </c>
      <c r="J1533" s="272"/>
    </row>
    <row r="1534" spans="1:10" ht="15.75" x14ac:dyDescent="0.3">
      <c r="A1534" s="407"/>
      <c r="B1534" s="101" t="s">
        <v>192</v>
      </c>
      <c r="C1534" s="114">
        <v>476</v>
      </c>
      <c r="D1534" s="102">
        <f>C1534/28</f>
        <v>17</v>
      </c>
      <c r="E1534" s="86">
        <f>C1534/D1534</f>
        <v>28</v>
      </c>
      <c r="F1534" s="103">
        <v>280</v>
      </c>
      <c r="G1534" s="103">
        <f>F1534/20</f>
        <v>14</v>
      </c>
      <c r="H1534" s="99">
        <f>F1534/G1534</f>
        <v>20</v>
      </c>
      <c r="I1534" s="92">
        <f>H1534/E1534</f>
        <v>0.7142857142857143</v>
      </c>
      <c r="J1534" s="272"/>
    </row>
    <row r="1535" spans="1:10" ht="15.75" x14ac:dyDescent="0.3">
      <c r="A1535" s="407"/>
      <c r="B1535" s="374"/>
      <c r="C1535" s="114"/>
      <c r="D1535" s="102"/>
      <c r="E1535" s="86"/>
      <c r="F1535" s="103"/>
      <c r="G1535" s="103"/>
      <c r="H1535" s="99"/>
      <c r="I1535" s="92"/>
      <c r="J1535" s="272"/>
    </row>
    <row r="1536" spans="1:10" ht="16.5" x14ac:dyDescent="0.35">
      <c r="A1536" s="407"/>
      <c r="B1536" s="59" t="s">
        <v>146</v>
      </c>
      <c r="C1536" s="60"/>
      <c r="D1536" s="61">
        <f>SUM(D1533:D1534)</f>
        <v>17</v>
      </c>
      <c r="E1536" s="61"/>
      <c r="F1536" s="62"/>
      <c r="G1536" s="61">
        <f>SUM(G1533:G1534)</f>
        <v>14</v>
      </c>
      <c r="H1536" s="61"/>
      <c r="I1536" s="92"/>
      <c r="J1536" s="272"/>
    </row>
    <row r="1537" spans="1:10" ht="15.75" x14ac:dyDescent="0.3">
      <c r="A1537" s="407"/>
      <c r="B1537" s="65" t="s">
        <v>148</v>
      </c>
      <c r="C1537" s="66"/>
      <c r="D1537" s="68">
        <f>28-D1536</f>
        <v>11</v>
      </c>
      <c r="E1537" s="67"/>
      <c r="F1537" s="67"/>
      <c r="G1537" s="81">
        <f>28-G1536</f>
        <v>14</v>
      </c>
      <c r="H1537" s="97"/>
      <c r="I1537" s="92"/>
      <c r="J1537" s="272"/>
    </row>
    <row r="1538" spans="1:10" ht="17.25" thickBot="1" x14ac:dyDescent="0.4">
      <c r="A1538" s="408"/>
      <c r="B1538" s="70" t="s">
        <v>149</v>
      </c>
      <c r="C1538" s="71">
        <f>SUM(C1533:C1534)</f>
        <v>476</v>
      </c>
      <c r="D1538" s="71">
        <f>D1537+D1536</f>
        <v>28</v>
      </c>
      <c r="E1538" s="71"/>
      <c r="F1538" s="71">
        <f>SUM(F1533:F1534)</f>
        <v>280</v>
      </c>
      <c r="G1538" s="71">
        <f>G1537+G1536</f>
        <v>28</v>
      </c>
      <c r="H1538" s="105"/>
      <c r="I1538" s="73">
        <f>F1538/C1538</f>
        <v>0.58823529411764708</v>
      </c>
      <c r="J1538" s="273"/>
    </row>
    <row r="1539" spans="1:10" ht="19.5" x14ac:dyDescent="0.3">
      <c r="A1539" s="364"/>
      <c r="B1539" s="101" t="s">
        <v>373</v>
      </c>
      <c r="C1539" s="95"/>
      <c r="D1539" s="102"/>
      <c r="E1539" s="86"/>
      <c r="F1539" s="95"/>
      <c r="G1539" s="103"/>
      <c r="H1539" s="86"/>
      <c r="I1539" s="92"/>
      <c r="J1539" s="271"/>
    </row>
    <row r="1540" spans="1:10" ht="15.75" x14ac:dyDescent="0.3">
      <c r="A1540" s="407" t="s">
        <v>194</v>
      </c>
      <c r="B1540" s="101" t="s">
        <v>370</v>
      </c>
      <c r="C1540" s="95"/>
      <c r="D1540" s="102"/>
      <c r="E1540" s="86"/>
      <c r="F1540" s="95"/>
      <c r="G1540" s="103"/>
      <c r="H1540" s="86" t="e">
        <f>F1540/G1540</f>
        <v>#DIV/0!</v>
      </c>
      <c r="I1540" s="92" t="e">
        <f>H1540/E1540</f>
        <v>#DIV/0!</v>
      </c>
      <c r="J1540" s="272"/>
    </row>
    <row r="1541" spans="1:10" ht="15.75" x14ac:dyDescent="0.3">
      <c r="A1541" s="407"/>
      <c r="B1541" s="101" t="s">
        <v>208</v>
      </c>
      <c r="C1541" s="114"/>
      <c r="D1541" s="102"/>
      <c r="E1541" s="86"/>
      <c r="F1541" s="103">
        <v>281.04259999999999</v>
      </c>
      <c r="G1541" s="103">
        <f>F1541/20</f>
        <v>14.05213</v>
      </c>
      <c r="H1541" s="86">
        <f>F1541/G1541</f>
        <v>20</v>
      </c>
      <c r="I1541" s="92" t="e">
        <f>H1541/E1541</f>
        <v>#DIV/0!</v>
      </c>
      <c r="J1541" s="272"/>
    </row>
    <row r="1542" spans="1:10" ht="16.5" x14ac:dyDescent="0.35">
      <c r="A1542" s="407"/>
      <c r="B1542" s="59" t="s">
        <v>146</v>
      </c>
      <c r="C1542" s="60"/>
      <c r="D1542" s="61">
        <f>SUM(D1539:D1541)</f>
        <v>0</v>
      </c>
      <c r="E1542" s="61"/>
      <c r="F1542" s="62"/>
      <c r="G1542" s="61">
        <f>SUM(G1539:G1541)</f>
        <v>14.05213</v>
      </c>
      <c r="H1542" s="61"/>
      <c r="I1542" s="92"/>
      <c r="J1542" s="272"/>
    </row>
    <row r="1543" spans="1:10" ht="15.75" x14ac:dyDescent="0.3">
      <c r="A1543" s="407"/>
      <c r="B1543" s="65" t="s">
        <v>148</v>
      </c>
      <c r="C1543" s="66"/>
      <c r="D1543" s="68">
        <f>28-D1542</f>
        <v>28</v>
      </c>
      <c r="E1543" s="67"/>
      <c r="F1543" s="67"/>
      <c r="G1543" s="81">
        <f>28-G1542</f>
        <v>13.94787</v>
      </c>
      <c r="H1543" s="97"/>
      <c r="I1543" s="92"/>
      <c r="J1543" s="272"/>
    </row>
    <row r="1544" spans="1:10" ht="17.25" thickBot="1" x14ac:dyDescent="0.4">
      <c r="A1544" s="408"/>
      <c r="B1544" s="70" t="s">
        <v>149</v>
      </c>
      <c r="C1544" s="71">
        <f>SUM(C1539:C1541)</f>
        <v>0</v>
      </c>
      <c r="D1544" s="71">
        <f>D1543+D1542</f>
        <v>28</v>
      </c>
      <c r="E1544" s="71"/>
      <c r="F1544" s="71">
        <f>SUM(F1539:F1541)</f>
        <v>281.04259999999999</v>
      </c>
      <c r="G1544" s="71">
        <f>G1543+G1542</f>
        <v>28</v>
      </c>
      <c r="H1544" s="105"/>
      <c r="I1544" s="73" t="e">
        <f>F1544/C1544</f>
        <v>#DIV/0!</v>
      </c>
      <c r="J1544" s="273"/>
    </row>
    <row r="1546" spans="1:10" ht="21" x14ac:dyDescent="0.4">
      <c r="A1546" s="37" t="s">
        <v>474</v>
      </c>
      <c r="B1546" s="37"/>
      <c r="C1546" s="37"/>
      <c r="D1546" s="37"/>
      <c r="E1546" s="37"/>
      <c r="F1546" s="37"/>
      <c r="G1546" s="37"/>
      <c r="H1546" s="37"/>
      <c r="I1546" s="37"/>
    </row>
    <row r="1547" spans="1:10" ht="17.25" thickBot="1" x14ac:dyDescent="0.4">
      <c r="A1547" s="40"/>
      <c r="B1547" s="41"/>
      <c r="C1547" s="42"/>
      <c r="D1547" s="42"/>
      <c r="E1547" s="42"/>
      <c r="F1547" s="42"/>
      <c r="G1547" s="42"/>
      <c r="H1547" s="42"/>
      <c r="I1547" s="42"/>
    </row>
    <row r="1548" spans="1:10" ht="16.5" x14ac:dyDescent="0.35">
      <c r="A1548" s="409" t="s">
        <v>128</v>
      </c>
      <c r="B1548" s="44"/>
      <c r="C1548" s="45"/>
      <c r="D1548" s="45"/>
      <c r="E1548" s="45"/>
      <c r="F1548" s="45"/>
      <c r="G1548" s="411" t="s">
        <v>129</v>
      </c>
      <c r="H1548" s="371"/>
      <c r="I1548" s="413" t="s">
        <v>130</v>
      </c>
      <c r="J1548" s="257" t="s">
        <v>131</v>
      </c>
    </row>
    <row r="1549" spans="1:10" ht="66.75" thickBot="1" x14ac:dyDescent="0.3">
      <c r="A1549" s="410"/>
      <c r="B1549" s="46"/>
      <c r="C1549" s="47" t="s">
        <v>132</v>
      </c>
      <c r="D1549" s="48" t="s">
        <v>133</v>
      </c>
      <c r="E1549" s="48" t="s">
        <v>134</v>
      </c>
      <c r="F1549" s="49" t="s">
        <v>135</v>
      </c>
      <c r="G1549" s="412"/>
      <c r="H1549" s="48" t="s">
        <v>136</v>
      </c>
      <c r="I1549" s="414"/>
      <c r="J1549" s="258"/>
    </row>
    <row r="1550" spans="1:10" ht="15.75" x14ac:dyDescent="0.3">
      <c r="A1550" s="415" t="s">
        <v>137</v>
      </c>
      <c r="B1550" s="50" t="s">
        <v>340</v>
      </c>
      <c r="C1550" s="51">
        <f>2400+650</f>
        <v>3050</v>
      </c>
      <c r="D1550" s="123">
        <v>12</v>
      </c>
      <c r="E1550" s="52">
        <f t="shared" ref="E1550:E1555" si="255">C1550/D1550</f>
        <v>254.16666666666666</v>
      </c>
      <c r="F1550" s="51">
        <v>3109.7200000000003</v>
      </c>
      <c r="G1550" s="53">
        <v>13</v>
      </c>
      <c r="H1550" s="53">
        <f>F1550/G1550</f>
        <v>239.2092307692308</v>
      </c>
      <c r="I1550" s="54">
        <f t="shared" ref="I1550:I1555" si="256">H1550/E1550</f>
        <v>0.94115107187894087</v>
      </c>
      <c r="J1550" s="259"/>
    </row>
    <row r="1551" spans="1:10" ht="15.75" x14ac:dyDescent="0.3">
      <c r="A1551" s="416"/>
      <c r="B1551" s="56" t="s">
        <v>140</v>
      </c>
      <c r="C1551" s="57">
        <v>450</v>
      </c>
      <c r="D1551" s="53">
        <v>2</v>
      </c>
      <c r="E1551" s="52">
        <f t="shared" si="255"/>
        <v>225</v>
      </c>
      <c r="F1551" s="57">
        <v>609.13</v>
      </c>
      <c r="G1551" s="53">
        <v>3</v>
      </c>
      <c r="H1551" s="53">
        <f t="shared" ref="H1551:H1555" si="257">F1551/G1551</f>
        <v>203.04333333333332</v>
      </c>
      <c r="I1551" s="54">
        <f t="shared" si="256"/>
        <v>0.90241481481481478</v>
      </c>
      <c r="J1551" s="260"/>
    </row>
    <row r="1552" spans="1:10" ht="15.75" x14ac:dyDescent="0.3">
      <c r="A1552" s="416"/>
      <c r="B1552" s="56" t="s">
        <v>325</v>
      </c>
      <c r="C1552" s="57">
        <f>1500+400</f>
        <v>1900</v>
      </c>
      <c r="D1552" s="58">
        <v>9</v>
      </c>
      <c r="E1552" s="52">
        <f t="shared" si="255"/>
        <v>211.11111111111111</v>
      </c>
      <c r="F1552" s="57">
        <v>1846.5000000000002</v>
      </c>
      <c r="G1552" s="53">
        <v>9</v>
      </c>
      <c r="H1552" s="53">
        <f t="shared" si="257"/>
        <v>205.16666666666669</v>
      </c>
      <c r="I1552" s="54">
        <f t="shared" si="256"/>
        <v>0.97184210526315795</v>
      </c>
      <c r="J1552" s="260"/>
    </row>
    <row r="1553" spans="1:10" ht="15.75" x14ac:dyDescent="0.3">
      <c r="A1553" s="416"/>
      <c r="B1553" s="56" t="s">
        <v>462</v>
      </c>
      <c r="C1553" s="57">
        <v>550</v>
      </c>
      <c r="D1553" s="58">
        <v>4</v>
      </c>
      <c r="E1553" s="52">
        <f t="shared" si="255"/>
        <v>137.5</v>
      </c>
      <c r="F1553" s="57"/>
      <c r="G1553" s="53"/>
      <c r="H1553" s="53" t="e">
        <f t="shared" si="257"/>
        <v>#DIV/0!</v>
      </c>
      <c r="I1553" s="54" t="e">
        <f t="shared" si="256"/>
        <v>#DIV/0!</v>
      </c>
      <c r="J1553" s="260"/>
    </row>
    <row r="1554" spans="1:10" ht="15.75" x14ac:dyDescent="0.3">
      <c r="A1554" s="416"/>
      <c r="B1554" s="56" t="s">
        <v>400</v>
      </c>
      <c r="C1554" s="57"/>
      <c r="D1554" s="58"/>
      <c r="E1554" s="52" t="e">
        <f t="shared" si="255"/>
        <v>#DIV/0!</v>
      </c>
      <c r="F1554" s="57"/>
      <c r="G1554" s="53"/>
      <c r="H1554" s="53" t="e">
        <f t="shared" si="257"/>
        <v>#DIV/0!</v>
      </c>
      <c r="I1554" s="54" t="e">
        <f t="shared" si="256"/>
        <v>#DIV/0!</v>
      </c>
      <c r="J1554" s="260"/>
    </row>
    <row r="1555" spans="1:10" ht="15.75" x14ac:dyDescent="0.3">
      <c r="A1555" s="416"/>
      <c r="B1555" s="56" t="s">
        <v>145</v>
      </c>
      <c r="C1555" s="57"/>
      <c r="D1555" s="58"/>
      <c r="E1555" s="52" t="e">
        <f t="shared" si="255"/>
        <v>#DIV/0!</v>
      </c>
      <c r="F1555" s="57"/>
      <c r="G1555" s="53"/>
      <c r="H1555" s="53" t="e">
        <f t="shared" si="257"/>
        <v>#DIV/0!</v>
      </c>
      <c r="I1555" s="54" t="e">
        <f t="shared" si="256"/>
        <v>#DIV/0!</v>
      </c>
      <c r="J1555" s="260"/>
    </row>
    <row r="1556" spans="1:10" ht="15.75" x14ac:dyDescent="0.3">
      <c r="A1556" s="416"/>
      <c r="B1556" s="50"/>
      <c r="C1556" s="57"/>
      <c r="D1556" s="58"/>
      <c r="E1556" s="52"/>
      <c r="F1556" s="57"/>
      <c r="G1556" s="53"/>
      <c r="H1556" s="53"/>
      <c r="I1556" s="53"/>
      <c r="J1556" s="260"/>
    </row>
    <row r="1557" spans="1:10" ht="16.5" x14ac:dyDescent="0.35">
      <c r="A1557" s="416"/>
      <c r="B1557" s="59" t="s">
        <v>146</v>
      </c>
      <c r="C1557" s="60"/>
      <c r="D1557" s="61">
        <f>SUM(D1550:D1556)</f>
        <v>27</v>
      </c>
      <c r="E1557" s="61"/>
      <c r="F1557" s="62"/>
      <c r="G1557" s="63">
        <f>SUM(G1550:G1556)</f>
        <v>25</v>
      </c>
      <c r="H1557" s="64"/>
      <c r="I1557" s="53"/>
      <c r="J1557" s="260"/>
    </row>
    <row r="1558" spans="1:10" ht="16.5" x14ac:dyDescent="0.35">
      <c r="A1558" s="416"/>
      <c r="B1558" s="59" t="s">
        <v>147</v>
      </c>
      <c r="C1558" s="60"/>
      <c r="D1558" s="61"/>
      <c r="E1558" s="62"/>
      <c r="F1558" s="62"/>
      <c r="G1558" s="63"/>
      <c r="H1558" s="64"/>
      <c r="I1558" s="53"/>
      <c r="J1558" s="260"/>
    </row>
    <row r="1559" spans="1:10" ht="15.75" x14ac:dyDescent="0.3">
      <c r="A1559" s="416"/>
      <c r="B1559" s="65" t="s">
        <v>148</v>
      </c>
      <c r="C1559" s="66"/>
      <c r="D1559" s="68">
        <v>4</v>
      </c>
      <c r="E1559" s="67"/>
      <c r="F1559" s="67"/>
      <c r="G1559" s="68">
        <f>31-G1558-G1557</f>
        <v>6</v>
      </c>
      <c r="H1559" s="69"/>
      <c r="I1559" s="53"/>
      <c r="J1559" s="260"/>
    </row>
    <row r="1560" spans="1:10" ht="17.25" thickBot="1" x14ac:dyDescent="0.4">
      <c r="A1560" s="417"/>
      <c r="B1560" s="70" t="s">
        <v>149</v>
      </c>
      <c r="C1560" s="71">
        <f>SUM(C1550:C1555)</f>
        <v>5950</v>
      </c>
      <c r="D1560" s="71">
        <f>D1557+D1558+D1559</f>
        <v>31</v>
      </c>
      <c r="E1560" s="71">
        <f>E1557+E1558+E1559</f>
        <v>0</v>
      </c>
      <c r="F1560" s="72">
        <f>SUM(F1550:F1556)</f>
        <v>5565.35</v>
      </c>
      <c r="G1560" s="71">
        <f>G1557+G1558+G1559</f>
        <v>31</v>
      </c>
      <c r="H1560" s="71"/>
      <c r="I1560" s="73">
        <f>F1560/C1560</f>
        <v>0.93535294117647061</v>
      </c>
      <c r="J1560" s="261"/>
    </row>
    <row r="1561" spans="1:10" ht="16.5" thickBot="1" x14ac:dyDescent="0.35">
      <c r="A1561" s="418" t="s">
        <v>150</v>
      </c>
      <c r="B1561" s="78" t="s">
        <v>366</v>
      </c>
      <c r="C1561" s="76">
        <f>240+978</f>
        <v>1218</v>
      </c>
      <c r="D1561" s="52">
        <v>4</v>
      </c>
      <c r="E1561" s="52">
        <f>C1561/D1561</f>
        <v>304.5</v>
      </c>
      <c r="F1561" s="52">
        <f>500.66+415.304</f>
        <v>915.96399999999994</v>
      </c>
      <c r="G1561" s="127">
        <v>3.75</v>
      </c>
      <c r="H1561" s="241">
        <f t="shared" ref="H1561:H1568" si="258">F1561/G1561</f>
        <v>244.25706666666665</v>
      </c>
      <c r="I1561" s="92">
        <f t="shared" ref="I1561:I1568" si="259">H1561/E1561</f>
        <v>0.80215785440613019</v>
      </c>
      <c r="J1561" s="263"/>
    </row>
    <row r="1562" spans="1:10" ht="15.75" x14ac:dyDescent="0.3">
      <c r="A1562" s="419"/>
      <c r="B1562" s="78" t="s">
        <v>154</v>
      </c>
      <c r="C1562" s="76">
        <v>150</v>
      </c>
      <c r="D1562" s="52">
        <v>1</v>
      </c>
      <c r="E1562" s="52">
        <f>C1562/D1562</f>
        <v>150</v>
      </c>
      <c r="F1562" s="51">
        <f>115.182+326.81</f>
        <v>441.99200000000002</v>
      </c>
      <c r="G1562" s="52">
        <v>4</v>
      </c>
      <c r="H1562" s="241">
        <f t="shared" si="258"/>
        <v>110.498</v>
      </c>
      <c r="I1562" s="92">
        <f t="shared" si="259"/>
        <v>0.73665333333333338</v>
      </c>
      <c r="J1562" s="262"/>
    </row>
    <row r="1563" spans="1:10" ht="15.75" x14ac:dyDescent="0.3">
      <c r="A1563" s="419"/>
      <c r="B1563" s="78" t="s">
        <v>455</v>
      </c>
      <c r="C1563" s="76"/>
      <c r="D1563" s="52"/>
      <c r="E1563" s="52"/>
      <c r="F1563" s="51"/>
      <c r="G1563" s="52"/>
      <c r="H1563" s="241" t="e">
        <f t="shared" si="258"/>
        <v>#DIV/0!</v>
      </c>
      <c r="I1563" s="92" t="e">
        <f t="shared" si="259"/>
        <v>#DIV/0!</v>
      </c>
      <c r="J1563" s="263"/>
    </row>
    <row r="1564" spans="1:10" ht="15.75" x14ac:dyDescent="0.3">
      <c r="A1564" s="419"/>
      <c r="B1564" s="78" t="s">
        <v>155</v>
      </c>
      <c r="C1564" s="57"/>
      <c r="D1564" s="58"/>
      <c r="E1564" s="52" t="e">
        <f>C1564/D1564</f>
        <v>#DIV/0!</v>
      </c>
      <c r="F1564" s="57"/>
      <c r="G1564" s="52"/>
      <c r="H1564" s="241" t="e">
        <f t="shared" si="258"/>
        <v>#DIV/0!</v>
      </c>
      <c r="I1564" s="92" t="e">
        <f t="shared" si="259"/>
        <v>#DIV/0!</v>
      </c>
      <c r="J1564" s="263"/>
    </row>
    <row r="1565" spans="1:10" ht="15.75" x14ac:dyDescent="0.3">
      <c r="A1565" s="419"/>
      <c r="B1565" s="78" t="s">
        <v>368</v>
      </c>
      <c r="C1565" s="51">
        <v>413</v>
      </c>
      <c r="D1565" s="52">
        <v>5</v>
      </c>
      <c r="E1565" s="52">
        <f>C1565/D1565</f>
        <v>82.6</v>
      </c>
      <c r="F1565" s="79">
        <f>111.87+18.406+58.2</f>
        <v>188.476</v>
      </c>
      <c r="G1565" s="127">
        <v>3</v>
      </c>
      <c r="H1565" s="241">
        <f t="shared" si="258"/>
        <v>62.825333333333333</v>
      </c>
      <c r="I1565" s="92">
        <f t="shared" si="259"/>
        <v>0.76059725585149318</v>
      </c>
      <c r="J1565" s="263"/>
    </row>
    <row r="1566" spans="1:10" ht="15.75" x14ac:dyDescent="0.3">
      <c r="A1566" s="419"/>
      <c r="B1566" s="78" t="s">
        <v>353</v>
      </c>
      <c r="C1566" s="51">
        <v>500</v>
      </c>
      <c r="D1566" s="90">
        <v>5</v>
      </c>
      <c r="E1566" s="52">
        <f>C1566/D1566</f>
        <v>100</v>
      </c>
      <c r="F1566" s="51">
        <v>104.42</v>
      </c>
      <c r="G1566" s="52">
        <v>2</v>
      </c>
      <c r="H1566" s="241">
        <f t="shared" si="258"/>
        <v>52.21</v>
      </c>
      <c r="I1566" s="92">
        <f t="shared" si="259"/>
        <v>0.52210000000000001</v>
      </c>
      <c r="J1566" s="263"/>
    </row>
    <row r="1567" spans="1:10" ht="15.75" x14ac:dyDescent="0.3">
      <c r="A1567" s="419"/>
      <c r="B1567" s="78" t="s">
        <v>475</v>
      </c>
      <c r="C1567" s="51">
        <f>490+435</f>
        <v>925</v>
      </c>
      <c r="D1567" s="90">
        <v>11</v>
      </c>
      <c r="E1567" s="52">
        <f>C1567/D1567</f>
        <v>84.090909090909093</v>
      </c>
      <c r="F1567" s="51">
        <f>458.415+429.84</f>
        <v>888.255</v>
      </c>
      <c r="G1567" s="52">
        <f>7+4.5</f>
        <v>11.5</v>
      </c>
      <c r="H1567" s="241">
        <f t="shared" si="258"/>
        <v>77.239565217391302</v>
      </c>
      <c r="I1567" s="92">
        <f t="shared" si="259"/>
        <v>0.91852455934195054</v>
      </c>
      <c r="J1567" s="263"/>
    </row>
    <row r="1568" spans="1:10" ht="15.75" x14ac:dyDescent="0.3">
      <c r="A1568" s="419"/>
      <c r="B1568" s="78"/>
      <c r="C1568" s="51"/>
      <c r="D1568" s="52"/>
      <c r="E1568" s="52" t="e">
        <f>C1568/D1568</f>
        <v>#DIV/0!</v>
      </c>
      <c r="F1568" s="52"/>
      <c r="G1568" s="52"/>
      <c r="H1568" s="241" t="e">
        <f t="shared" si="258"/>
        <v>#DIV/0!</v>
      </c>
      <c r="I1568" s="92" t="e">
        <f t="shared" si="259"/>
        <v>#DIV/0!</v>
      </c>
      <c r="J1568" s="263"/>
    </row>
    <row r="1569" spans="1:10" ht="15.75" x14ac:dyDescent="0.3">
      <c r="A1569" s="419"/>
      <c r="B1569" s="78" t="s">
        <v>402</v>
      </c>
      <c r="C1569" s="76"/>
      <c r="D1569" s="84"/>
      <c r="E1569" s="52"/>
      <c r="F1569" s="52"/>
      <c r="G1569" s="52"/>
      <c r="H1569" s="241" t="e">
        <f>F1569/G1569</f>
        <v>#DIV/0!</v>
      </c>
      <c r="I1569" s="92"/>
      <c r="J1569" s="263"/>
    </row>
    <row r="1570" spans="1:10" ht="15.75" x14ac:dyDescent="0.3">
      <c r="A1570" s="419"/>
      <c r="B1570" s="78" t="s">
        <v>401</v>
      </c>
      <c r="C1570" s="76"/>
      <c r="D1570" s="84"/>
      <c r="E1570" s="52"/>
      <c r="F1570" s="344"/>
      <c r="G1570" s="52"/>
      <c r="H1570" s="241"/>
      <c r="I1570" s="92"/>
      <c r="J1570" s="263"/>
    </row>
    <row r="1571" spans="1:10" ht="15.75" x14ac:dyDescent="0.3">
      <c r="A1571" s="419"/>
      <c r="B1571" s="78" t="s">
        <v>328</v>
      </c>
      <c r="C1571" s="51"/>
      <c r="D1571" s="52"/>
      <c r="E1571" s="52"/>
      <c r="F1571" s="79"/>
      <c r="G1571" s="52"/>
      <c r="H1571" s="241" t="e">
        <f>F1571/G1571</f>
        <v>#DIV/0!</v>
      </c>
      <c r="I1571" s="92"/>
      <c r="J1571" s="263"/>
    </row>
    <row r="1572" spans="1:10" ht="15.75" x14ac:dyDescent="0.3">
      <c r="A1572" s="419"/>
      <c r="B1572" s="78" t="s">
        <v>466</v>
      </c>
      <c r="C1572" s="51"/>
      <c r="D1572" s="52"/>
      <c r="E1572" s="52"/>
      <c r="F1572" s="51"/>
      <c r="G1572" s="52"/>
      <c r="H1572" s="241" t="e">
        <f>F1572/G1572</f>
        <v>#DIV/0!</v>
      </c>
      <c r="I1572" s="92" t="e">
        <f>H1572/E1572</f>
        <v>#DIV/0!</v>
      </c>
      <c r="J1572" s="263"/>
    </row>
    <row r="1573" spans="1:10" ht="16.5" x14ac:dyDescent="0.35">
      <c r="A1573" s="419"/>
      <c r="B1573" s="366" t="s">
        <v>146</v>
      </c>
      <c r="C1573" s="60"/>
      <c r="D1573" s="63">
        <f>SUM(D1561:D1572)</f>
        <v>26</v>
      </c>
      <c r="E1573" s="61"/>
      <c r="F1573" s="62"/>
      <c r="G1573" s="63">
        <f>SUM(G1561:G1572)</f>
        <v>24.25</v>
      </c>
      <c r="H1573" s="63"/>
      <c r="I1573" s="99"/>
      <c r="J1573" s="263"/>
    </row>
    <row r="1574" spans="1:10" ht="15.75" x14ac:dyDescent="0.3">
      <c r="A1574" s="419"/>
      <c r="B1574" s="367" t="s">
        <v>148</v>
      </c>
      <c r="C1574" s="66"/>
      <c r="D1574" s="81">
        <f>31-D1573</f>
        <v>5</v>
      </c>
      <c r="E1574" s="67"/>
      <c r="F1574" s="67"/>
      <c r="G1574" s="81">
        <f>31-G1573</f>
        <v>6.75</v>
      </c>
      <c r="H1574" s="243"/>
      <c r="I1574" s="112"/>
      <c r="J1574" s="263"/>
    </row>
    <row r="1575" spans="1:10" ht="17.25" thickBot="1" x14ac:dyDescent="0.4">
      <c r="A1575" s="420"/>
      <c r="B1575" s="368" t="s">
        <v>149</v>
      </c>
      <c r="C1575" s="71">
        <f>SUM(C1561:C1572)</f>
        <v>3206</v>
      </c>
      <c r="D1575" s="71">
        <f>D1573+D1574</f>
        <v>31</v>
      </c>
      <c r="E1575" s="71">
        <f>E1573+E1574</f>
        <v>0</v>
      </c>
      <c r="F1575" s="71">
        <f>SUM(F1561:F1572)</f>
        <v>2539.107</v>
      </c>
      <c r="G1575" s="71">
        <f t="shared" ref="G1575" si="260">G1573+G1574</f>
        <v>31</v>
      </c>
      <c r="H1575" s="82"/>
      <c r="I1575" s="73">
        <f>F1575/C1575</f>
        <v>0.79198596381784159</v>
      </c>
      <c r="J1575" s="264"/>
    </row>
    <row r="1576" spans="1:10" ht="15.75" x14ac:dyDescent="0.3">
      <c r="A1576" s="421" t="s">
        <v>161</v>
      </c>
      <c r="B1576" s="50" t="s">
        <v>476</v>
      </c>
      <c r="C1576" s="51">
        <v>1040</v>
      </c>
      <c r="D1576" s="83">
        <v>7</v>
      </c>
      <c r="E1576" s="52">
        <f>C1576/D1576</f>
        <v>148.57142857142858</v>
      </c>
      <c r="F1576" s="51">
        <v>1275.1020000000001</v>
      </c>
      <c r="G1576" s="83">
        <v>6</v>
      </c>
      <c r="H1576" s="53">
        <f t="shared" ref="H1576:H1578" si="261">F1576/G1576</f>
        <v>212.51700000000002</v>
      </c>
      <c r="I1576" s="92">
        <f t="shared" ref="I1576:I1578" si="262">H1576/E1576</f>
        <v>1.4304028846153847</v>
      </c>
      <c r="J1576" s="265"/>
    </row>
    <row r="1577" spans="1:10" ht="15.75" x14ac:dyDescent="0.3">
      <c r="A1577" s="422"/>
      <c r="B1577" s="50" t="s">
        <v>457</v>
      </c>
      <c r="C1577" s="76">
        <v>78</v>
      </c>
      <c r="D1577" s="84">
        <v>1</v>
      </c>
      <c r="E1577" s="52">
        <f>C1577/D1577</f>
        <v>78</v>
      </c>
      <c r="F1577" s="51"/>
      <c r="G1577" s="52"/>
      <c r="H1577" s="53" t="e">
        <f t="shared" si="261"/>
        <v>#DIV/0!</v>
      </c>
      <c r="I1577" s="92" t="e">
        <f t="shared" si="262"/>
        <v>#DIV/0!</v>
      </c>
      <c r="J1577" s="266"/>
    </row>
    <row r="1578" spans="1:10" ht="15.75" x14ac:dyDescent="0.3">
      <c r="A1578" s="422"/>
      <c r="B1578" s="50" t="s">
        <v>448</v>
      </c>
      <c r="C1578" s="76">
        <f>160+300</f>
        <v>460</v>
      </c>
      <c r="D1578" s="84">
        <v>4</v>
      </c>
      <c r="E1578" s="52">
        <f t="shared" ref="E1578:E1586" si="263">C1578/D1578</f>
        <v>115</v>
      </c>
      <c r="F1578" s="57">
        <v>353.80380000000002</v>
      </c>
      <c r="G1578" s="52">
        <v>3</v>
      </c>
      <c r="H1578" s="53">
        <f t="shared" si="261"/>
        <v>117.9346</v>
      </c>
      <c r="I1578" s="92">
        <f t="shared" si="262"/>
        <v>1.0255182608695652</v>
      </c>
      <c r="J1578" s="266"/>
    </row>
    <row r="1579" spans="1:10" ht="15.75" x14ac:dyDescent="0.3">
      <c r="A1579" s="422"/>
      <c r="B1579" s="50" t="s">
        <v>418</v>
      </c>
      <c r="C1579" s="76"/>
      <c r="D1579" s="84"/>
      <c r="E1579" s="52" t="e">
        <f t="shared" si="263"/>
        <v>#DIV/0!</v>
      </c>
      <c r="F1579" s="57"/>
      <c r="G1579" s="90"/>
      <c r="H1579" s="241" t="e">
        <f>F1579/G1579</f>
        <v>#DIV/0!</v>
      </c>
      <c r="I1579" s="92"/>
      <c r="J1579" s="266"/>
    </row>
    <row r="1580" spans="1:10" ht="15.75" x14ac:dyDescent="0.3">
      <c r="A1580" s="422"/>
      <c r="B1580" s="50" t="s">
        <v>454</v>
      </c>
      <c r="C1580" s="76">
        <v>450</v>
      </c>
      <c r="D1580" s="84">
        <v>5</v>
      </c>
      <c r="E1580" s="52">
        <f t="shared" si="263"/>
        <v>90</v>
      </c>
      <c r="F1580" s="79">
        <v>417.33500000000004</v>
      </c>
      <c r="G1580" s="90">
        <v>6</v>
      </c>
      <c r="H1580" s="241">
        <f>F1580/G1580</f>
        <v>69.555833333333339</v>
      </c>
      <c r="I1580" s="92">
        <f t="shared" ref="I1580" si="264">H1580/E1580</f>
        <v>0.77284259259259269</v>
      </c>
      <c r="J1580" s="266"/>
    </row>
    <row r="1581" spans="1:10" ht="15.75" x14ac:dyDescent="0.3">
      <c r="A1581" s="422"/>
      <c r="B1581" s="50" t="s">
        <v>420</v>
      </c>
      <c r="C1581" s="76"/>
      <c r="D1581" s="84"/>
      <c r="E1581" s="52" t="e">
        <f t="shared" si="263"/>
        <v>#DIV/0!</v>
      </c>
      <c r="F1581" s="79"/>
      <c r="G1581" s="90"/>
      <c r="H1581" s="241" t="e">
        <f>F1581/G1581</f>
        <v>#DIV/0!</v>
      </c>
      <c r="I1581" s="92"/>
      <c r="J1581" s="266"/>
    </row>
    <row r="1582" spans="1:10" ht="15.75" x14ac:dyDescent="0.3">
      <c r="A1582" s="422"/>
      <c r="B1582" s="50" t="s">
        <v>477</v>
      </c>
      <c r="C1582" s="76"/>
      <c r="D1582" s="84"/>
      <c r="E1582" s="52" t="e">
        <f t="shared" si="263"/>
        <v>#DIV/0!</v>
      </c>
      <c r="F1582" s="344"/>
      <c r="G1582" s="90"/>
      <c r="H1582" s="241" t="e">
        <f>F1582/G1582</f>
        <v>#DIV/0!</v>
      </c>
      <c r="I1582" s="92"/>
      <c r="J1582" s="266"/>
    </row>
    <row r="1583" spans="1:10" ht="15.75" x14ac:dyDescent="0.3">
      <c r="A1583" s="422"/>
      <c r="B1583" s="50" t="s">
        <v>383</v>
      </c>
      <c r="C1583" s="76">
        <v>200</v>
      </c>
      <c r="D1583" s="52">
        <v>2</v>
      </c>
      <c r="E1583" s="52">
        <f t="shared" si="263"/>
        <v>100</v>
      </c>
      <c r="F1583" s="51">
        <v>228.87700000000001</v>
      </c>
      <c r="G1583" s="90">
        <v>2</v>
      </c>
      <c r="H1583" s="241">
        <f>F1583/G1583</f>
        <v>114.4385</v>
      </c>
      <c r="I1583" s="92">
        <f t="shared" ref="I1583" si="265">H1583/E1583</f>
        <v>1.144385</v>
      </c>
      <c r="J1583" s="266"/>
    </row>
    <row r="1584" spans="1:10" ht="15.75" x14ac:dyDescent="0.3">
      <c r="A1584" s="422"/>
      <c r="B1584" s="50" t="s">
        <v>232</v>
      </c>
      <c r="C1584" s="76"/>
      <c r="D1584" s="84"/>
      <c r="E1584" s="52" t="e">
        <f t="shared" si="263"/>
        <v>#DIV/0!</v>
      </c>
      <c r="F1584" s="51"/>
      <c r="G1584" s="52"/>
      <c r="H1584" s="53" t="e">
        <f t="shared" ref="H1584:H1589" si="266">F1584/G1584</f>
        <v>#DIV/0!</v>
      </c>
      <c r="I1584" s="92"/>
      <c r="J1584" s="266"/>
    </row>
    <row r="1585" spans="1:10" ht="15.75" x14ac:dyDescent="0.3">
      <c r="A1585" s="422"/>
      <c r="B1585" s="50" t="s">
        <v>404</v>
      </c>
      <c r="C1585" s="76"/>
      <c r="D1585" s="84"/>
      <c r="E1585" s="52" t="e">
        <f t="shared" si="263"/>
        <v>#DIV/0!</v>
      </c>
      <c r="F1585" s="51"/>
      <c r="G1585" s="52"/>
      <c r="H1585" s="53" t="e">
        <f t="shared" si="266"/>
        <v>#DIV/0!</v>
      </c>
      <c r="I1585" s="92"/>
      <c r="J1585" s="266"/>
    </row>
    <row r="1586" spans="1:10" ht="15.75" x14ac:dyDescent="0.3">
      <c r="A1586" s="422"/>
      <c r="B1586" s="50"/>
      <c r="C1586" s="76"/>
      <c r="D1586" s="84"/>
      <c r="E1586" s="52" t="e">
        <f t="shared" si="263"/>
        <v>#DIV/0!</v>
      </c>
      <c r="F1586" s="57"/>
      <c r="G1586" s="52"/>
      <c r="H1586" s="53" t="e">
        <f t="shared" si="266"/>
        <v>#DIV/0!</v>
      </c>
      <c r="I1586" s="92" t="e">
        <f t="shared" ref="I1586:I1588" si="267">H1586/E1586</f>
        <v>#DIV/0!</v>
      </c>
      <c r="J1586" s="266"/>
    </row>
    <row r="1587" spans="1:10" ht="15.75" x14ac:dyDescent="0.3">
      <c r="A1587" s="422"/>
      <c r="B1587" s="50" t="s">
        <v>479</v>
      </c>
      <c r="C1587" s="76">
        <v>200</v>
      </c>
      <c r="D1587" s="84">
        <v>2</v>
      </c>
      <c r="E1587" s="52">
        <f t="shared" ref="E1587:E1588" si="268">C1587/D1587</f>
        <v>100</v>
      </c>
      <c r="F1587" s="57">
        <v>180.17699999999999</v>
      </c>
      <c r="G1587" s="52">
        <v>2</v>
      </c>
      <c r="H1587" s="53">
        <f t="shared" si="266"/>
        <v>90.088499999999996</v>
      </c>
      <c r="I1587" s="92">
        <f t="shared" si="267"/>
        <v>0.90088499999999994</v>
      </c>
      <c r="J1587" s="266"/>
    </row>
    <row r="1588" spans="1:10" ht="15.75" x14ac:dyDescent="0.3">
      <c r="A1588" s="422"/>
      <c r="B1588" s="50" t="s">
        <v>458</v>
      </c>
      <c r="C1588" s="76"/>
      <c r="D1588" s="84"/>
      <c r="E1588" s="52" t="e">
        <f t="shared" si="268"/>
        <v>#DIV/0!</v>
      </c>
      <c r="F1588" s="57">
        <v>329.15700000000004</v>
      </c>
      <c r="G1588" s="52">
        <v>6</v>
      </c>
      <c r="H1588" s="53">
        <f t="shared" si="266"/>
        <v>54.859500000000004</v>
      </c>
      <c r="I1588" s="92" t="e">
        <f t="shared" si="267"/>
        <v>#DIV/0!</v>
      </c>
      <c r="J1588" s="266"/>
    </row>
    <row r="1589" spans="1:10" ht="15.75" x14ac:dyDescent="0.3">
      <c r="A1589" s="422"/>
      <c r="B1589" s="50" t="s">
        <v>398</v>
      </c>
      <c r="C1589" s="76"/>
      <c r="D1589" s="84"/>
      <c r="E1589" s="52" t="e">
        <f>C1589/D1589</f>
        <v>#DIV/0!</v>
      </c>
      <c r="F1589" s="57"/>
      <c r="G1589" s="52"/>
      <c r="H1589" s="53" t="e">
        <f t="shared" si="266"/>
        <v>#DIV/0!</v>
      </c>
      <c r="I1589" s="92" t="e">
        <f>H1589/E1589</f>
        <v>#DIV/0!</v>
      </c>
      <c r="J1589" s="266"/>
    </row>
    <row r="1590" spans="1:10" ht="16.5" x14ac:dyDescent="0.35">
      <c r="A1590" s="422"/>
      <c r="B1590" s="59" t="s">
        <v>146</v>
      </c>
      <c r="C1590" s="61"/>
      <c r="D1590" s="61">
        <f t="shared" ref="D1590" si="269">SUM(D1576:D1589)</f>
        <v>21</v>
      </c>
      <c r="E1590" s="61"/>
      <c r="F1590" s="61">
        <f t="shared" ref="F1590:G1590" si="270">SUM(F1576:F1589)</f>
        <v>2784.4518000000003</v>
      </c>
      <c r="G1590" s="61">
        <f t="shared" si="270"/>
        <v>25</v>
      </c>
      <c r="H1590" s="61"/>
      <c r="I1590" s="92"/>
      <c r="J1590" s="266"/>
    </row>
    <row r="1591" spans="1:10" ht="15.75" x14ac:dyDescent="0.3">
      <c r="A1591" s="422"/>
      <c r="B1591" s="65" t="s">
        <v>148</v>
      </c>
      <c r="C1591" s="66"/>
      <c r="D1591" s="67">
        <f>31-D1590</f>
        <v>10</v>
      </c>
      <c r="E1591" s="67"/>
      <c r="F1591" s="67"/>
      <c r="G1591" s="67">
        <f>31-G1590</f>
        <v>6</v>
      </c>
      <c r="H1591" s="87"/>
      <c r="I1591" s="92"/>
      <c r="J1591" s="266"/>
    </row>
    <row r="1592" spans="1:10" ht="17.25" thickBot="1" x14ac:dyDescent="0.4">
      <c r="A1592" s="423"/>
      <c r="B1592" s="70" t="s">
        <v>149</v>
      </c>
      <c r="C1592" s="71">
        <f>SUM(C1576:C1589)</f>
        <v>2428</v>
      </c>
      <c r="D1592" s="71">
        <f>D1590+D1591</f>
        <v>31</v>
      </c>
      <c r="E1592" s="71"/>
      <c r="F1592" s="71">
        <f>SUM(F1576:F1589)</f>
        <v>2784.4518000000003</v>
      </c>
      <c r="G1592" s="71">
        <f>G1591+G1590</f>
        <v>31</v>
      </c>
      <c r="H1592" s="82"/>
      <c r="I1592" s="73">
        <f>F1592/C1592</f>
        <v>1.1468088138385504</v>
      </c>
      <c r="J1592" s="267"/>
    </row>
    <row r="1593" spans="1:10" ht="15.75" x14ac:dyDescent="0.3">
      <c r="A1593" s="421" t="s">
        <v>169</v>
      </c>
      <c r="B1593" s="88" t="s">
        <v>170</v>
      </c>
      <c r="C1593" s="89">
        <v>325</v>
      </c>
      <c r="D1593" s="52">
        <v>5</v>
      </c>
      <c r="E1593" s="52">
        <f>C1593/D1593</f>
        <v>65</v>
      </c>
      <c r="F1593" s="51">
        <v>331.14</v>
      </c>
      <c r="G1593" s="52">
        <v>5</v>
      </c>
      <c r="H1593" s="53">
        <f>F1593/G1593</f>
        <v>66.227999999999994</v>
      </c>
      <c r="I1593" s="92">
        <f>H1593/E1593</f>
        <v>1.0188923076923075</v>
      </c>
      <c r="J1593" s="265"/>
    </row>
    <row r="1594" spans="1:10" ht="15.75" x14ac:dyDescent="0.3">
      <c r="A1594" s="422"/>
      <c r="B1594" s="244" t="s">
        <v>331</v>
      </c>
      <c r="C1594" s="51"/>
      <c r="D1594" s="52"/>
      <c r="E1594" s="52" t="e">
        <f>C1594/D1594</f>
        <v>#DIV/0!</v>
      </c>
      <c r="F1594" s="51"/>
      <c r="G1594" s="52"/>
      <c r="H1594" s="53" t="e">
        <f>F1594/G1594</f>
        <v>#DIV/0!</v>
      </c>
      <c r="I1594" s="92" t="e">
        <f>H1594/E1594</f>
        <v>#DIV/0!</v>
      </c>
      <c r="J1594" s="266"/>
    </row>
    <row r="1595" spans="1:10" ht="15.75" x14ac:dyDescent="0.3">
      <c r="A1595" s="422"/>
      <c r="B1595" s="80" t="s">
        <v>466</v>
      </c>
      <c r="C1595" s="76">
        <v>450</v>
      </c>
      <c r="D1595" s="52">
        <v>5</v>
      </c>
      <c r="E1595" s="52">
        <f t="shared" ref="E1595:E1601" si="271">C1595/D1595</f>
        <v>90</v>
      </c>
      <c r="F1595" s="57"/>
      <c r="G1595" s="52"/>
      <c r="H1595" s="53" t="e">
        <f t="shared" ref="H1595" si="272">F1595/G1595</f>
        <v>#DIV/0!</v>
      </c>
      <c r="I1595" s="92" t="e">
        <f t="shared" ref="I1595" si="273">H1595/E1595</f>
        <v>#DIV/0!</v>
      </c>
      <c r="J1595" s="266"/>
    </row>
    <row r="1596" spans="1:10" ht="15.75" x14ac:dyDescent="0.3">
      <c r="A1596" s="422"/>
      <c r="B1596" s="80" t="s">
        <v>449</v>
      </c>
      <c r="C1596" s="76"/>
      <c r="D1596" s="52"/>
      <c r="E1596" s="52" t="e">
        <f t="shared" si="271"/>
        <v>#DIV/0!</v>
      </c>
      <c r="F1596" s="57">
        <f>208+274.863</f>
        <v>482.863</v>
      </c>
      <c r="G1596" s="52">
        <v>7</v>
      </c>
      <c r="H1596" s="53">
        <f>F1596/G1596</f>
        <v>68.980428571428575</v>
      </c>
      <c r="I1596" s="92" t="e">
        <f>H1596/E1596</f>
        <v>#DIV/0!</v>
      </c>
      <c r="J1596" s="266"/>
    </row>
    <row r="1597" spans="1:10" ht="15.75" x14ac:dyDescent="0.3">
      <c r="A1597" s="422"/>
      <c r="B1597" s="80" t="s">
        <v>465</v>
      </c>
      <c r="C1597" s="76"/>
      <c r="D1597" s="52"/>
      <c r="E1597" s="52" t="e">
        <f t="shared" si="271"/>
        <v>#DIV/0!</v>
      </c>
      <c r="F1597" s="57"/>
      <c r="G1597" s="52"/>
      <c r="H1597" s="53" t="e">
        <f>F1597/G1597</f>
        <v>#DIV/0!</v>
      </c>
      <c r="I1597" s="92" t="e">
        <f>H1597/E1597</f>
        <v>#DIV/0!</v>
      </c>
      <c r="J1597" s="266"/>
    </row>
    <row r="1598" spans="1:10" ht="15.75" x14ac:dyDescent="0.3">
      <c r="A1598" s="422"/>
      <c r="B1598" s="80" t="s">
        <v>441</v>
      </c>
      <c r="C1598" s="76"/>
      <c r="D1598" s="52"/>
      <c r="E1598" s="52" t="e">
        <f t="shared" si="271"/>
        <v>#DIV/0!</v>
      </c>
      <c r="F1598" s="57"/>
      <c r="G1598" s="52"/>
      <c r="H1598" s="53" t="e">
        <f t="shared" ref="H1598:H1599" si="274">F1598/G1598</f>
        <v>#DIV/0!</v>
      </c>
      <c r="I1598" s="92" t="e">
        <f t="shared" ref="I1598:I1599" si="275">H1598/E1598</f>
        <v>#DIV/0!</v>
      </c>
      <c r="J1598" s="266"/>
    </row>
    <row r="1599" spans="1:10" ht="15.75" x14ac:dyDescent="0.3">
      <c r="A1599" s="422"/>
      <c r="B1599" s="80" t="s">
        <v>464</v>
      </c>
      <c r="C1599" s="76"/>
      <c r="D1599" s="52"/>
      <c r="E1599" s="52" t="e">
        <f t="shared" si="271"/>
        <v>#DIV/0!</v>
      </c>
      <c r="F1599" s="57"/>
      <c r="G1599" s="52"/>
      <c r="H1599" s="53" t="e">
        <f t="shared" si="274"/>
        <v>#DIV/0!</v>
      </c>
      <c r="I1599" s="92" t="e">
        <f t="shared" si="275"/>
        <v>#DIV/0!</v>
      </c>
      <c r="J1599" s="266"/>
    </row>
    <row r="1600" spans="1:10" ht="15.75" x14ac:dyDescent="0.3">
      <c r="A1600" s="422"/>
      <c r="B1600" s="80" t="s">
        <v>478</v>
      </c>
      <c r="C1600" s="76">
        <v>158</v>
      </c>
      <c r="D1600" s="52">
        <v>3</v>
      </c>
      <c r="E1600" s="52">
        <f t="shared" si="271"/>
        <v>52.666666666666664</v>
      </c>
      <c r="F1600" s="57">
        <v>152.703</v>
      </c>
      <c r="G1600" s="52">
        <v>3</v>
      </c>
      <c r="H1600" s="53">
        <f>F1600/G1600</f>
        <v>50.901000000000003</v>
      </c>
      <c r="I1600" s="92">
        <f>H1600/E1600</f>
        <v>0.96647468354430388</v>
      </c>
      <c r="J1600" s="266"/>
    </row>
    <row r="1601" spans="1:10" ht="15.75" x14ac:dyDescent="0.3">
      <c r="A1601" s="422"/>
      <c r="B1601" s="80" t="s">
        <v>48</v>
      </c>
      <c r="C1601" s="76">
        <v>120</v>
      </c>
      <c r="D1601" s="52">
        <v>2</v>
      </c>
      <c r="E1601" s="52">
        <f t="shared" si="271"/>
        <v>60</v>
      </c>
      <c r="F1601" s="51">
        <v>95.734999999999985</v>
      </c>
      <c r="G1601" s="52">
        <v>1.5</v>
      </c>
      <c r="H1601" s="53">
        <f t="shared" ref="H1601" si="276">F1601/G1601</f>
        <v>63.823333333333323</v>
      </c>
      <c r="I1601" s="92">
        <f t="shared" ref="I1601" si="277">H1601/E1601</f>
        <v>1.063722222222222</v>
      </c>
      <c r="J1601" s="266"/>
    </row>
    <row r="1602" spans="1:10" ht="15.75" x14ac:dyDescent="0.3">
      <c r="A1602" s="422"/>
      <c r="B1602" s="80" t="s">
        <v>480</v>
      </c>
      <c r="C1602" s="76">
        <v>70</v>
      </c>
      <c r="D1602" s="52">
        <v>1</v>
      </c>
      <c r="E1602" s="52">
        <f t="shared" ref="E1602" si="278">C1602/D1602</f>
        <v>70</v>
      </c>
      <c r="F1602" s="52">
        <f>296.876+80.99</f>
        <v>377.86599999999999</v>
      </c>
      <c r="G1602" s="52">
        <v>9.5</v>
      </c>
      <c r="H1602" s="53">
        <f>F1602/G1602</f>
        <v>39.775368421052633</v>
      </c>
      <c r="I1602" s="92">
        <f>H1602/E1602</f>
        <v>0.56821954887218051</v>
      </c>
      <c r="J1602" s="266"/>
    </row>
    <row r="1603" spans="1:10" ht="16.5" x14ac:dyDescent="0.35">
      <c r="A1603" s="422"/>
      <c r="B1603" s="59" t="s">
        <v>146</v>
      </c>
      <c r="C1603" s="61">
        <f>SUM(C1593:C1602)</f>
        <v>1123</v>
      </c>
      <c r="D1603" s="61">
        <f>SUM(D1593:D1602)</f>
        <v>16</v>
      </c>
      <c r="E1603" s="61"/>
      <c r="F1603" s="61">
        <f>SUM(F1593:F1602)</f>
        <v>1440.3069999999998</v>
      </c>
      <c r="G1603" s="63">
        <f>SUM(G1593:G1602)</f>
        <v>26</v>
      </c>
      <c r="H1603" s="64"/>
      <c r="I1603" s="92"/>
      <c r="J1603" s="266"/>
    </row>
    <row r="1604" spans="1:10" ht="15.75" x14ac:dyDescent="0.3">
      <c r="A1604" s="422"/>
      <c r="B1604" s="65" t="s">
        <v>148</v>
      </c>
      <c r="C1604" s="66"/>
      <c r="D1604" s="68">
        <f>31-D1603</f>
        <v>15</v>
      </c>
      <c r="E1604" s="67"/>
      <c r="F1604" s="67"/>
      <c r="G1604" s="68">
        <f>31-G1603</f>
        <v>5</v>
      </c>
      <c r="H1604" s="87"/>
      <c r="I1604" s="92"/>
      <c r="J1604" s="266"/>
    </row>
    <row r="1605" spans="1:10" ht="17.25" thickBot="1" x14ac:dyDescent="0.4">
      <c r="A1605" s="423"/>
      <c r="B1605" s="70" t="s">
        <v>149</v>
      </c>
      <c r="C1605" s="71">
        <f>SUM(C1593:C1602)</f>
        <v>1123</v>
      </c>
      <c r="D1605" s="71">
        <f>D1603+D1604</f>
        <v>31</v>
      </c>
      <c r="E1605" s="71"/>
      <c r="F1605" s="71">
        <f>SUM(F1593:F1602)</f>
        <v>1440.3069999999998</v>
      </c>
      <c r="G1605" s="71">
        <f>G1603+G1604</f>
        <v>31</v>
      </c>
      <c r="H1605" s="58"/>
      <c r="I1605" s="73">
        <f>F1605/C1605</f>
        <v>1.2825529830810327</v>
      </c>
      <c r="J1605" s="267"/>
    </row>
    <row r="1606" spans="1:10" ht="15.75" x14ac:dyDescent="0.3">
      <c r="A1606" s="406" t="s">
        <v>176</v>
      </c>
      <c r="B1606" s="80" t="s">
        <v>177</v>
      </c>
      <c r="C1606" s="76">
        <v>450</v>
      </c>
      <c r="D1606" s="52">
        <v>5</v>
      </c>
      <c r="E1606" s="52">
        <f t="shared" ref="E1606:E1611" si="279">C1606/D1606</f>
        <v>90</v>
      </c>
      <c r="F1606" s="51">
        <v>582</v>
      </c>
      <c r="G1606" s="93">
        <v>7</v>
      </c>
      <c r="H1606" s="53">
        <f t="shared" ref="H1606:H1611" si="280">F1606/G1606</f>
        <v>83.142857142857139</v>
      </c>
      <c r="I1606" s="92">
        <f t="shared" ref="I1606:I1607" si="281">H1606/E1606</f>
        <v>0.92380952380952375</v>
      </c>
      <c r="J1606" s="268"/>
    </row>
    <row r="1607" spans="1:10" ht="15.75" x14ac:dyDescent="0.3">
      <c r="A1607" s="407"/>
      <c r="B1607" s="80" t="s">
        <v>442</v>
      </c>
      <c r="C1607" s="76">
        <v>640</v>
      </c>
      <c r="D1607" s="84">
        <v>7</v>
      </c>
      <c r="E1607" s="52">
        <f t="shared" si="279"/>
        <v>91.428571428571431</v>
      </c>
      <c r="F1607" s="93">
        <f>225+316.3</f>
        <v>541.29999999999995</v>
      </c>
      <c r="G1607" s="93">
        <v>6</v>
      </c>
      <c r="H1607" s="53">
        <f t="shared" si="280"/>
        <v>90.216666666666654</v>
      </c>
      <c r="I1607" s="92">
        <f t="shared" si="281"/>
        <v>0.98674479166666651</v>
      </c>
      <c r="J1607" s="269"/>
    </row>
    <row r="1608" spans="1:10" ht="15.75" x14ac:dyDescent="0.3">
      <c r="A1608" s="407"/>
      <c r="B1608" s="80" t="s">
        <v>429</v>
      </c>
      <c r="C1608" s="51">
        <v>156</v>
      </c>
      <c r="D1608" s="52">
        <v>3</v>
      </c>
      <c r="E1608" s="52">
        <f t="shared" si="279"/>
        <v>52</v>
      </c>
      <c r="F1608" s="51">
        <v>175</v>
      </c>
      <c r="G1608" s="93">
        <v>3.5</v>
      </c>
      <c r="H1608" s="53">
        <f t="shared" si="280"/>
        <v>50</v>
      </c>
      <c r="I1608" s="92">
        <f>H1608/E1608</f>
        <v>0.96153846153846156</v>
      </c>
      <c r="J1608" s="269"/>
    </row>
    <row r="1609" spans="1:10" ht="15.75" x14ac:dyDescent="0.3">
      <c r="A1609" s="407"/>
      <c r="B1609" s="80" t="s">
        <v>233</v>
      </c>
      <c r="C1609" s="51"/>
      <c r="D1609" s="52"/>
      <c r="E1609" s="52" t="e">
        <f t="shared" si="279"/>
        <v>#DIV/0!</v>
      </c>
      <c r="F1609" s="51"/>
      <c r="G1609" s="93"/>
      <c r="H1609" s="53" t="e">
        <f t="shared" si="280"/>
        <v>#DIV/0!</v>
      </c>
      <c r="I1609" s="92" t="e">
        <f>H1609/E1609</f>
        <v>#DIV/0!</v>
      </c>
      <c r="J1609" s="269"/>
    </row>
    <row r="1610" spans="1:10" ht="15.75" x14ac:dyDescent="0.3">
      <c r="A1610" s="407"/>
      <c r="B1610" s="80" t="s">
        <v>181</v>
      </c>
      <c r="C1610" s="51">
        <v>900</v>
      </c>
      <c r="D1610" s="52">
        <v>10</v>
      </c>
      <c r="E1610" s="52">
        <f t="shared" si="279"/>
        <v>90</v>
      </c>
      <c r="F1610" s="51">
        <v>547.5</v>
      </c>
      <c r="G1610" s="93">
        <v>7</v>
      </c>
      <c r="H1610" s="53">
        <f t="shared" si="280"/>
        <v>78.214285714285708</v>
      </c>
      <c r="I1610" s="92">
        <f>H1610/E1610</f>
        <v>0.86904761904761896</v>
      </c>
      <c r="J1610" s="269"/>
    </row>
    <row r="1611" spans="1:10" ht="15.75" x14ac:dyDescent="0.3">
      <c r="A1611" s="407"/>
      <c r="B1611" s="121" t="s">
        <v>430</v>
      </c>
      <c r="C1611" s="94"/>
      <c r="D1611" s="86"/>
      <c r="E1611" s="52" t="e">
        <f t="shared" si="279"/>
        <v>#DIV/0!</v>
      </c>
      <c r="F1611" s="95"/>
      <c r="G1611" s="96"/>
      <c r="H1611" s="53" t="e">
        <f t="shared" si="280"/>
        <v>#DIV/0!</v>
      </c>
      <c r="I1611" s="92" t="e">
        <f>H1611/E1611</f>
        <v>#DIV/0!</v>
      </c>
      <c r="J1611" s="269"/>
    </row>
    <row r="1612" spans="1:10" ht="16.5" x14ac:dyDescent="0.35">
      <c r="A1612" s="407"/>
      <c r="B1612" s="59" t="s">
        <v>146</v>
      </c>
      <c r="C1612" s="60"/>
      <c r="D1612" s="61">
        <f>SUM(D1606:D1611)</f>
        <v>25</v>
      </c>
      <c r="E1612" s="61"/>
      <c r="F1612" s="62"/>
      <c r="G1612" s="61">
        <f>SUM(G1606:G1611)</f>
        <v>23.5</v>
      </c>
      <c r="H1612" s="61"/>
      <c r="I1612" s="92"/>
      <c r="J1612" s="269"/>
    </row>
    <row r="1613" spans="1:10" ht="15.75" x14ac:dyDescent="0.3">
      <c r="A1613" s="407"/>
      <c r="B1613" s="65" t="s">
        <v>148</v>
      </c>
      <c r="C1613" s="66"/>
      <c r="D1613" s="68">
        <f>31-D1612</f>
        <v>6</v>
      </c>
      <c r="E1613" s="67"/>
      <c r="F1613" s="67"/>
      <c r="G1613" s="68">
        <f>31-G1612</f>
        <v>7.5</v>
      </c>
      <c r="H1613" s="97"/>
      <c r="I1613" s="92"/>
      <c r="J1613" s="269"/>
    </row>
    <row r="1614" spans="1:10" ht="17.25" thickBot="1" x14ac:dyDescent="0.4">
      <c r="A1614" s="408"/>
      <c r="B1614" s="70" t="s">
        <v>149</v>
      </c>
      <c r="C1614" s="71">
        <f>SUM(C1606:C1611)</f>
        <v>2146</v>
      </c>
      <c r="D1614" s="71">
        <f>D1613+D1612</f>
        <v>31</v>
      </c>
      <c r="E1614" s="98"/>
      <c r="F1614" s="71">
        <f>SUM(F1606:F1611)</f>
        <v>1845.8</v>
      </c>
      <c r="G1614" s="71">
        <f>G1613+G1612</f>
        <v>31</v>
      </c>
      <c r="H1614" s="99"/>
      <c r="I1614" s="73">
        <f>F1614/C1614</f>
        <v>0.86011183597390495</v>
      </c>
      <c r="J1614" s="270"/>
    </row>
    <row r="1615" spans="1:10" ht="15.75" x14ac:dyDescent="0.3">
      <c r="A1615" s="406" t="s">
        <v>183</v>
      </c>
      <c r="B1615" s="50" t="s">
        <v>77</v>
      </c>
      <c r="C1615" s="51"/>
      <c r="D1615" s="52"/>
      <c r="E1615" s="52" t="e">
        <f t="shared" ref="E1615:E1621" si="282">C1615/D1615</f>
        <v>#DIV/0!</v>
      </c>
      <c r="F1615" s="51"/>
      <c r="G1615" s="93"/>
      <c r="H1615" s="96" t="e">
        <f>F1615/G1615</f>
        <v>#DIV/0!</v>
      </c>
      <c r="I1615" s="92" t="e">
        <f>H1615/E1615</f>
        <v>#DIV/0!</v>
      </c>
      <c r="J1615" s="271"/>
    </row>
    <row r="1616" spans="1:10" ht="15.75" x14ac:dyDescent="0.3">
      <c r="A1616" s="407"/>
      <c r="B1616" s="50" t="s">
        <v>243</v>
      </c>
      <c r="C1616" s="51">
        <v>600</v>
      </c>
      <c r="D1616" s="52">
        <v>5</v>
      </c>
      <c r="E1616" s="52">
        <f t="shared" si="282"/>
        <v>120</v>
      </c>
      <c r="F1616" s="57">
        <v>995.16889999999989</v>
      </c>
      <c r="G1616" s="93">
        <v>7</v>
      </c>
      <c r="H1616" s="96">
        <f>F1616/G1616</f>
        <v>142.16698571428569</v>
      </c>
      <c r="I1616" s="92">
        <f>H1616/E1616</f>
        <v>1.1847248809523807</v>
      </c>
      <c r="J1616" s="272"/>
    </row>
    <row r="1617" spans="1:10" ht="15.75" x14ac:dyDescent="0.3">
      <c r="A1617" s="407"/>
      <c r="B1617" s="50" t="s">
        <v>184</v>
      </c>
      <c r="C1617" s="51">
        <v>1300</v>
      </c>
      <c r="D1617" s="52">
        <v>8</v>
      </c>
      <c r="E1617" s="52">
        <f t="shared" si="282"/>
        <v>162.5</v>
      </c>
      <c r="F1617" s="51">
        <v>1262.6099999999999</v>
      </c>
      <c r="G1617" s="93">
        <v>9</v>
      </c>
      <c r="H1617" s="96">
        <f>F1617/G1617</f>
        <v>140.29</v>
      </c>
      <c r="I1617" s="92">
        <f>H1617/E1617</f>
        <v>0.86332307692307686</v>
      </c>
      <c r="J1617" s="272"/>
    </row>
    <row r="1618" spans="1:10" ht="15.75" x14ac:dyDescent="0.3">
      <c r="A1618" s="407"/>
      <c r="B1618" s="50" t="s">
        <v>447</v>
      </c>
      <c r="C1618" s="51">
        <v>240</v>
      </c>
      <c r="D1618" s="52">
        <v>2</v>
      </c>
      <c r="E1618" s="52">
        <f t="shared" si="282"/>
        <v>120</v>
      </c>
      <c r="F1618" s="51">
        <v>239.8511</v>
      </c>
      <c r="G1618" s="93">
        <v>2</v>
      </c>
      <c r="H1618" s="96">
        <f t="shared" ref="H1618:H1623" si="283">F1618/G1618</f>
        <v>119.92555</v>
      </c>
      <c r="I1618" s="92">
        <f t="shared" ref="I1618:I1623" si="284">H1618/E1618</f>
        <v>0.99937958333333332</v>
      </c>
      <c r="J1618" s="272"/>
    </row>
    <row r="1619" spans="1:10" ht="15.75" x14ac:dyDescent="0.3">
      <c r="A1619" s="407"/>
      <c r="B1619" s="50" t="s">
        <v>365</v>
      </c>
      <c r="C1619" s="51"/>
      <c r="D1619" s="52"/>
      <c r="E1619" s="52"/>
      <c r="F1619" s="57"/>
      <c r="G1619" s="334"/>
      <c r="H1619" s="96" t="e">
        <f t="shared" si="283"/>
        <v>#DIV/0!</v>
      </c>
      <c r="I1619" s="92" t="e">
        <f t="shared" si="284"/>
        <v>#DIV/0!</v>
      </c>
      <c r="J1619" s="272"/>
    </row>
    <row r="1620" spans="1:10" ht="15.75" x14ac:dyDescent="0.3">
      <c r="A1620" s="424"/>
      <c r="B1620" s="56" t="s">
        <v>443</v>
      </c>
      <c r="C1620" s="57"/>
      <c r="D1620" s="58"/>
      <c r="E1620" s="52"/>
      <c r="F1620" s="57"/>
      <c r="G1620" s="334"/>
      <c r="H1620" s="96" t="e">
        <f t="shared" si="283"/>
        <v>#DIV/0!</v>
      </c>
      <c r="I1620" s="92" t="e">
        <f t="shared" si="284"/>
        <v>#DIV/0!</v>
      </c>
      <c r="J1620" s="272"/>
    </row>
    <row r="1621" spans="1:10" ht="15.75" x14ac:dyDescent="0.3">
      <c r="A1621" s="424"/>
      <c r="B1621" s="56" t="s">
        <v>364</v>
      </c>
      <c r="C1621" s="57">
        <v>360</v>
      </c>
      <c r="D1621" s="58">
        <v>3</v>
      </c>
      <c r="E1621" s="52">
        <f t="shared" si="282"/>
        <v>120</v>
      </c>
      <c r="F1621" s="51"/>
      <c r="G1621" s="334"/>
      <c r="H1621" s="93" t="e">
        <f t="shared" si="283"/>
        <v>#DIV/0!</v>
      </c>
      <c r="I1621" s="363" t="e">
        <f t="shared" si="284"/>
        <v>#DIV/0!</v>
      </c>
      <c r="J1621" s="272"/>
    </row>
    <row r="1622" spans="1:10" ht="15.75" x14ac:dyDescent="0.3">
      <c r="A1622" s="424"/>
      <c r="B1622" s="56" t="s">
        <v>423</v>
      </c>
      <c r="C1622" s="57">
        <v>280</v>
      </c>
      <c r="D1622" s="58">
        <v>2</v>
      </c>
      <c r="E1622" s="52">
        <f>C1622/D1622</f>
        <v>140</v>
      </c>
      <c r="F1622" s="51">
        <v>91.55</v>
      </c>
      <c r="G1622" s="334">
        <f>F1622/140</f>
        <v>0.65392857142857141</v>
      </c>
      <c r="H1622" s="93">
        <f t="shared" si="283"/>
        <v>140</v>
      </c>
      <c r="I1622" s="363">
        <f t="shared" si="284"/>
        <v>1</v>
      </c>
      <c r="J1622" s="272"/>
    </row>
    <row r="1623" spans="1:10" ht="15.75" x14ac:dyDescent="0.3">
      <c r="A1623" s="407"/>
      <c r="B1623" s="101" t="s">
        <v>79</v>
      </c>
      <c r="C1623" s="95">
        <v>500</v>
      </c>
      <c r="D1623" s="102">
        <v>3</v>
      </c>
      <c r="E1623" s="52">
        <f>C1623/D1623</f>
        <v>166.66666666666666</v>
      </c>
      <c r="F1623" s="51">
        <v>488.70600000000002</v>
      </c>
      <c r="G1623" s="93">
        <v>4</v>
      </c>
      <c r="H1623" s="99">
        <f t="shared" si="283"/>
        <v>122.1765</v>
      </c>
      <c r="I1623" s="92">
        <f t="shared" si="284"/>
        <v>0.73305900000000002</v>
      </c>
      <c r="J1623" s="272"/>
    </row>
    <row r="1624" spans="1:10" ht="16.5" x14ac:dyDescent="0.35">
      <c r="A1624" s="407"/>
      <c r="B1624" s="59" t="s">
        <v>146</v>
      </c>
      <c r="C1624" s="60"/>
      <c r="D1624" s="61">
        <f>SUM(D1615:D1623)</f>
        <v>23</v>
      </c>
      <c r="E1624" s="61"/>
      <c r="F1624" s="62"/>
      <c r="G1624" s="60">
        <f>SUM(G1615:G1623)</f>
        <v>22.653928571428573</v>
      </c>
      <c r="H1624" s="61"/>
      <c r="I1624" s="92"/>
      <c r="J1624" s="272"/>
    </row>
    <row r="1625" spans="1:10" ht="16.5" x14ac:dyDescent="0.35">
      <c r="A1625" s="407"/>
      <c r="B1625" s="130" t="s">
        <v>244</v>
      </c>
      <c r="C1625" s="131"/>
      <c r="D1625" s="132"/>
      <c r="E1625" s="133"/>
      <c r="F1625" s="133"/>
      <c r="G1625" s="132"/>
      <c r="H1625" s="134"/>
      <c r="I1625" s="92"/>
      <c r="J1625" s="272"/>
    </row>
    <row r="1626" spans="1:10" ht="15.75" x14ac:dyDescent="0.3">
      <c r="A1626" s="407"/>
      <c r="B1626" s="65" t="s">
        <v>148</v>
      </c>
      <c r="C1626" s="66"/>
      <c r="D1626" s="68">
        <f>31-D1625-D1624</f>
        <v>8</v>
      </c>
      <c r="E1626" s="67"/>
      <c r="F1626" s="67"/>
      <c r="G1626" s="81">
        <f>31-G1624-G1625</f>
        <v>8.3460714285714275</v>
      </c>
      <c r="H1626" s="97"/>
      <c r="I1626" s="92"/>
      <c r="J1626" s="272"/>
    </row>
    <row r="1627" spans="1:10" ht="17.25" thickBot="1" x14ac:dyDescent="0.4">
      <c r="A1627" s="408"/>
      <c r="B1627" s="70" t="s">
        <v>149</v>
      </c>
      <c r="C1627" s="71">
        <f>SUM(C1615:C1623)</f>
        <v>3280</v>
      </c>
      <c r="D1627" s="71">
        <f>D1626+D1624</f>
        <v>31</v>
      </c>
      <c r="E1627" s="71"/>
      <c r="F1627" s="71">
        <f>SUM(F1615:F1623)</f>
        <v>3077.886</v>
      </c>
      <c r="G1627" s="104">
        <f>G1626+G1624+G1625</f>
        <v>31</v>
      </c>
      <c r="H1627" s="105"/>
      <c r="I1627" s="73">
        <f>F1627/C1627</f>
        <v>0.93837987804878042</v>
      </c>
      <c r="J1627" s="273"/>
    </row>
    <row r="1628" spans="1:10" ht="15.75" x14ac:dyDescent="0.3">
      <c r="A1628" s="406" t="s">
        <v>270</v>
      </c>
      <c r="B1628" s="106" t="s">
        <v>77</v>
      </c>
      <c r="C1628" s="76">
        <v>3240</v>
      </c>
      <c r="D1628" s="84">
        <v>9.5</v>
      </c>
      <c r="E1628" s="52">
        <f>C1628/D1628</f>
        <v>341.05263157894734</v>
      </c>
      <c r="F1628" s="57">
        <v>2940.1890000000003</v>
      </c>
      <c r="G1628" s="93">
        <v>9</v>
      </c>
      <c r="H1628" s="99">
        <f t="shared" ref="H1628:H1629" si="285">F1628/G1628</f>
        <v>326.6876666666667</v>
      </c>
      <c r="I1628" s="92">
        <f t="shared" ref="I1628:I1629" si="286">H1628/E1628</f>
        <v>0.95788050411522652</v>
      </c>
      <c r="J1628" s="271"/>
    </row>
    <row r="1629" spans="1:10" ht="15.75" x14ac:dyDescent="0.3">
      <c r="A1629" s="407"/>
      <c r="B1629" s="106" t="s">
        <v>79</v>
      </c>
      <c r="C1629" s="76">
        <v>800</v>
      </c>
      <c r="D1629" s="84">
        <v>3</v>
      </c>
      <c r="E1629" s="52">
        <f>C1629/D1629</f>
        <v>266.66666666666669</v>
      </c>
      <c r="F1629" s="51">
        <v>794.35459999999989</v>
      </c>
      <c r="G1629" s="93">
        <v>3</v>
      </c>
      <c r="H1629" s="99">
        <f t="shared" si="285"/>
        <v>264.78486666666663</v>
      </c>
      <c r="I1629" s="92">
        <f t="shared" si="286"/>
        <v>0.99294324999999983</v>
      </c>
      <c r="J1629" s="272"/>
    </row>
    <row r="1630" spans="1:10" ht="15.75" x14ac:dyDescent="0.3">
      <c r="A1630" s="407"/>
      <c r="B1630" s="106" t="s">
        <v>423</v>
      </c>
      <c r="C1630" s="76"/>
      <c r="D1630" s="84"/>
      <c r="E1630" s="52" t="e">
        <f t="shared" ref="E1630" si="287">C1630/D1630</f>
        <v>#DIV/0!</v>
      </c>
      <c r="F1630" s="51"/>
      <c r="G1630" s="93"/>
      <c r="H1630" s="99" t="e">
        <f>F1630/G1630</f>
        <v>#DIV/0!</v>
      </c>
      <c r="I1630" s="92" t="e">
        <f>H1630/E1630</f>
        <v>#DIV/0!</v>
      </c>
      <c r="J1630" s="272"/>
    </row>
    <row r="1631" spans="1:10" ht="15.75" x14ac:dyDescent="0.3">
      <c r="A1631" s="407"/>
      <c r="B1631" s="245" t="s">
        <v>365</v>
      </c>
      <c r="C1631" s="246">
        <v>650</v>
      </c>
      <c r="D1631" s="84">
        <v>2</v>
      </c>
      <c r="E1631" s="52">
        <f>C1631/D1631</f>
        <v>325</v>
      </c>
      <c r="F1631" s="95">
        <v>633.62599999999998</v>
      </c>
      <c r="G1631" s="53">
        <v>2</v>
      </c>
      <c r="H1631" s="99">
        <f>F1631/G1631</f>
        <v>316.81299999999999</v>
      </c>
      <c r="I1631" s="92">
        <f>H1631/E1631</f>
        <v>0.97480923076923076</v>
      </c>
      <c r="J1631" s="272"/>
    </row>
    <row r="1632" spans="1:10" ht="16.5" x14ac:dyDescent="0.35">
      <c r="A1632" s="407"/>
      <c r="B1632" s="65" t="s">
        <v>189</v>
      </c>
      <c r="C1632" s="66"/>
      <c r="D1632" s="68">
        <f>31-D1631-D1630-D1629-D1628</f>
        <v>16.5</v>
      </c>
      <c r="E1632" s="109"/>
      <c r="F1632" s="109"/>
      <c r="G1632" s="68">
        <f>31-G1631-G1630-G1629-G1628</f>
        <v>17</v>
      </c>
      <c r="H1632" s="68"/>
      <c r="I1632" s="92"/>
      <c r="J1632" s="272"/>
    </row>
    <row r="1633" spans="1:10" ht="17.25" thickBot="1" x14ac:dyDescent="0.4">
      <c r="A1633" s="408"/>
      <c r="B1633" s="111" t="s">
        <v>149</v>
      </c>
      <c r="C1633" s="82">
        <f>SUM(C1628:C1632)</f>
        <v>4690</v>
      </c>
      <c r="D1633" s="82">
        <f>D1632+SUM(D1628:D1631)</f>
        <v>31</v>
      </c>
      <c r="E1633" s="82"/>
      <c r="F1633" s="82">
        <f>SUM(F1628:F1632)</f>
        <v>4368.1696000000002</v>
      </c>
      <c r="G1633" s="82">
        <f>G1632+SUM(G1628:G1631)</f>
        <v>31</v>
      </c>
      <c r="H1633" s="112"/>
      <c r="I1633" s="73">
        <f>F1633/C1633</f>
        <v>0.93137944562899788</v>
      </c>
      <c r="J1633" s="273"/>
    </row>
    <row r="1634" spans="1:10" ht="15.75" x14ac:dyDescent="0.3">
      <c r="A1634" s="406" t="s">
        <v>190</v>
      </c>
      <c r="B1634" s="50"/>
      <c r="C1634" s="51"/>
      <c r="D1634" s="52"/>
      <c r="E1634" s="52"/>
      <c r="F1634" s="51"/>
      <c r="G1634" s="93"/>
      <c r="H1634" s="99"/>
      <c r="I1634" s="92"/>
      <c r="J1634" s="271"/>
    </row>
    <row r="1635" spans="1:10" ht="15.75" x14ac:dyDescent="0.3">
      <c r="A1635" s="407"/>
      <c r="B1635" s="101" t="s">
        <v>206</v>
      </c>
      <c r="C1635" s="95">
        <v>144</v>
      </c>
      <c r="D1635" s="102">
        <f>144/18</f>
        <v>8</v>
      </c>
      <c r="E1635" s="86">
        <f>C1635/D1635</f>
        <v>18</v>
      </c>
      <c r="F1635" s="95">
        <v>132.01999999999998</v>
      </c>
      <c r="G1635" s="103">
        <f>F1635/18.86</f>
        <v>6.9999999999999991</v>
      </c>
      <c r="H1635" s="99">
        <f>F1635/G1635</f>
        <v>18.86</v>
      </c>
      <c r="I1635" s="92">
        <f>H1635/E1635</f>
        <v>1.0477777777777777</v>
      </c>
      <c r="J1635" s="272"/>
    </row>
    <row r="1636" spans="1:10" ht="15.75" x14ac:dyDescent="0.3">
      <c r="A1636" s="407"/>
      <c r="B1636" s="101" t="s">
        <v>192</v>
      </c>
      <c r="C1636" s="114">
        <v>378</v>
      </c>
      <c r="D1636" s="102">
        <f>C1636/18</f>
        <v>21</v>
      </c>
      <c r="E1636" s="86">
        <f>C1636/D1636</f>
        <v>18</v>
      </c>
      <c r="F1636" s="95">
        <v>112.79999999999998</v>
      </c>
      <c r="G1636" s="103">
        <f>F1636/18.8</f>
        <v>5.9999999999999991</v>
      </c>
      <c r="H1636" s="99">
        <f>F1636/G1636</f>
        <v>18.8</v>
      </c>
      <c r="I1636" s="92">
        <f>H1636/E1636</f>
        <v>1.0444444444444445</v>
      </c>
      <c r="J1636" s="272"/>
    </row>
    <row r="1637" spans="1:10" ht="15.75" x14ac:dyDescent="0.3">
      <c r="A1637" s="407"/>
      <c r="B1637" s="374"/>
      <c r="C1637" s="114"/>
      <c r="D1637" s="102"/>
      <c r="E1637" s="86"/>
      <c r="F1637" s="103"/>
      <c r="G1637" s="103"/>
      <c r="H1637" s="99"/>
      <c r="I1637" s="92"/>
      <c r="J1637" s="272"/>
    </row>
    <row r="1638" spans="1:10" ht="16.5" x14ac:dyDescent="0.35">
      <c r="A1638" s="407"/>
      <c r="B1638" s="59" t="s">
        <v>146</v>
      </c>
      <c r="C1638" s="60"/>
      <c r="D1638" s="61">
        <f>SUM(D1635:D1636)</f>
        <v>29</v>
      </c>
      <c r="E1638" s="61"/>
      <c r="F1638" s="62"/>
      <c r="G1638" s="61">
        <f>SUM(G1635:G1636)</f>
        <v>12.999999999999998</v>
      </c>
      <c r="H1638" s="61"/>
      <c r="I1638" s="92"/>
      <c r="J1638" s="272"/>
    </row>
    <row r="1639" spans="1:10" ht="15.75" x14ac:dyDescent="0.3">
      <c r="A1639" s="407"/>
      <c r="B1639" s="65" t="s">
        <v>148</v>
      </c>
      <c r="C1639" s="66"/>
      <c r="D1639" s="68">
        <f>31-D1638</f>
        <v>2</v>
      </c>
      <c r="E1639" s="67"/>
      <c r="F1639" s="67"/>
      <c r="G1639" s="68">
        <f>31-G1638</f>
        <v>18</v>
      </c>
      <c r="H1639" s="97"/>
      <c r="I1639" s="92"/>
      <c r="J1639" s="272"/>
    </row>
    <row r="1640" spans="1:10" ht="17.25" thickBot="1" x14ac:dyDescent="0.4">
      <c r="A1640" s="408"/>
      <c r="B1640" s="70" t="s">
        <v>149</v>
      </c>
      <c r="C1640" s="71">
        <f>SUM(C1635:C1636)</f>
        <v>522</v>
      </c>
      <c r="D1640" s="71">
        <f>D1639+D1638</f>
        <v>31</v>
      </c>
      <c r="E1640" s="71"/>
      <c r="F1640" s="71">
        <f>SUM(F1635:F1636)</f>
        <v>244.81999999999996</v>
      </c>
      <c r="G1640" s="71">
        <f>G1639+G1638</f>
        <v>31</v>
      </c>
      <c r="H1640" s="105"/>
      <c r="I1640" s="73">
        <f>F1640/C1640</f>
        <v>0.46900383141762447</v>
      </c>
      <c r="J1640" s="273"/>
    </row>
    <row r="1641" spans="1:10" ht="19.5" x14ac:dyDescent="0.3">
      <c r="A1641" s="370"/>
      <c r="B1641" s="101" t="s">
        <v>373</v>
      </c>
      <c r="C1641" s="95">
        <v>140</v>
      </c>
      <c r="D1641" s="86">
        <f>C1641/60</f>
        <v>2.3333333333333335</v>
      </c>
      <c r="E1641" s="86">
        <f>C1641/D1641</f>
        <v>59.999999999999993</v>
      </c>
      <c r="F1641" s="95">
        <v>299.7</v>
      </c>
      <c r="G1641" s="103">
        <v>6</v>
      </c>
      <c r="H1641" s="86">
        <f>F1641/G1641</f>
        <v>49.949999999999996</v>
      </c>
      <c r="I1641" s="92">
        <f t="shared" ref="I1641:I1642" si="288">H1641/E1641</f>
        <v>0.83250000000000002</v>
      </c>
      <c r="J1641" s="271"/>
    </row>
    <row r="1642" spans="1:10" ht="15.75" x14ac:dyDescent="0.3">
      <c r="A1642" s="407" t="s">
        <v>194</v>
      </c>
      <c r="B1642" s="101" t="s">
        <v>370</v>
      </c>
      <c r="C1642" s="95">
        <v>260</v>
      </c>
      <c r="D1642" s="86">
        <f>C1642/60</f>
        <v>4.333333333333333</v>
      </c>
      <c r="E1642" s="86">
        <f>C1642/D1642</f>
        <v>60.000000000000007</v>
      </c>
      <c r="F1642" s="95">
        <v>240.93299999999999</v>
      </c>
      <c r="G1642" s="103">
        <v>4</v>
      </c>
      <c r="H1642" s="86">
        <f>F1642/G1642</f>
        <v>60.233249999999998</v>
      </c>
      <c r="I1642" s="92">
        <f t="shared" si="288"/>
        <v>1.0038874999999998</v>
      </c>
      <c r="J1642" s="272"/>
    </row>
    <row r="1643" spans="1:10" ht="15.75" x14ac:dyDescent="0.3">
      <c r="A1643" s="407"/>
      <c r="B1643" s="101" t="s">
        <v>208</v>
      </c>
      <c r="C1643" s="114"/>
      <c r="D1643" s="102"/>
      <c r="E1643" s="86"/>
      <c r="F1643" s="103">
        <v>158.05100000000002</v>
      </c>
      <c r="G1643" s="103">
        <v>3</v>
      </c>
      <c r="H1643" s="86">
        <f>F1643/G1643</f>
        <v>52.683666666666674</v>
      </c>
      <c r="I1643" s="92" t="e">
        <f>H1643/E1643</f>
        <v>#DIV/0!</v>
      </c>
      <c r="J1643" s="272"/>
    </row>
    <row r="1644" spans="1:10" ht="16.5" x14ac:dyDescent="0.35">
      <c r="A1644" s="407"/>
      <c r="B1644" s="59" t="s">
        <v>146</v>
      </c>
      <c r="C1644" s="60"/>
      <c r="D1644" s="61">
        <f>SUM(D1641:D1643)</f>
        <v>6.6666666666666661</v>
      </c>
      <c r="E1644" s="61"/>
      <c r="F1644" s="62"/>
      <c r="G1644" s="61">
        <f>SUM(G1641:G1643)</f>
        <v>13</v>
      </c>
      <c r="H1644" s="61"/>
      <c r="I1644" s="92"/>
      <c r="J1644" s="272"/>
    </row>
    <row r="1645" spans="1:10" ht="15.75" x14ac:dyDescent="0.3">
      <c r="A1645" s="407"/>
      <c r="B1645" s="65" t="s">
        <v>148</v>
      </c>
      <c r="C1645" s="66"/>
      <c r="D1645" s="68">
        <f>31-D1644</f>
        <v>24.333333333333336</v>
      </c>
      <c r="E1645" s="67"/>
      <c r="F1645" s="67"/>
      <c r="G1645" s="68">
        <f>31-G1644</f>
        <v>18</v>
      </c>
      <c r="H1645" s="97"/>
      <c r="I1645" s="92"/>
      <c r="J1645" s="272"/>
    </row>
    <row r="1646" spans="1:10" ht="17.25" thickBot="1" x14ac:dyDescent="0.4">
      <c r="A1646" s="408"/>
      <c r="B1646" s="70" t="s">
        <v>149</v>
      </c>
      <c r="C1646" s="71">
        <f>SUM(C1641:C1643)</f>
        <v>400</v>
      </c>
      <c r="D1646" s="71">
        <f>D1645+D1644</f>
        <v>31</v>
      </c>
      <c r="E1646" s="71"/>
      <c r="F1646" s="71">
        <f>SUM(F1641:F1643)</f>
        <v>698.68400000000008</v>
      </c>
      <c r="G1646" s="71">
        <f>G1645+G1644</f>
        <v>31</v>
      </c>
      <c r="H1646" s="105"/>
      <c r="I1646" s="73">
        <f>F1646/C1646</f>
        <v>1.7467100000000002</v>
      </c>
      <c r="J1646" s="273"/>
    </row>
  </sheetData>
  <mergeCells count="216">
    <mergeCell ref="A1628:A1633"/>
    <mergeCell ref="A1634:A1640"/>
    <mergeCell ref="A1642:A1646"/>
    <mergeCell ref="A1548:A1549"/>
    <mergeCell ref="G1548:G1549"/>
    <mergeCell ref="I1548:I1549"/>
    <mergeCell ref="A1550:A1560"/>
    <mergeCell ref="A1561:A1575"/>
    <mergeCell ref="A1576:A1592"/>
    <mergeCell ref="A1593:A1605"/>
    <mergeCell ref="A1606:A1614"/>
    <mergeCell ref="A1615:A1627"/>
    <mergeCell ref="A1425:A1430"/>
    <mergeCell ref="A1431:A1436"/>
    <mergeCell ref="A1438:A1442"/>
    <mergeCell ref="A1346:A1347"/>
    <mergeCell ref="G1346:G1347"/>
    <mergeCell ref="I1346:I1347"/>
    <mergeCell ref="A1348:A1358"/>
    <mergeCell ref="A1359:A1373"/>
    <mergeCell ref="A1374:A1390"/>
    <mergeCell ref="A1391:A1402"/>
    <mergeCell ref="A1403:A1411"/>
    <mergeCell ref="A1412:A1424"/>
    <mergeCell ref="A1133:A1138"/>
    <mergeCell ref="A1139:A1144"/>
    <mergeCell ref="A1146:A1150"/>
    <mergeCell ref="A1060:A1061"/>
    <mergeCell ref="G1060:G1061"/>
    <mergeCell ref="I1060:I1061"/>
    <mergeCell ref="A1062:A1072"/>
    <mergeCell ref="A1073:A1085"/>
    <mergeCell ref="A1086:A1101"/>
    <mergeCell ref="A1102:A1113"/>
    <mergeCell ref="A1114:A1122"/>
    <mergeCell ref="A1123:A1132"/>
    <mergeCell ref="A945:A950"/>
    <mergeCell ref="A951:A956"/>
    <mergeCell ref="A958:A962"/>
    <mergeCell ref="A873:A874"/>
    <mergeCell ref="G873:G874"/>
    <mergeCell ref="I873:I874"/>
    <mergeCell ref="A875:A885"/>
    <mergeCell ref="A886:A898"/>
    <mergeCell ref="A899:A913"/>
    <mergeCell ref="A914:A925"/>
    <mergeCell ref="A926:A934"/>
    <mergeCell ref="A935:A944"/>
    <mergeCell ref="A763:A767"/>
    <mergeCell ref="A768:A773"/>
    <mergeCell ref="A775:A779"/>
    <mergeCell ref="A694:A695"/>
    <mergeCell ref="G694:G695"/>
    <mergeCell ref="I694:I695"/>
    <mergeCell ref="A696:A706"/>
    <mergeCell ref="A707:A718"/>
    <mergeCell ref="A719:A731"/>
    <mergeCell ref="A732:A743"/>
    <mergeCell ref="A744:A752"/>
    <mergeCell ref="A753:A762"/>
    <mergeCell ref="A17:A28"/>
    <mergeCell ref="A29:A40"/>
    <mergeCell ref="A41:A50"/>
    <mergeCell ref="A3:A4"/>
    <mergeCell ref="G3:G4"/>
    <mergeCell ref="I3:I4"/>
    <mergeCell ref="A5:A16"/>
    <mergeCell ref="A71:A76"/>
    <mergeCell ref="A78:A82"/>
    <mergeCell ref="A87:A88"/>
    <mergeCell ref="G87:G88"/>
    <mergeCell ref="I87:I88"/>
    <mergeCell ref="A51:A58"/>
    <mergeCell ref="A59:A67"/>
    <mergeCell ref="A68:A70"/>
    <mergeCell ref="A123:A130"/>
    <mergeCell ref="A131:A138"/>
    <mergeCell ref="A139:A146"/>
    <mergeCell ref="A89:A100"/>
    <mergeCell ref="A101:A110"/>
    <mergeCell ref="A111:A122"/>
    <mergeCell ref="A147:A149"/>
    <mergeCell ref="A150:A155"/>
    <mergeCell ref="A157:A161"/>
    <mergeCell ref="A166:A167"/>
    <mergeCell ref="G166:G167"/>
    <mergeCell ref="I166:I167"/>
    <mergeCell ref="A205:A215"/>
    <mergeCell ref="A216:A223"/>
    <mergeCell ref="A224:A231"/>
    <mergeCell ref="A168:A179"/>
    <mergeCell ref="A180:A191"/>
    <mergeCell ref="A192:A204"/>
    <mergeCell ref="A232:A234"/>
    <mergeCell ref="A235:A240"/>
    <mergeCell ref="A242:A246"/>
    <mergeCell ref="A251:A252"/>
    <mergeCell ref="G251:G252"/>
    <mergeCell ref="I251:I252"/>
    <mergeCell ref="A290:A300"/>
    <mergeCell ref="A301:A309"/>
    <mergeCell ref="A310:A318"/>
    <mergeCell ref="A253:A264"/>
    <mergeCell ref="A265:A276"/>
    <mergeCell ref="A277:A289"/>
    <mergeCell ref="A340:A351"/>
    <mergeCell ref="A352:A363"/>
    <mergeCell ref="A364:A376"/>
    <mergeCell ref="A319:A321"/>
    <mergeCell ref="A322:A327"/>
    <mergeCell ref="A329:A333"/>
    <mergeCell ref="A338:A339"/>
    <mergeCell ref="G338:G339"/>
    <mergeCell ref="I338:I339"/>
    <mergeCell ref="A407:A410"/>
    <mergeCell ref="A411:A416"/>
    <mergeCell ref="A418:A422"/>
    <mergeCell ref="A377:A387"/>
    <mergeCell ref="A388:A396"/>
    <mergeCell ref="A397:A406"/>
    <mergeCell ref="G605:G606"/>
    <mergeCell ref="I605:I606"/>
    <mergeCell ref="A607:A617"/>
    <mergeCell ref="A508:A512"/>
    <mergeCell ref="A465:A476"/>
    <mergeCell ref="A477:A485"/>
    <mergeCell ref="A486:A495"/>
    <mergeCell ref="A496:A500"/>
    <mergeCell ref="A501:A506"/>
    <mergeCell ref="A427:A428"/>
    <mergeCell ref="G427:G428"/>
    <mergeCell ref="I427:I428"/>
    <mergeCell ref="A429:A439"/>
    <mergeCell ref="A440:A451"/>
    <mergeCell ref="A452:A464"/>
    <mergeCell ref="A516:A517"/>
    <mergeCell ref="G516:G517"/>
    <mergeCell ref="I516:I517"/>
    <mergeCell ref="A518:A528"/>
    <mergeCell ref="A529:A540"/>
    <mergeCell ref="A541:A553"/>
    <mergeCell ref="A554:A565"/>
    <mergeCell ref="A566:A574"/>
    <mergeCell ref="A575:A584"/>
    <mergeCell ref="A643:A654"/>
    <mergeCell ref="A655:A663"/>
    <mergeCell ref="A664:A673"/>
    <mergeCell ref="A674:A678"/>
    <mergeCell ref="A679:A684"/>
    <mergeCell ref="A686:A690"/>
    <mergeCell ref="A585:A589"/>
    <mergeCell ref="A590:A595"/>
    <mergeCell ref="A597:A601"/>
    <mergeCell ref="A605:A606"/>
    <mergeCell ref="A618:A629"/>
    <mergeCell ref="A630:A642"/>
    <mergeCell ref="A852:A857"/>
    <mergeCell ref="A858:A863"/>
    <mergeCell ref="A865:A869"/>
    <mergeCell ref="A783:A784"/>
    <mergeCell ref="G783:G784"/>
    <mergeCell ref="I783:I784"/>
    <mergeCell ref="A785:A795"/>
    <mergeCell ref="A796:A807"/>
    <mergeCell ref="A808:A820"/>
    <mergeCell ref="A821:A832"/>
    <mergeCell ref="A833:A841"/>
    <mergeCell ref="A842:A851"/>
    <mergeCell ref="A1039:A1044"/>
    <mergeCell ref="A1045:A1050"/>
    <mergeCell ref="A1052:A1056"/>
    <mergeCell ref="A966:A967"/>
    <mergeCell ref="G966:G967"/>
    <mergeCell ref="I966:I967"/>
    <mergeCell ref="A968:A978"/>
    <mergeCell ref="A979:A991"/>
    <mergeCell ref="A992:A1007"/>
    <mergeCell ref="A1008:A1019"/>
    <mergeCell ref="A1020:A1028"/>
    <mergeCell ref="A1029:A1038"/>
    <mergeCell ref="A1228:A1233"/>
    <mergeCell ref="A1234:A1239"/>
    <mergeCell ref="A1241:A1245"/>
    <mergeCell ref="A1154:A1155"/>
    <mergeCell ref="G1154:G1155"/>
    <mergeCell ref="I1154:I1155"/>
    <mergeCell ref="A1156:A1166"/>
    <mergeCell ref="A1167:A1179"/>
    <mergeCell ref="A1180:A1195"/>
    <mergeCell ref="A1196:A1207"/>
    <mergeCell ref="A1208:A1216"/>
    <mergeCell ref="A1217:A1227"/>
    <mergeCell ref="A1325:A1330"/>
    <mergeCell ref="A1331:A1336"/>
    <mergeCell ref="A1338:A1342"/>
    <mergeCell ref="A1249:A1250"/>
    <mergeCell ref="G1249:G1250"/>
    <mergeCell ref="I1249:I1250"/>
    <mergeCell ref="A1251:A1261"/>
    <mergeCell ref="A1262:A1274"/>
    <mergeCell ref="A1275:A1290"/>
    <mergeCell ref="A1291:A1302"/>
    <mergeCell ref="A1303:A1311"/>
    <mergeCell ref="A1312:A1324"/>
    <mergeCell ref="A1526:A1531"/>
    <mergeCell ref="A1532:A1538"/>
    <mergeCell ref="A1540:A1544"/>
    <mergeCell ref="A1446:A1447"/>
    <mergeCell ref="G1446:G1447"/>
    <mergeCell ref="I1446:I1447"/>
    <mergeCell ref="A1448:A1458"/>
    <mergeCell ref="A1459:A1473"/>
    <mergeCell ref="A1474:A1490"/>
    <mergeCell ref="A1491:A1503"/>
    <mergeCell ref="A1504:A1512"/>
    <mergeCell ref="A1513:A1525"/>
  </mergeCells>
  <pageMargins left="0.7" right="0.7" top="0.75" bottom="0.75" header="0.3" footer="0.3"/>
  <pageSetup orientation="portrait" r:id="rId1"/>
  <ignoredErrors>
    <ignoredError sqref="F528" formula="1"/>
    <ignoredError sqref="E982 E1065:E1067 E1157 E1230 E1161 E1395 E1392" evalError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80"/>
  <sheetViews>
    <sheetView workbookViewId="0">
      <pane xSplit="2" topLeftCell="AP1" activePane="topRight" state="frozen"/>
      <selection pane="topRight" activeCell="AV18" sqref="AV18"/>
    </sheetView>
  </sheetViews>
  <sheetFormatPr defaultRowHeight="12.75" x14ac:dyDescent="0.25"/>
  <cols>
    <col min="1" max="1" width="14.5703125" style="34" bestFit="1" customWidth="1"/>
    <col min="2" max="2" width="35" style="34" bestFit="1" customWidth="1"/>
    <col min="3" max="26" width="15" style="34" bestFit="1" customWidth="1"/>
    <col min="27" max="33" width="16.42578125" style="34" bestFit="1" customWidth="1"/>
    <col min="34" max="34" width="20" style="34" customWidth="1"/>
    <col min="35" max="44" width="16.42578125" style="34" bestFit="1" customWidth="1"/>
    <col min="45" max="45" width="11.140625" style="34" customWidth="1"/>
    <col min="46" max="47" width="16.42578125" style="34" bestFit="1" customWidth="1"/>
    <col min="48" max="48" width="11.42578125" style="34" customWidth="1"/>
    <col min="49" max="16384" width="9.140625" style="34"/>
  </cols>
  <sheetData>
    <row r="2" spans="1:50" customFormat="1" ht="15" x14ac:dyDescent="0.25">
      <c r="A2" s="17"/>
      <c r="B2" s="17"/>
      <c r="C2" s="18">
        <v>41426</v>
      </c>
      <c r="D2" s="18">
        <v>41456</v>
      </c>
      <c r="E2" s="18">
        <v>41487</v>
      </c>
      <c r="F2" s="18">
        <v>41518</v>
      </c>
      <c r="G2" s="18">
        <v>41548</v>
      </c>
      <c r="H2" s="18">
        <v>41579</v>
      </c>
      <c r="I2" s="18">
        <v>41609</v>
      </c>
      <c r="J2" s="18">
        <v>41640</v>
      </c>
      <c r="K2" s="18">
        <v>41671</v>
      </c>
      <c r="L2" s="18">
        <v>41699</v>
      </c>
      <c r="M2" s="18">
        <v>41730</v>
      </c>
      <c r="N2" s="18">
        <v>41760</v>
      </c>
      <c r="O2" s="18">
        <v>41791</v>
      </c>
      <c r="P2" s="18">
        <v>41821</v>
      </c>
      <c r="Q2" s="18">
        <v>41852</v>
      </c>
      <c r="R2" s="18">
        <v>41883</v>
      </c>
      <c r="S2" s="18">
        <v>41913</v>
      </c>
      <c r="T2" s="18">
        <v>41944</v>
      </c>
      <c r="U2" s="18">
        <v>41974</v>
      </c>
      <c r="V2" s="18">
        <v>42005</v>
      </c>
      <c r="W2" s="18">
        <v>42036</v>
      </c>
      <c r="X2" s="18">
        <v>42064</v>
      </c>
      <c r="Y2" s="18">
        <v>42095</v>
      </c>
      <c r="Z2" s="18">
        <v>42125</v>
      </c>
      <c r="AA2" s="18">
        <v>42156</v>
      </c>
      <c r="AB2" s="18">
        <v>42186</v>
      </c>
      <c r="AC2" s="18">
        <v>42217</v>
      </c>
      <c r="AD2" s="18">
        <v>42248</v>
      </c>
      <c r="AE2" s="18">
        <v>42278</v>
      </c>
      <c r="AF2" s="18">
        <v>42309</v>
      </c>
      <c r="AG2" s="18">
        <v>42339</v>
      </c>
      <c r="AH2" s="18">
        <v>42370</v>
      </c>
      <c r="AI2" s="19">
        <v>42401</v>
      </c>
      <c r="AJ2" s="19">
        <v>42430</v>
      </c>
      <c r="AK2" s="19">
        <v>42461</v>
      </c>
      <c r="AL2" s="19">
        <v>42491</v>
      </c>
      <c r="AM2" s="19">
        <v>42522</v>
      </c>
      <c r="AN2" s="19">
        <v>42552</v>
      </c>
      <c r="AO2" s="19">
        <v>42583</v>
      </c>
      <c r="AP2" s="19">
        <v>42615</v>
      </c>
      <c r="AQ2" s="19">
        <v>42645</v>
      </c>
      <c r="AR2" s="19">
        <v>42676</v>
      </c>
      <c r="AS2" s="19">
        <v>42705</v>
      </c>
      <c r="AT2" s="19">
        <v>42736</v>
      </c>
      <c r="AU2" s="19">
        <v>42767</v>
      </c>
      <c r="AV2" s="19">
        <v>42795</v>
      </c>
    </row>
    <row r="3" spans="1:50" s="23" customFormat="1" ht="15" x14ac:dyDescent="0.25">
      <c r="A3" s="20"/>
      <c r="B3" s="20"/>
      <c r="C3" s="21" t="s">
        <v>30</v>
      </c>
      <c r="D3" s="21" t="s">
        <v>30</v>
      </c>
      <c r="E3" s="21" t="s">
        <v>30</v>
      </c>
      <c r="F3" s="21" t="s">
        <v>30</v>
      </c>
      <c r="G3" s="21" t="s">
        <v>30</v>
      </c>
      <c r="H3" s="21" t="s">
        <v>30</v>
      </c>
      <c r="I3" s="21" t="s">
        <v>30</v>
      </c>
      <c r="J3" s="21" t="s">
        <v>30</v>
      </c>
      <c r="K3" s="21" t="s">
        <v>30</v>
      </c>
      <c r="L3" s="21" t="s">
        <v>30</v>
      </c>
      <c r="M3" s="21" t="s">
        <v>30</v>
      </c>
      <c r="N3" s="21" t="s">
        <v>30</v>
      </c>
      <c r="O3" s="21" t="s">
        <v>30</v>
      </c>
      <c r="P3" s="21" t="s">
        <v>30</v>
      </c>
      <c r="Q3" s="21" t="s">
        <v>30</v>
      </c>
      <c r="R3" s="21" t="s">
        <v>30</v>
      </c>
      <c r="S3" s="21" t="s">
        <v>30</v>
      </c>
      <c r="T3" s="21" t="s">
        <v>30</v>
      </c>
      <c r="U3" s="21" t="s">
        <v>30</v>
      </c>
      <c r="V3" s="21" t="s">
        <v>30</v>
      </c>
      <c r="W3" s="21" t="s">
        <v>30</v>
      </c>
      <c r="X3" s="21" t="s">
        <v>30</v>
      </c>
      <c r="Y3" s="21" t="s">
        <v>30</v>
      </c>
      <c r="Z3" s="21" t="s">
        <v>30</v>
      </c>
      <c r="AA3" s="21" t="s">
        <v>30</v>
      </c>
      <c r="AB3" s="21" t="s">
        <v>30</v>
      </c>
      <c r="AC3" s="21" t="s">
        <v>30</v>
      </c>
      <c r="AD3" s="21" t="s">
        <v>30</v>
      </c>
      <c r="AE3" s="21" t="s">
        <v>30</v>
      </c>
      <c r="AF3" s="21" t="s">
        <v>30</v>
      </c>
      <c r="AG3" s="21" t="s">
        <v>30</v>
      </c>
      <c r="AH3" s="21" t="s">
        <v>30</v>
      </c>
      <c r="AI3" s="22" t="s">
        <v>30</v>
      </c>
      <c r="AJ3" s="22" t="s">
        <v>30</v>
      </c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X3" s="23" t="s">
        <v>31</v>
      </c>
    </row>
    <row r="4" spans="1:50" s="23" customFormat="1" ht="15" x14ac:dyDescent="0.25">
      <c r="A4" s="20" t="s">
        <v>32</v>
      </c>
      <c r="B4" s="20" t="s">
        <v>33</v>
      </c>
      <c r="C4" s="22" t="s">
        <v>34</v>
      </c>
      <c r="D4" s="22" t="s">
        <v>34</v>
      </c>
      <c r="E4" s="22" t="s">
        <v>34</v>
      </c>
      <c r="F4" s="22" t="s">
        <v>34</v>
      </c>
      <c r="G4" s="22" t="s">
        <v>34</v>
      </c>
      <c r="H4" s="22" t="s">
        <v>34</v>
      </c>
      <c r="I4" s="22" t="s">
        <v>34</v>
      </c>
      <c r="J4" s="22" t="s">
        <v>34</v>
      </c>
      <c r="K4" s="22" t="s">
        <v>34</v>
      </c>
      <c r="L4" s="22" t="s">
        <v>34</v>
      </c>
      <c r="M4" s="22" t="s">
        <v>34</v>
      </c>
      <c r="N4" s="22" t="s">
        <v>34</v>
      </c>
      <c r="O4" s="22" t="s">
        <v>34</v>
      </c>
      <c r="P4" s="22" t="s">
        <v>34</v>
      </c>
      <c r="Q4" s="22" t="s">
        <v>34</v>
      </c>
      <c r="R4" s="22" t="s">
        <v>34</v>
      </c>
      <c r="S4" s="22" t="s">
        <v>34</v>
      </c>
      <c r="T4" s="22" t="s">
        <v>34</v>
      </c>
      <c r="U4" s="22" t="s">
        <v>34</v>
      </c>
      <c r="V4" s="22" t="s">
        <v>34</v>
      </c>
      <c r="W4" s="22" t="s">
        <v>34</v>
      </c>
      <c r="X4" s="22" t="s">
        <v>34</v>
      </c>
      <c r="Y4" s="22" t="s">
        <v>34</v>
      </c>
      <c r="Z4" s="22" t="s">
        <v>34</v>
      </c>
      <c r="AA4" s="22" t="s">
        <v>34</v>
      </c>
      <c r="AB4" s="22" t="s">
        <v>34</v>
      </c>
      <c r="AC4" s="22" t="s">
        <v>34</v>
      </c>
      <c r="AD4" s="22" t="s">
        <v>34</v>
      </c>
      <c r="AE4" s="22" t="s">
        <v>34</v>
      </c>
      <c r="AF4" s="22" t="s">
        <v>34</v>
      </c>
      <c r="AG4" s="22" t="s">
        <v>34</v>
      </c>
      <c r="AH4" s="22" t="s">
        <v>34</v>
      </c>
      <c r="AI4" s="22" t="s">
        <v>34</v>
      </c>
      <c r="AJ4" s="22" t="s">
        <v>34</v>
      </c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50" s="23" customFormat="1" ht="15" x14ac:dyDescent="0.25">
      <c r="A5" s="20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50" s="23" customFormat="1" ht="15" x14ac:dyDescent="0.25">
      <c r="A6" s="24"/>
      <c r="B6" s="24" t="s">
        <v>35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</row>
    <row r="7" spans="1:50" s="23" customFormat="1" ht="15" x14ac:dyDescent="0.25">
      <c r="A7" s="26"/>
      <c r="B7" s="26" t="s">
        <v>36</v>
      </c>
      <c r="C7" s="27">
        <v>1935.8400000000001</v>
      </c>
      <c r="D7" s="27">
        <v>2906.8400000000006</v>
      </c>
      <c r="E7" s="27">
        <v>1026.2700000000002</v>
      </c>
      <c r="F7" s="27">
        <v>1393.5099999999998</v>
      </c>
      <c r="G7" s="27">
        <v>2881.78</v>
      </c>
      <c r="H7" s="27">
        <v>926.56</v>
      </c>
      <c r="I7" s="27">
        <v>3027.7</v>
      </c>
      <c r="J7" s="27">
        <v>221.80999999999997</v>
      </c>
      <c r="K7" s="27">
        <v>1297.53</v>
      </c>
      <c r="L7" s="27">
        <v>3403.65</v>
      </c>
      <c r="M7" s="27">
        <v>2563.48</v>
      </c>
      <c r="N7" s="27">
        <v>2592.31</v>
      </c>
      <c r="O7" s="27">
        <v>2671.2099999999996</v>
      </c>
      <c r="P7" s="27">
        <v>1010.09</v>
      </c>
      <c r="Q7" s="27">
        <v>734.31000000000006</v>
      </c>
      <c r="R7" s="27">
        <v>1126.96</v>
      </c>
      <c r="S7" s="27">
        <v>913.36</v>
      </c>
      <c r="T7" s="27">
        <v>909.33</v>
      </c>
      <c r="U7" s="27">
        <v>1031.71</v>
      </c>
      <c r="V7" s="27">
        <v>876.34</v>
      </c>
      <c r="W7" s="27">
        <v>430.08</v>
      </c>
      <c r="X7" s="27">
        <v>852.06</v>
      </c>
      <c r="Y7" s="27">
        <v>789.16</v>
      </c>
      <c r="Z7" s="27">
        <v>440.67</v>
      </c>
      <c r="AA7" s="27">
        <v>442.88</v>
      </c>
      <c r="AB7" s="27">
        <v>454.93</v>
      </c>
      <c r="AC7" s="27">
        <v>1148</v>
      </c>
      <c r="AD7" s="27">
        <v>1421.42</v>
      </c>
      <c r="AE7" s="27">
        <v>783.36</v>
      </c>
      <c r="AF7" s="27">
        <v>1390.05</v>
      </c>
      <c r="AG7" s="27">
        <v>1088.05</v>
      </c>
      <c r="AH7" s="27">
        <v>662.24</v>
      </c>
      <c r="AI7" s="27">
        <v>1188.44</v>
      </c>
      <c r="AJ7" s="27">
        <v>369.41</v>
      </c>
      <c r="AK7" s="27">
        <v>288</v>
      </c>
      <c r="AL7" s="27">
        <v>570.22500000000002</v>
      </c>
      <c r="AM7" s="27">
        <v>452.21499999999997</v>
      </c>
      <c r="AN7" s="27">
        <v>1829.11</v>
      </c>
      <c r="AO7" s="27">
        <v>439.69</v>
      </c>
      <c r="AP7" s="27">
        <v>706.48299999999995</v>
      </c>
      <c r="AQ7" s="27">
        <v>695.82500000000005</v>
      </c>
      <c r="AR7" s="27">
        <v>398.041</v>
      </c>
      <c r="AS7" s="27">
        <v>1137.0450000000001</v>
      </c>
      <c r="AT7" s="27">
        <v>1460.7850000000001</v>
      </c>
      <c r="AU7" s="27">
        <v>1007.276</v>
      </c>
      <c r="AV7" s="27">
        <v>1322.9190000000001</v>
      </c>
    </row>
    <row r="8" spans="1:50" s="23" customFormat="1" ht="15" x14ac:dyDescent="0.25">
      <c r="A8" s="26"/>
      <c r="B8" s="26" t="s">
        <v>37</v>
      </c>
      <c r="C8" s="27">
        <v>221.19</v>
      </c>
      <c r="D8" s="27">
        <v>415.99</v>
      </c>
      <c r="E8" s="27">
        <v>237.84</v>
      </c>
      <c r="F8" s="27">
        <v>314.29000000000002</v>
      </c>
      <c r="G8" s="27">
        <v>228.66</v>
      </c>
      <c r="H8" s="27">
        <v>2057.3000000000002</v>
      </c>
      <c r="I8" s="27">
        <v>206.42</v>
      </c>
      <c r="J8" s="27">
        <v>380.07999999999993</v>
      </c>
      <c r="K8" s="27">
        <v>184.48</v>
      </c>
      <c r="L8" s="27">
        <v>49.55</v>
      </c>
      <c r="M8" s="27">
        <v>346.08</v>
      </c>
      <c r="N8" s="27">
        <v>2916.7500000000005</v>
      </c>
      <c r="O8" s="27">
        <v>277.76</v>
      </c>
      <c r="P8" s="27">
        <v>1696.84</v>
      </c>
      <c r="Q8" s="27">
        <v>62.75</v>
      </c>
      <c r="R8" s="27">
        <v>1900.5299999999997</v>
      </c>
      <c r="S8" s="27">
        <v>1720.44</v>
      </c>
      <c r="T8" s="27">
        <v>1899.02</v>
      </c>
      <c r="U8" s="27">
        <v>96.85</v>
      </c>
      <c r="V8" s="27">
        <v>81.099999999999994</v>
      </c>
      <c r="W8" s="27">
        <v>0</v>
      </c>
      <c r="X8" s="27">
        <v>0</v>
      </c>
      <c r="Y8" s="27">
        <v>0.06</v>
      </c>
      <c r="Z8" s="27">
        <v>0.06</v>
      </c>
      <c r="AA8" s="27">
        <v>16.059999999999999</v>
      </c>
      <c r="AB8" s="27">
        <v>7.55</v>
      </c>
      <c r="AC8" s="27">
        <v>10.050000000000001</v>
      </c>
      <c r="AD8" s="27">
        <v>1.53</v>
      </c>
      <c r="AE8" s="27">
        <v>1.53</v>
      </c>
      <c r="AF8" s="27">
        <v>1.53</v>
      </c>
      <c r="AG8" s="27">
        <v>0.05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/>
      <c r="AO8" s="27">
        <v>0.19</v>
      </c>
      <c r="AP8" s="27">
        <v>17.655000000000001</v>
      </c>
      <c r="AQ8" s="27">
        <v>17.655000000000001</v>
      </c>
      <c r="AR8" s="27">
        <v>17.655000000000001</v>
      </c>
      <c r="AS8" s="27">
        <v>1.7549999999999999</v>
      </c>
      <c r="AT8" s="27">
        <v>1.7549999999999999</v>
      </c>
      <c r="AU8" s="27">
        <v>0.47499999999999998</v>
      </c>
      <c r="AV8" s="27">
        <v>0.47499999999999998</v>
      </c>
    </row>
    <row r="9" spans="1:50" s="23" customFormat="1" ht="15" x14ac:dyDescent="0.25">
      <c r="A9" s="26"/>
      <c r="B9" s="26" t="s">
        <v>38</v>
      </c>
      <c r="C9" s="27">
        <v>113.5</v>
      </c>
      <c r="D9" s="27">
        <v>39.959999999999994</v>
      </c>
      <c r="E9" s="27">
        <v>101.43</v>
      </c>
      <c r="F9" s="27">
        <v>80.650000000000006</v>
      </c>
      <c r="G9" s="27">
        <v>235.17999999999998</v>
      </c>
      <c r="H9" s="27">
        <v>181.81</v>
      </c>
      <c r="I9" s="27">
        <v>310.28999999999996</v>
      </c>
      <c r="J9" s="27">
        <v>215.82</v>
      </c>
      <c r="K9" s="27">
        <v>319.99</v>
      </c>
      <c r="L9" s="27">
        <v>326.64999999999998</v>
      </c>
      <c r="M9" s="27">
        <v>326.42000000000007</v>
      </c>
      <c r="N9" s="27">
        <v>410.08999999999992</v>
      </c>
      <c r="O9" s="27">
        <v>383.66999999999996</v>
      </c>
      <c r="P9" s="27">
        <v>383.40999999999997</v>
      </c>
      <c r="Q9" s="27">
        <v>265.41000000000003</v>
      </c>
      <c r="R9" s="27">
        <v>355.95</v>
      </c>
      <c r="S9" s="27">
        <v>338.43000000000006</v>
      </c>
      <c r="T9" s="27">
        <v>350.84000000000003</v>
      </c>
      <c r="U9" s="27">
        <v>327.97</v>
      </c>
      <c r="V9" s="27">
        <v>408.99</v>
      </c>
      <c r="W9" s="27">
        <v>0.17</v>
      </c>
      <c r="X9" s="27">
        <v>3.56</v>
      </c>
      <c r="Y9" s="27">
        <v>26.78</v>
      </c>
      <c r="Z9" s="27">
        <v>81.62</v>
      </c>
      <c r="AA9" s="27">
        <v>87.410000000000011</v>
      </c>
      <c r="AB9" s="27">
        <v>164.51999999999998</v>
      </c>
      <c r="AC9" s="27">
        <v>232.25</v>
      </c>
      <c r="AD9" s="27">
        <v>326.91000000000003</v>
      </c>
      <c r="AE9" s="27">
        <v>306.67</v>
      </c>
      <c r="AF9" s="27">
        <v>290.2</v>
      </c>
      <c r="AG9" s="27">
        <v>289.92999999999995</v>
      </c>
      <c r="AH9" s="27">
        <v>328.2</v>
      </c>
      <c r="AI9" s="27">
        <v>342.18</v>
      </c>
      <c r="AJ9" s="27">
        <v>415.39</v>
      </c>
      <c r="AK9" s="27">
        <v>2.71</v>
      </c>
      <c r="AL9" s="27">
        <v>2.71</v>
      </c>
      <c r="AM9" s="27">
        <v>96.37</v>
      </c>
      <c r="AN9" s="27">
        <v>143.15</v>
      </c>
      <c r="AO9" s="27">
        <v>138.35459</v>
      </c>
      <c r="AP9" s="27">
        <v>223.68917999999999</v>
      </c>
      <c r="AQ9" s="27">
        <v>184.34071</v>
      </c>
      <c r="AR9" s="27">
        <v>3.5150000000000001</v>
      </c>
      <c r="AS9" s="27">
        <v>69.855000000000004</v>
      </c>
      <c r="AT9" s="27">
        <v>41.344000000000001</v>
      </c>
      <c r="AU9" s="27">
        <v>32.514000000000003</v>
      </c>
      <c r="AV9" s="27">
        <v>49.42</v>
      </c>
    </row>
    <row r="10" spans="1:50" s="23" customFormat="1" ht="15" x14ac:dyDescent="0.25">
      <c r="A10" s="26"/>
      <c r="B10" s="26" t="s">
        <v>39</v>
      </c>
      <c r="C10" s="27">
        <v>219.42000000000002</v>
      </c>
      <c r="D10" s="27">
        <v>162.57000000000002</v>
      </c>
      <c r="E10" s="27">
        <v>123.06</v>
      </c>
      <c r="F10" s="27">
        <v>118.67</v>
      </c>
      <c r="G10" s="27">
        <v>367.73999999999995</v>
      </c>
      <c r="H10" s="27">
        <v>151.94</v>
      </c>
      <c r="I10" s="27">
        <v>479.15</v>
      </c>
      <c r="J10" s="27">
        <v>194.97</v>
      </c>
      <c r="K10" s="27">
        <v>76.509999999999991</v>
      </c>
      <c r="L10" s="27">
        <v>108.29</v>
      </c>
      <c r="M10" s="27">
        <v>211.48999999999998</v>
      </c>
      <c r="N10" s="27">
        <v>119.42999999999999</v>
      </c>
      <c r="O10" s="27">
        <v>46.610000000000007</v>
      </c>
      <c r="P10" s="27">
        <v>114.83000000000001</v>
      </c>
      <c r="Q10" s="27">
        <v>235.26</v>
      </c>
      <c r="R10" s="27">
        <v>202.01</v>
      </c>
      <c r="S10" s="27">
        <v>36.180000000000007</v>
      </c>
      <c r="T10" s="27">
        <v>164.94000000000003</v>
      </c>
      <c r="U10" s="27">
        <v>185.82999999999996</v>
      </c>
      <c r="V10" s="27">
        <v>627.32000000000016</v>
      </c>
      <c r="W10" s="27">
        <v>494.52000000000004</v>
      </c>
      <c r="X10" s="27">
        <v>216.63</v>
      </c>
      <c r="Y10" s="27">
        <v>464.36</v>
      </c>
      <c r="Z10" s="27">
        <v>344.18</v>
      </c>
      <c r="AA10" s="27">
        <v>173.51</v>
      </c>
      <c r="AB10" s="27">
        <v>92.049999999999983</v>
      </c>
      <c r="AC10" s="27">
        <v>85.28</v>
      </c>
      <c r="AD10" s="27">
        <v>138.72</v>
      </c>
      <c r="AE10" s="27">
        <v>17.79</v>
      </c>
      <c r="AF10" s="27">
        <v>40.94</v>
      </c>
      <c r="AG10" s="27">
        <v>62.07</v>
      </c>
      <c r="AH10" s="27">
        <v>84.02000000000001</v>
      </c>
      <c r="AI10" s="27">
        <v>260.87000000000006</v>
      </c>
      <c r="AJ10" s="27">
        <v>78.95</v>
      </c>
      <c r="AK10" s="27">
        <v>307.33999999999997</v>
      </c>
      <c r="AL10" s="27">
        <v>37.484999999999999</v>
      </c>
      <c r="AM10" s="27">
        <v>34.103999999999999</v>
      </c>
      <c r="AN10" s="27">
        <v>400.75400000000002</v>
      </c>
      <c r="AO10" s="27">
        <v>586.96900000000005</v>
      </c>
      <c r="AP10" s="27">
        <v>404.01900000000001</v>
      </c>
      <c r="AQ10" s="27">
        <v>99.543999999999997</v>
      </c>
      <c r="AR10" s="27">
        <v>325.10700000000003</v>
      </c>
      <c r="AS10" s="27">
        <v>84.477000000000004</v>
      </c>
      <c r="AT10" s="27">
        <v>737.22699999999998</v>
      </c>
      <c r="AU10" s="27">
        <v>586.61599999999999</v>
      </c>
      <c r="AV10" s="27">
        <v>575.19299999999998</v>
      </c>
    </row>
    <row r="11" spans="1:50" s="23" customFormat="1" ht="15" x14ac:dyDescent="0.25">
      <c r="A11" s="26"/>
      <c r="B11" s="26" t="s">
        <v>40</v>
      </c>
      <c r="C11" s="27">
        <v>783.67</v>
      </c>
      <c r="D11" s="27">
        <v>359.75</v>
      </c>
      <c r="E11" s="27">
        <v>633.66</v>
      </c>
      <c r="F11" s="27">
        <v>1005.5099999999999</v>
      </c>
      <c r="G11" s="27">
        <v>804.37</v>
      </c>
      <c r="H11" s="27">
        <v>1059.8599999999999</v>
      </c>
      <c r="I11" s="27">
        <v>587.49</v>
      </c>
      <c r="J11" s="27">
        <v>1759.9199999999998</v>
      </c>
      <c r="K11" s="27">
        <v>1599.59</v>
      </c>
      <c r="L11" s="27">
        <v>1094.6499999999999</v>
      </c>
      <c r="M11" s="27">
        <v>1952.92</v>
      </c>
      <c r="N11" s="27">
        <v>542.46</v>
      </c>
      <c r="O11" s="27">
        <v>1150.21</v>
      </c>
      <c r="P11" s="27">
        <v>1099.4599999999998</v>
      </c>
      <c r="Q11" s="27">
        <v>995.28</v>
      </c>
      <c r="R11" s="27">
        <v>517.12</v>
      </c>
      <c r="S11" s="27">
        <v>1717.22</v>
      </c>
      <c r="T11" s="27">
        <v>671.6400000000001</v>
      </c>
      <c r="U11" s="27">
        <v>600.91000000000008</v>
      </c>
      <c r="V11" s="27">
        <v>381.95</v>
      </c>
      <c r="W11" s="27">
        <v>666.24999999999989</v>
      </c>
      <c r="X11" s="27">
        <v>1063.72</v>
      </c>
      <c r="Y11" s="27">
        <v>263.55</v>
      </c>
      <c r="Z11" s="27">
        <v>726.62</v>
      </c>
      <c r="AA11" s="27">
        <v>315.94</v>
      </c>
      <c r="AB11" s="27">
        <v>1260.6999999999998</v>
      </c>
      <c r="AC11" s="27">
        <v>378.35999999999996</v>
      </c>
      <c r="AD11" s="27">
        <v>920.73</v>
      </c>
      <c r="AE11" s="27">
        <v>744.06</v>
      </c>
      <c r="AF11" s="27">
        <v>933.10000000000014</v>
      </c>
      <c r="AG11" s="27">
        <v>396.42</v>
      </c>
      <c r="AH11" s="27">
        <v>1194.3700000000001</v>
      </c>
      <c r="AI11" s="27">
        <v>826.93</v>
      </c>
      <c r="AJ11" s="27">
        <v>1520.93</v>
      </c>
      <c r="AK11" s="27">
        <v>1362.89</v>
      </c>
      <c r="AL11" s="27">
        <v>433.23</v>
      </c>
      <c r="AM11" s="27">
        <v>1218.7829999999999</v>
      </c>
      <c r="AN11" s="27">
        <v>811.55700000000002</v>
      </c>
      <c r="AO11" s="27">
        <v>768.97199999999998</v>
      </c>
      <c r="AP11" s="27">
        <v>724.70299999999997</v>
      </c>
      <c r="AQ11" s="27">
        <v>207.00800000000001</v>
      </c>
      <c r="AR11" s="27">
        <v>578.77499999999998</v>
      </c>
      <c r="AS11" s="27">
        <v>270.839</v>
      </c>
      <c r="AT11" s="27">
        <v>493.22300000000001</v>
      </c>
      <c r="AU11" s="27">
        <v>823.44500000000005</v>
      </c>
      <c r="AV11" s="27">
        <v>1312.6980000000001</v>
      </c>
    </row>
    <row r="12" spans="1:50" s="23" customFormat="1" ht="15" x14ac:dyDescent="0.25">
      <c r="A12" s="26"/>
      <c r="B12" s="26" t="s">
        <v>41</v>
      </c>
      <c r="C12" s="27">
        <v>36.019999999999996</v>
      </c>
      <c r="D12" s="27">
        <v>90.94</v>
      </c>
      <c r="E12" s="27">
        <v>154.79000000000002</v>
      </c>
      <c r="F12" s="27">
        <v>60.73</v>
      </c>
      <c r="G12" s="27">
        <v>18.41</v>
      </c>
      <c r="H12" s="27">
        <v>591.12999999999988</v>
      </c>
      <c r="I12" s="27">
        <v>284.91000000000003</v>
      </c>
      <c r="J12" s="27">
        <v>81.840000000000018</v>
      </c>
      <c r="K12" s="27">
        <v>955.4</v>
      </c>
      <c r="L12" s="27">
        <v>647.35</v>
      </c>
      <c r="M12" s="27">
        <v>240.52</v>
      </c>
      <c r="N12" s="27">
        <v>1857.25</v>
      </c>
      <c r="O12" s="27">
        <v>1585.4199999999998</v>
      </c>
      <c r="P12" s="27">
        <v>1420.15</v>
      </c>
      <c r="Q12" s="27">
        <v>1068.04</v>
      </c>
      <c r="R12" s="27">
        <v>676.10000000000014</v>
      </c>
      <c r="S12" s="27">
        <v>1069.7899999999997</v>
      </c>
      <c r="T12" s="27">
        <v>667.49999999999989</v>
      </c>
      <c r="U12" s="27">
        <v>393.39</v>
      </c>
      <c r="V12" s="27">
        <v>1065.23</v>
      </c>
      <c r="W12" s="27">
        <v>513.91</v>
      </c>
      <c r="X12" s="27">
        <v>796.14</v>
      </c>
      <c r="Y12" s="27">
        <v>823.86</v>
      </c>
      <c r="Z12" s="27">
        <v>1289.75</v>
      </c>
      <c r="AA12" s="27">
        <v>786.62</v>
      </c>
      <c r="AB12" s="27">
        <v>1010.3499999999998</v>
      </c>
      <c r="AC12" s="27">
        <v>996.28</v>
      </c>
      <c r="AD12" s="27">
        <v>670.36</v>
      </c>
      <c r="AE12" s="27">
        <v>272.35000000000002</v>
      </c>
      <c r="AF12" s="27">
        <v>35.31</v>
      </c>
      <c r="AG12" s="27">
        <v>982.16</v>
      </c>
      <c r="AH12" s="27">
        <v>366.31</v>
      </c>
      <c r="AI12" s="27">
        <v>581.73</v>
      </c>
      <c r="AJ12" s="27">
        <v>1078.04</v>
      </c>
      <c r="AK12" s="27">
        <v>544.27</v>
      </c>
      <c r="AL12" s="27">
        <v>151.61500000000001</v>
      </c>
      <c r="AM12" s="27">
        <v>724.25800000000004</v>
      </c>
      <c r="AN12" s="27">
        <v>400.46499999999997</v>
      </c>
      <c r="AO12" s="27">
        <v>153.923</v>
      </c>
      <c r="AP12" s="27">
        <v>224.65899999999999</v>
      </c>
      <c r="AQ12" s="27">
        <v>370.291</v>
      </c>
      <c r="AR12" s="27">
        <v>191.423</v>
      </c>
      <c r="AS12" s="27">
        <v>444.44499999999999</v>
      </c>
      <c r="AT12" s="27">
        <v>285.20800000000003</v>
      </c>
      <c r="AU12" s="27">
        <v>195.363</v>
      </c>
      <c r="AV12" s="27">
        <v>227.93199999999999</v>
      </c>
    </row>
    <row r="13" spans="1:50" s="23" customFormat="1" ht="15" x14ac:dyDescent="0.25">
      <c r="A13" s="26"/>
      <c r="B13" s="26" t="s">
        <v>42</v>
      </c>
      <c r="C13" s="27">
        <v>379.04</v>
      </c>
      <c r="D13" s="27">
        <v>309.72999999999996</v>
      </c>
      <c r="E13" s="27">
        <v>198.75</v>
      </c>
      <c r="F13" s="27">
        <v>179.42000000000002</v>
      </c>
      <c r="G13" s="27">
        <v>169.12</v>
      </c>
      <c r="H13" s="27">
        <v>120.49</v>
      </c>
      <c r="I13" s="27">
        <v>106.47999999999999</v>
      </c>
      <c r="J13" s="27">
        <v>71.83</v>
      </c>
      <c r="K13" s="27">
        <v>29.01</v>
      </c>
      <c r="L13" s="27">
        <v>82.17</v>
      </c>
      <c r="M13" s="27">
        <v>58.43</v>
      </c>
      <c r="N13" s="27">
        <v>42.13</v>
      </c>
      <c r="O13" s="27">
        <v>38.559999999999995</v>
      </c>
      <c r="P13" s="27">
        <v>631.63999999999987</v>
      </c>
      <c r="Q13" s="27">
        <v>362.34999999999997</v>
      </c>
      <c r="R13" s="27">
        <v>259.02</v>
      </c>
      <c r="S13" s="27">
        <v>66.34</v>
      </c>
      <c r="T13" s="27">
        <v>542.34</v>
      </c>
      <c r="U13" s="27">
        <v>385.96999999999997</v>
      </c>
      <c r="V13" s="27">
        <v>288.98</v>
      </c>
      <c r="W13" s="27">
        <v>733.77</v>
      </c>
      <c r="X13" s="27">
        <v>446.59999999999997</v>
      </c>
      <c r="Y13" s="27">
        <v>318.21000000000004</v>
      </c>
      <c r="Z13" s="27">
        <v>135.07999999999998</v>
      </c>
      <c r="AA13" s="27">
        <v>427.70999999999992</v>
      </c>
      <c r="AB13" s="27">
        <v>387.12999999999994</v>
      </c>
      <c r="AC13" s="27">
        <v>116.57000000000001</v>
      </c>
      <c r="AD13" s="27">
        <v>694.44</v>
      </c>
      <c r="AE13" s="27">
        <v>507.56</v>
      </c>
      <c r="AF13" s="27">
        <v>323.50999999999993</v>
      </c>
      <c r="AG13" s="27">
        <v>73.23</v>
      </c>
      <c r="AH13" s="27">
        <v>348.51000000000005</v>
      </c>
      <c r="AI13" s="27">
        <v>151.41999999999999</v>
      </c>
      <c r="AJ13" s="27">
        <v>39.79</v>
      </c>
      <c r="AK13" s="27">
        <v>29.67</v>
      </c>
      <c r="AL13" s="27">
        <v>399.90100000000001</v>
      </c>
      <c r="AM13" s="27">
        <v>216.74299999999999</v>
      </c>
      <c r="AN13" s="27">
        <v>292.47800000000001</v>
      </c>
      <c r="AO13" s="27">
        <v>277.18799999999999</v>
      </c>
      <c r="AP13" s="27">
        <v>133.10599999999999</v>
      </c>
      <c r="AQ13" s="27">
        <v>214.35499999999999</v>
      </c>
      <c r="AR13" s="27">
        <v>145.911</v>
      </c>
      <c r="AS13" s="27">
        <v>299.69400000000002</v>
      </c>
      <c r="AT13" s="27">
        <v>178.50399999999999</v>
      </c>
      <c r="AU13" s="27">
        <v>373.63900000000001</v>
      </c>
      <c r="AV13" s="27">
        <v>213.077</v>
      </c>
    </row>
    <row r="14" spans="1:50" s="23" customFormat="1" ht="15" x14ac:dyDescent="0.25">
      <c r="A14" s="26"/>
      <c r="B14" s="26" t="s">
        <v>43</v>
      </c>
      <c r="C14" s="27">
        <v>669.81000000000006</v>
      </c>
      <c r="D14" s="27">
        <v>447.54999999999995</v>
      </c>
      <c r="E14" s="27">
        <v>924.33</v>
      </c>
      <c r="F14" s="27">
        <v>781.2</v>
      </c>
      <c r="G14" s="27">
        <v>717.24</v>
      </c>
      <c r="H14" s="27">
        <v>530.25</v>
      </c>
      <c r="I14" s="27">
        <v>335.31999999999994</v>
      </c>
      <c r="J14" s="27">
        <v>1036.75</v>
      </c>
      <c r="K14" s="27">
        <v>428.67</v>
      </c>
      <c r="L14" s="27">
        <v>330.51</v>
      </c>
      <c r="M14" s="27">
        <v>1320.54</v>
      </c>
      <c r="N14" s="27">
        <v>1137.82</v>
      </c>
      <c r="O14" s="27">
        <v>868.74</v>
      </c>
      <c r="P14" s="27">
        <v>444.10999999999996</v>
      </c>
      <c r="Q14" s="27">
        <v>1303.7899999999997</v>
      </c>
      <c r="R14" s="27">
        <v>1009.9900000000002</v>
      </c>
      <c r="S14" s="27">
        <v>794.78000000000009</v>
      </c>
      <c r="T14" s="27">
        <v>711.39</v>
      </c>
      <c r="U14" s="27">
        <v>1700.51</v>
      </c>
      <c r="V14" s="27">
        <v>1477.86</v>
      </c>
      <c r="W14" s="27">
        <v>757.35</v>
      </c>
      <c r="X14" s="27">
        <v>313.28000000000003</v>
      </c>
      <c r="Y14" s="27">
        <v>211.89000000000001</v>
      </c>
      <c r="Z14" s="27">
        <v>1111.3999999999999</v>
      </c>
      <c r="AA14" s="27">
        <v>973.33000000000015</v>
      </c>
      <c r="AB14" s="27">
        <v>858.74</v>
      </c>
      <c r="AC14" s="27">
        <v>794.93000000000006</v>
      </c>
      <c r="AD14" s="27">
        <v>498.94</v>
      </c>
      <c r="AE14" s="27">
        <v>186.38</v>
      </c>
      <c r="AF14" s="27">
        <v>891.31999999999994</v>
      </c>
      <c r="AG14" s="27">
        <v>772.53</v>
      </c>
      <c r="AH14" s="27">
        <v>562.67999999999995</v>
      </c>
      <c r="AI14" s="27">
        <v>347.44</v>
      </c>
      <c r="AJ14" s="27">
        <v>183.81</v>
      </c>
      <c r="AK14" s="27">
        <v>979.24</v>
      </c>
      <c r="AL14" s="27">
        <v>727.17399999999998</v>
      </c>
      <c r="AM14" s="27">
        <f>481.109</f>
        <v>481.10899999999998</v>
      </c>
      <c r="AN14" s="27">
        <v>328.60899999999998</v>
      </c>
      <c r="AO14" s="27">
        <v>696.13</v>
      </c>
      <c r="AP14" s="27">
        <v>557.89700000000005</v>
      </c>
      <c r="AQ14" s="27">
        <v>325.37299999999999</v>
      </c>
      <c r="AR14" s="27">
        <v>248.446</v>
      </c>
      <c r="AS14" s="27">
        <v>126.092</v>
      </c>
      <c r="AT14" s="27">
        <v>648.90200000000004</v>
      </c>
      <c r="AU14" s="27">
        <v>507.78699999999998</v>
      </c>
      <c r="AV14" s="27">
        <v>399.07299999999998</v>
      </c>
    </row>
    <row r="15" spans="1:50" s="23" customFormat="1" ht="15" x14ac:dyDescent="0.25">
      <c r="A15" s="26"/>
      <c r="B15" s="26" t="s">
        <v>44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>
        <v>262.87</v>
      </c>
      <c r="AF15" s="27">
        <v>227.18</v>
      </c>
      <c r="AG15" s="27">
        <v>263.7</v>
      </c>
      <c r="AH15" s="27">
        <v>416.90000000000003</v>
      </c>
      <c r="AI15" s="27">
        <v>372.64</v>
      </c>
      <c r="AJ15" s="27">
        <v>329.42</v>
      </c>
      <c r="AK15" s="27">
        <v>405.25</v>
      </c>
      <c r="AL15" s="27">
        <v>361.57600000000002</v>
      </c>
      <c r="AM15" s="27">
        <v>306.54700000000003</v>
      </c>
      <c r="AN15" s="27">
        <v>231.04</v>
      </c>
      <c r="AO15" s="27">
        <v>460.64</v>
      </c>
      <c r="AP15" s="27">
        <v>571.48</v>
      </c>
      <c r="AQ15" s="27">
        <v>579.44299999999998</v>
      </c>
      <c r="AR15" s="27">
        <v>419.93700000000001</v>
      </c>
      <c r="AS15" s="27">
        <v>526.51099999999997</v>
      </c>
      <c r="AT15" s="27">
        <v>530.33844999999997</v>
      </c>
      <c r="AU15" s="27">
        <v>379.68844999999999</v>
      </c>
      <c r="AV15" s="27">
        <v>188.69800000000001</v>
      </c>
    </row>
    <row r="16" spans="1:50" s="23" customFormat="1" ht="15" x14ac:dyDescent="0.25">
      <c r="A16" s="26"/>
      <c r="B16" s="26" t="s">
        <v>45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>
        <v>28.15</v>
      </c>
      <c r="AF16" s="27">
        <v>26.700000000000003</v>
      </c>
      <c r="AG16" s="27">
        <v>37.980000000000004</v>
      </c>
      <c r="AH16" s="27">
        <v>21.46</v>
      </c>
      <c r="AI16" s="27">
        <v>13.99</v>
      </c>
      <c r="AJ16" s="27">
        <v>7.88</v>
      </c>
      <c r="AK16" s="27">
        <v>15.3</v>
      </c>
      <c r="AL16" s="27">
        <v>16.350000000000001</v>
      </c>
      <c r="AM16" s="27">
        <v>14.9</v>
      </c>
      <c r="AN16" s="27">
        <v>24.1</v>
      </c>
      <c r="AO16" s="27">
        <v>22.1</v>
      </c>
      <c r="AP16" s="27">
        <v>18.074999999999999</v>
      </c>
      <c r="AQ16" s="27">
        <v>17.324999999999999</v>
      </c>
      <c r="AR16" s="27">
        <v>11.175000000000001</v>
      </c>
      <c r="AS16" s="27">
        <v>10.175000000000001</v>
      </c>
      <c r="AT16" s="27">
        <v>22.774999999999999</v>
      </c>
      <c r="AU16" s="27">
        <v>28.5</v>
      </c>
      <c r="AV16" s="27">
        <v>31.175000000000001</v>
      </c>
    </row>
    <row r="17" spans="1:48" s="23" customFormat="1" ht="15" x14ac:dyDescent="0.25">
      <c r="A17" s="26"/>
      <c r="B17" s="26" t="s">
        <v>46</v>
      </c>
      <c r="C17" s="27">
        <v>259.59000000000003</v>
      </c>
      <c r="D17" s="27">
        <v>379.99000000000007</v>
      </c>
      <c r="E17" s="27">
        <v>245.43999999999997</v>
      </c>
      <c r="F17" s="27">
        <v>278.47999999999996</v>
      </c>
      <c r="G17" s="27">
        <v>255.26000000000002</v>
      </c>
      <c r="H17" s="27">
        <v>348.84000000000009</v>
      </c>
      <c r="I17" s="27">
        <v>263.10000000000002</v>
      </c>
      <c r="J17" s="27">
        <v>380.18000000000006</v>
      </c>
      <c r="K17" s="27">
        <v>280.62</v>
      </c>
      <c r="L17" s="27">
        <v>357.74</v>
      </c>
      <c r="M17" s="27">
        <v>366.5</v>
      </c>
      <c r="N17" s="27">
        <v>283.76</v>
      </c>
      <c r="O17" s="27">
        <v>320.3</v>
      </c>
      <c r="P17" s="27">
        <v>435.63000000000011</v>
      </c>
      <c r="Q17" s="27">
        <v>411.87000000000006</v>
      </c>
      <c r="R17" s="27">
        <v>427.31</v>
      </c>
      <c r="S17" s="27">
        <v>466.16999999999996</v>
      </c>
      <c r="T17" s="27">
        <v>444.76000000000005</v>
      </c>
      <c r="U17" s="27">
        <v>274.32</v>
      </c>
      <c r="V17" s="27">
        <v>341.3</v>
      </c>
      <c r="W17" s="27">
        <v>376.73</v>
      </c>
      <c r="X17" s="27">
        <v>527.56000000000006</v>
      </c>
      <c r="Y17" s="27">
        <v>696.61</v>
      </c>
      <c r="Z17" s="27">
        <v>666.81999999999994</v>
      </c>
      <c r="AA17" s="27">
        <v>747.82</v>
      </c>
      <c r="AB17" s="27">
        <v>459.43999999999994</v>
      </c>
      <c r="AC17" s="27">
        <v>2017.98</v>
      </c>
      <c r="AD17" s="27">
        <v>665.47</v>
      </c>
      <c r="AE17" s="27">
        <v>226.98</v>
      </c>
      <c r="AF17" s="27">
        <v>233.27</v>
      </c>
      <c r="AG17" s="27">
        <v>248.07</v>
      </c>
      <c r="AH17" s="27">
        <v>94.09</v>
      </c>
      <c r="AI17" s="27">
        <v>198.93</v>
      </c>
      <c r="AJ17" s="27">
        <v>151.97999999999999</v>
      </c>
      <c r="AK17" s="27">
        <v>132.80000000000001</v>
      </c>
      <c r="AL17" s="27">
        <v>148.589</v>
      </c>
      <c r="AM17" s="27">
        <v>42.098999999999997</v>
      </c>
      <c r="AN17" s="27">
        <v>153.876</v>
      </c>
      <c r="AO17" s="27">
        <f>11.39+99</f>
        <v>110.39</v>
      </c>
      <c r="AP17" s="27">
        <v>38.61356</v>
      </c>
      <c r="AQ17" s="27">
        <v>95.043999999999997</v>
      </c>
      <c r="AR17" s="27">
        <v>80.539000000000001</v>
      </c>
      <c r="AS17" s="27">
        <v>161.74200000000002</v>
      </c>
      <c r="AT17" s="27">
        <v>194.465</v>
      </c>
      <c r="AU17" s="27">
        <f>0.025+228.389</f>
        <v>228.41400000000002</v>
      </c>
      <c r="AV17" s="27">
        <v>176.58600000000001</v>
      </c>
    </row>
    <row r="18" spans="1:48" s="23" customFormat="1" ht="15.75" x14ac:dyDescent="0.25">
      <c r="A18" s="28"/>
      <c r="B18" s="28" t="s">
        <v>47</v>
      </c>
      <c r="C18" s="29">
        <v>4618.0800000000008</v>
      </c>
      <c r="D18" s="29">
        <v>5113.3200000000006</v>
      </c>
      <c r="E18" s="29">
        <v>3645.57</v>
      </c>
      <c r="F18" s="29">
        <v>4212.4599999999991</v>
      </c>
      <c r="G18" s="29">
        <v>5677.7599999999993</v>
      </c>
      <c r="H18" s="29">
        <v>5968.18</v>
      </c>
      <c r="I18" s="29">
        <v>5600.86</v>
      </c>
      <c r="J18" s="29">
        <v>4343.2</v>
      </c>
      <c r="K18" s="29">
        <v>5171.8</v>
      </c>
      <c r="L18" s="29">
        <v>6400.56</v>
      </c>
      <c r="M18" s="29">
        <v>7386.38</v>
      </c>
      <c r="N18" s="29">
        <v>9902</v>
      </c>
      <c r="O18" s="29">
        <v>7342.48</v>
      </c>
      <c r="P18" s="29">
        <v>7236.159999999998</v>
      </c>
      <c r="Q18" s="29">
        <v>5439.0599999999995</v>
      </c>
      <c r="R18" s="29">
        <v>6474.9900000000007</v>
      </c>
      <c r="S18" s="29">
        <v>7122.71</v>
      </c>
      <c r="T18" s="29">
        <v>6361.7600000000011</v>
      </c>
      <c r="U18" s="29">
        <v>4997.4599999999991</v>
      </c>
      <c r="V18" s="29">
        <v>5549.0700000000006</v>
      </c>
      <c r="W18" s="29">
        <v>3972.7799999999997</v>
      </c>
      <c r="X18" s="29">
        <v>4219.55</v>
      </c>
      <c r="Y18" s="29">
        <v>3594.48</v>
      </c>
      <c r="Z18" s="29">
        <v>4796.2</v>
      </c>
      <c r="AA18" s="29">
        <v>3971.28</v>
      </c>
      <c r="AB18" s="29">
        <v>4695.4099999999989</v>
      </c>
      <c r="AC18" s="29">
        <v>5779.7000000000007</v>
      </c>
      <c r="AD18" s="29">
        <f>SUM(AD7:AD17)</f>
        <v>5338.52</v>
      </c>
      <c r="AE18" s="29">
        <f>SUM(AE7:AE17)</f>
        <v>3337.7</v>
      </c>
      <c r="AF18" s="29">
        <f>SUM(AF7:AF17)</f>
        <v>4393.1100000000006</v>
      </c>
      <c r="AG18" s="29">
        <f>SUM(AG7:AG17)</f>
        <v>4214.1899999999996</v>
      </c>
      <c r="AH18" s="29">
        <f>SUM(AH7:AH17)</f>
        <v>4078.78</v>
      </c>
      <c r="AI18" s="29">
        <v>4284.57</v>
      </c>
      <c r="AJ18" s="29">
        <v>4175.6000000000004</v>
      </c>
      <c r="AK18" s="29">
        <v>4067.4700000000003</v>
      </c>
      <c r="AL18" s="29">
        <v>2848.855</v>
      </c>
      <c r="AM18" s="29">
        <f>SUM(AM7:AM17)</f>
        <v>3587.1280000000002</v>
      </c>
      <c r="AN18" s="29">
        <f>SUM(AN7:AN17)</f>
        <v>4615.139000000001</v>
      </c>
      <c r="AO18" s="29">
        <f>SUM(AO7:AO17)</f>
        <v>3654.5465899999999</v>
      </c>
      <c r="AP18" s="29">
        <f>SUM(AP7:AP17)</f>
        <v>3620.3797399999999</v>
      </c>
      <c r="AQ18" s="29">
        <v>2806.2037099999998</v>
      </c>
      <c r="AR18" s="29">
        <f>SUM(AR7:AR17)</f>
        <v>2420.5240000000003</v>
      </c>
      <c r="AS18" s="29">
        <v>3132.6550000000007</v>
      </c>
      <c r="AT18" s="29">
        <f>SUM(AT7:AT17)</f>
        <v>4594.5264500000003</v>
      </c>
      <c r="AU18" s="29">
        <f>SUM(AU7:AU17)</f>
        <v>4163.7174500000001</v>
      </c>
      <c r="AV18" s="29">
        <f>SUM(AV7:AV17)-500</f>
        <v>3997.246000000001</v>
      </c>
    </row>
    <row r="19" spans="1:48" s="23" customFormat="1" ht="15" x14ac:dyDescent="0.25">
      <c r="A19" s="26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pans="1:48" s="23" customFormat="1" ht="15" x14ac:dyDescent="0.25">
      <c r="A20" s="24"/>
      <c r="B20" s="24" t="s">
        <v>10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</row>
    <row r="21" spans="1:48" s="23" customFormat="1" ht="15" x14ac:dyDescent="0.25">
      <c r="A21" s="26"/>
      <c r="B21" s="26" t="s">
        <v>48</v>
      </c>
      <c r="C21" s="27">
        <v>289.76</v>
      </c>
      <c r="D21" s="27">
        <v>289.71000000000004</v>
      </c>
      <c r="E21" s="27">
        <v>248.98000000000002</v>
      </c>
      <c r="F21" s="27">
        <v>208.73000000000002</v>
      </c>
      <c r="G21" s="27">
        <v>208.73000000000002</v>
      </c>
      <c r="H21" s="27">
        <v>208.73000000000002</v>
      </c>
      <c r="I21" s="27">
        <v>188.73</v>
      </c>
      <c r="J21" s="27">
        <v>123.73</v>
      </c>
      <c r="K21" s="27">
        <v>123.68</v>
      </c>
      <c r="L21" s="27">
        <v>163.66</v>
      </c>
      <c r="M21" s="27">
        <v>143.66</v>
      </c>
      <c r="N21" s="27">
        <v>71.66</v>
      </c>
      <c r="O21" s="27">
        <v>280.34000000000003</v>
      </c>
      <c r="P21" s="27">
        <v>148.26</v>
      </c>
      <c r="Q21" s="27">
        <v>136.32999999999998</v>
      </c>
      <c r="R21" s="27">
        <v>64.33</v>
      </c>
      <c r="S21" s="27">
        <v>276.79999999999995</v>
      </c>
      <c r="T21" s="27">
        <v>212.79999999999998</v>
      </c>
      <c r="U21" s="27">
        <v>212.77999999999997</v>
      </c>
      <c r="V21" s="27">
        <v>188.77999999999997</v>
      </c>
      <c r="W21" s="27">
        <v>188.77999999999997</v>
      </c>
      <c r="X21" s="27">
        <v>103.13</v>
      </c>
      <c r="Y21" s="27">
        <v>57.13</v>
      </c>
      <c r="Z21" s="27">
        <v>57.13</v>
      </c>
      <c r="AA21" s="27">
        <v>57.13</v>
      </c>
      <c r="AB21" s="27">
        <v>57.13</v>
      </c>
      <c r="AC21" s="27">
        <v>57.13</v>
      </c>
      <c r="AD21" s="27">
        <v>57.13</v>
      </c>
      <c r="AE21" s="27">
        <v>57.13</v>
      </c>
      <c r="AF21" s="27">
        <v>49.85</v>
      </c>
      <c r="AG21" s="27">
        <v>109.39999999999999</v>
      </c>
      <c r="AH21" s="27">
        <v>64.349999999999994</v>
      </c>
      <c r="AI21" s="27">
        <v>4.1500000000000004</v>
      </c>
      <c r="AJ21" s="27">
        <v>4.1500000000000004</v>
      </c>
      <c r="AK21" s="27">
        <v>94.15</v>
      </c>
      <c r="AL21" s="27">
        <v>30.15</v>
      </c>
      <c r="AM21" s="27">
        <v>19.55</v>
      </c>
      <c r="AN21" s="27">
        <v>121.68600000000001</v>
      </c>
      <c r="AO21" s="27">
        <v>81.661000000000001</v>
      </c>
      <c r="AP21" s="27">
        <v>75.661000000000001</v>
      </c>
      <c r="AQ21" s="27">
        <v>94.825000000000003</v>
      </c>
      <c r="AR21" s="27">
        <v>24.074999999999999</v>
      </c>
      <c r="AS21" s="27">
        <v>24.05</v>
      </c>
      <c r="AT21" s="27">
        <v>22.85</v>
      </c>
      <c r="AU21" s="27">
        <v>4.8499999999999996</v>
      </c>
      <c r="AV21" s="27">
        <v>73.55</v>
      </c>
    </row>
    <row r="22" spans="1:48" s="23" customFormat="1" ht="15" x14ac:dyDescent="0.25">
      <c r="A22" s="26"/>
      <c r="B22" s="26" t="s">
        <v>49</v>
      </c>
      <c r="C22" s="27">
        <v>93.47</v>
      </c>
      <c r="D22" s="27">
        <v>198.2</v>
      </c>
      <c r="E22" s="27">
        <v>42.34</v>
      </c>
      <c r="F22" s="27">
        <v>524.39</v>
      </c>
      <c r="G22" s="27">
        <v>147.91999999999999</v>
      </c>
      <c r="H22" s="27">
        <v>9.8000000000000007</v>
      </c>
      <c r="I22" s="27">
        <v>175.74</v>
      </c>
      <c r="J22" s="27">
        <v>190.54</v>
      </c>
      <c r="K22" s="27">
        <v>1.28</v>
      </c>
      <c r="L22" s="27">
        <v>0</v>
      </c>
      <c r="M22" s="27">
        <v>0</v>
      </c>
      <c r="N22" s="27">
        <v>155.55000000000001</v>
      </c>
      <c r="O22" s="27">
        <v>180.72</v>
      </c>
      <c r="P22" s="27">
        <v>23.16</v>
      </c>
      <c r="Q22" s="27">
        <v>435.24</v>
      </c>
      <c r="R22" s="27">
        <v>237.44</v>
      </c>
      <c r="S22" s="27">
        <v>80.34</v>
      </c>
      <c r="T22" s="27">
        <v>80.34</v>
      </c>
      <c r="U22" s="27">
        <v>80.34</v>
      </c>
      <c r="V22" s="27">
        <v>80.34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/>
      <c r="AU22" s="27">
        <v>0</v>
      </c>
      <c r="AV22" s="27">
        <v>0</v>
      </c>
    </row>
    <row r="23" spans="1:48" s="23" customFormat="1" ht="15" x14ac:dyDescent="0.25">
      <c r="A23" s="26"/>
      <c r="B23" s="26" t="s">
        <v>50</v>
      </c>
      <c r="C23" s="27">
        <v>226.68000000000004</v>
      </c>
      <c r="D23" s="27">
        <v>45.569999999999993</v>
      </c>
      <c r="E23" s="27">
        <v>86.39</v>
      </c>
      <c r="F23" s="27">
        <v>121.44</v>
      </c>
      <c r="G23" s="27">
        <v>46.48</v>
      </c>
      <c r="H23" s="27">
        <v>49.28</v>
      </c>
      <c r="I23" s="27">
        <v>33.03</v>
      </c>
      <c r="J23" s="27">
        <v>36.14</v>
      </c>
      <c r="K23" s="27">
        <v>58.54</v>
      </c>
      <c r="L23" s="27">
        <v>145.13</v>
      </c>
      <c r="M23" s="27">
        <v>204.43999999999997</v>
      </c>
      <c r="N23" s="27">
        <v>21.2</v>
      </c>
      <c r="O23" s="27">
        <v>24.660000000000004</v>
      </c>
      <c r="P23" s="27">
        <v>29.240000000000002</v>
      </c>
      <c r="Q23" s="27">
        <v>13.66</v>
      </c>
      <c r="R23" s="27">
        <v>77.539999999999992</v>
      </c>
      <c r="S23" s="27">
        <v>77.179999999999993</v>
      </c>
      <c r="T23" s="27">
        <v>118.92</v>
      </c>
      <c r="U23" s="27">
        <v>19.57</v>
      </c>
      <c r="V23" s="27">
        <v>181.58</v>
      </c>
      <c r="W23" s="27">
        <v>91.6</v>
      </c>
      <c r="X23" s="27">
        <v>10.1</v>
      </c>
      <c r="Y23" s="27">
        <v>26.96</v>
      </c>
      <c r="Z23" s="27">
        <v>0</v>
      </c>
      <c r="AA23" s="27">
        <v>0</v>
      </c>
      <c r="AB23" s="27">
        <v>170.55</v>
      </c>
      <c r="AC23" s="27">
        <v>153.13</v>
      </c>
      <c r="AD23" s="27">
        <v>75.14</v>
      </c>
      <c r="AE23" s="27">
        <v>67.430000000000007</v>
      </c>
      <c r="AF23" s="27">
        <v>173.06</v>
      </c>
      <c r="AG23" s="27">
        <v>165.46</v>
      </c>
      <c r="AH23" s="27">
        <v>28.39</v>
      </c>
      <c r="AI23" s="27">
        <v>28.389999999999997</v>
      </c>
      <c r="AJ23" s="27">
        <v>104.52</v>
      </c>
      <c r="AK23" s="27">
        <v>85.35</v>
      </c>
      <c r="AL23" s="27">
        <v>68.552000000000007</v>
      </c>
      <c r="AM23" s="27">
        <v>102.333</v>
      </c>
      <c r="AN23" s="27">
        <v>45.652999999999999</v>
      </c>
      <c r="AO23" s="27">
        <v>300.75599999999997</v>
      </c>
      <c r="AP23" s="27">
        <v>162.529</v>
      </c>
      <c r="AQ23" s="27">
        <v>56.433</v>
      </c>
      <c r="AR23" s="27">
        <v>134.43299999999999</v>
      </c>
      <c r="AS23" s="27">
        <v>250.30799999999999</v>
      </c>
      <c r="AT23" s="27">
        <v>101.36499999999999</v>
      </c>
      <c r="AU23" s="27">
        <v>115.911</v>
      </c>
      <c r="AV23" s="27">
        <v>81.870999999999995</v>
      </c>
    </row>
    <row r="24" spans="1:48" s="23" customFormat="1" ht="15" x14ac:dyDescent="0.25">
      <c r="A24" s="26"/>
      <c r="B24" s="26" t="s">
        <v>51</v>
      </c>
      <c r="C24" s="27">
        <v>89.3</v>
      </c>
      <c r="D24" s="27">
        <v>8.6999999999999993</v>
      </c>
      <c r="E24" s="27">
        <v>33.669999999999995</v>
      </c>
      <c r="F24" s="27">
        <v>74.569999999999993</v>
      </c>
      <c r="G24" s="27">
        <v>121.5</v>
      </c>
      <c r="H24" s="27">
        <v>97.53</v>
      </c>
      <c r="I24" s="27">
        <v>25.689999999999998</v>
      </c>
      <c r="J24" s="27">
        <v>77.41</v>
      </c>
      <c r="K24" s="27">
        <v>99.009999999999991</v>
      </c>
      <c r="L24" s="27">
        <v>35.07</v>
      </c>
      <c r="M24" s="27">
        <v>40.459999999999994</v>
      </c>
      <c r="N24" s="27">
        <v>44.91</v>
      </c>
      <c r="O24" s="27">
        <v>30.509999999999998</v>
      </c>
      <c r="P24" s="27">
        <v>57.440000000000005</v>
      </c>
      <c r="Q24" s="27">
        <v>59.02</v>
      </c>
      <c r="R24" s="27">
        <v>88.59</v>
      </c>
      <c r="S24" s="27">
        <v>98.66</v>
      </c>
      <c r="T24" s="27">
        <v>76.87</v>
      </c>
      <c r="U24" s="27">
        <v>54.85</v>
      </c>
      <c r="V24" s="27">
        <v>93.160000000000011</v>
      </c>
      <c r="W24" s="27">
        <v>123.08000000000001</v>
      </c>
      <c r="X24" s="27">
        <v>51.08</v>
      </c>
      <c r="Y24" s="27">
        <v>75.98</v>
      </c>
      <c r="Z24" s="27">
        <v>16.759999999999998</v>
      </c>
      <c r="AA24" s="27">
        <v>15.139999999999999</v>
      </c>
      <c r="AB24" s="27">
        <v>38.520000000000003</v>
      </c>
      <c r="AC24" s="27">
        <v>60.410000000000004</v>
      </c>
      <c r="AD24" s="27">
        <v>76.099999999999994</v>
      </c>
      <c r="AE24" s="27">
        <v>76.099999999999994</v>
      </c>
      <c r="AF24" s="27">
        <v>99.160000000000011</v>
      </c>
      <c r="AG24" s="27">
        <v>96.280000000000015</v>
      </c>
      <c r="AH24" s="27">
        <v>135.94999999999999</v>
      </c>
      <c r="AI24" s="27">
        <v>78.350000000000009</v>
      </c>
      <c r="AJ24" s="27">
        <v>86.56</v>
      </c>
      <c r="AK24" s="27">
        <v>28.96</v>
      </c>
      <c r="AL24" s="27">
        <v>28.774999999999999</v>
      </c>
      <c r="AM24" s="27">
        <v>17.100000000000001</v>
      </c>
      <c r="AN24" s="27">
        <v>17.100000000000001</v>
      </c>
      <c r="AO24" s="27">
        <v>32.649000000000001</v>
      </c>
      <c r="AP24" s="27">
        <v>34.871000000000002</v>
      </c>
      <c r="AQ24" s="27">
        <v>34.871000000000002</v>
      </c>
      <c r="AR24" s="27">
        <v>26.940999999999999</v>
      </c>
      <c r="AS24" s="27">
        <v>27.231000000000002</v>
      </c>
      <c r="AT24" s="27">
        <v>17.428999999999998</v>
      </c>
      <c r="AU24" s="27">
        <v>10.62</v>
      </c>
      <c r="AV24" s="27">
        <v>23.25</v>
      </c>
    </row>
    <row r="25" spans="1:48" s="23" customFormat="1" ht="15" x14ac:dyDescent="0.25">
      <c r="A25" s="26"/>
      <c r="B25" s="26" t="s">
        <v>52</v>
      </c>
      <c r="C25" s="27">
        <v>150.78</v>
      </c>
      <c r="D25" s="27">
        <v>12.5</v>
      </c>
      <c r="E25" s="27">
        <v>45.87</v>
      </c>
      <c r="F25" s="27">
        <v>22.42</v>
      </c>
      <c r="G25" s="27">
        <v>29.68</v>
      </c>
      <c r="H25" s="27">
        <v>201.20000000000002</v>
      </c>
      <c r="I25" s="27">
        <v>312.33</v>
      </c>
      <c r="J25" s="27">
        <v>251.39</v>
      </c>
      <c r="K25" s="27">
        <v>84.4</v>
      </c>
      <c r="L25" s="27">
        <v>237.22</v>
      </c>
      <c r="M25" s="27">
        <v>252.5</v>
      </c>
      <c r="N25" s="27">
        <v>300.42</v>
      </c>
      <c r="O25" s="27">
        <v>12.88</v>
      </c>
      <c r="P25" s="27">
        <v>51.61</v>
      </c>
      <c r="Q25" s="27">
        <v>129.69</v>
      </c>
      <c r="R25" s="27">
        <v>22.240000000000002</v>
      </c>
      <c r="S25" s="27">
        <v>221.23000000000002</v>
      </c>
      <c r="T25" s="27">
        <v>6.46</v>
      </c>
      <c r="U25" s="27">
        <v>5.92</v>
      </c>
      <c r="V25" s="27">
        <v>142.49</v>
      </c>
      <c r="W25" s="27">
        <v>171.24999999999997</v>
      </c>
      <c r="X25" s="27">
        <v>82.320000000000007</v>
      </c>
      <c r="Y25" s="27">
        <v>117.35</v>
      </c>
      <c r="Z25" s="27">
        <v>16.8</v>
      </c>
      <c r="AA25" s="27">
        <v>8.52</v>
      </c>
      <c r="AB25" s="27">
        <v>48.86</v>
      </c>
      <c r="AC25" s="27">
        <v>59.92</v>
      </c>
      <c r="AD25" s="27">
        <v>154.06</v>
      </c>
      <c r="AE25" s="27">
        <v>12.41</v>
      </c>
      <c r="AF25" s="27">
        <v>33.78</v>
      </c>
      <c r="AG25" s="27">
        <v>17.7</v>
      </c>
      <c r="AH25" s="27">
        <v>0</v>
      </c>
      <c r="AI25" s="27">
        <v>0</v>
      </c>
      <c r="AJ25" s="27">
        <v>214.31</v>
      </c>
      <c r="AK25" s="27">
        <v>59.74</v>
      </c>
      <c r="AL25" s="27">
        <v>5.04</v>
      </c>
      <c r="AM25" s="27">
        <v>188.745</v>
      </c>
      <c r="AN25" s="27">
        <v>64.265000000000001</v>
      </c>
      <c r="AO25" s="27">
        <v>622.995</v>
      </c>
      <c r="AP25" s="27">
        <v>394.56900000000002</v>
      </c>
      <c r="AQ25" s="27">
        <v>224.66499999999999</v>
      </c>
      <c r="AR25" s="27">
        <v>364.79500000000002</v>
      </c>
      <c r="AS25" s="27">
        <v>353.79899999999998</v>
      </c>
      <c r="AT25" s="27">
        <v>152</v>
      </c>
      <c r="AU25" s="27">
        <v>180.57499999999999</v>
      </c>
      <c r="AV25" s="27">
        <v>216.405</v>
      </c>
    </row>
    <row r="26" spans="1:48" s="23" customFormat="1" ht="15" x14ac:dyDescent="0.25">
      <c r="A26" s="26"/>
      <c r="B26" s="26" t="s">
        <v>53</v>
      </c>
      <c r="C26" s="27">
        <v>279.92</v>
      </c>
      <c r="D26" s="27">
        <v>22.310000000000002</v>
      </c>
      <c r="E26" s="27">
        <v>1.39</v>
      </c>
      <c r="F26" s="27">
        <v>21.16</v>
      </c>
      <c r="G26" s="27">
        <v>46.17</v>
      </c>
      <c r="H26" s="27">
        <v>43.72</v>
      </c>
      <c r="I26" s="27">
        <v>2.98</v>
      </c>
      <c r="J26" s="27">
        <v>26.78</v>
      </c>
      <c r="K26" s="27">
        <v>85.929999999999993</v>
      </c>
      <c r="L26" s="27">
        <v>82.08</v>
      </c>
      <c r="M26" s="27">
        <v>59.06</v>
      </c>
      <c r="N26" s="27">
        <v>1.8599999999999999</v>
      </c>
      <c r="O26" s="27">
        <v>42.94</v>
      </c>
      <c r="P26" s="27">
        <v>87.22</v>
      </c>
      <c r="Q26" s="27">
        <v>19.380000000000003</v>
      </c>
      <c r="R26" s="27">
        <v>22.9</v>
      </c>
      <c r="S26" s="27">
        <v>18.849999999999998</v>
      </c>
      <c r="T26" s="27">
        <v>64.06</v>
      </c>
      <c r="U26" s="27">
        <v>79.38</v>
      </c>
      <c r="V26" s="27">
        <v>58.87</v>
      </c>
      <c r="W26" s="27">
        <v>157.23999999999998</v>
      </c>
      <c r="X26" s="27">
        <v>78.73</v>
      </c>
      <c r="Y26" s="27">
        <v>112.80000000000001</v>
      </c>
      <c r="Z26" s="27">
        <v>154.04999999999998</v>
      </c>
      <c r="AA26" s="27">
        <v>172.67999999999998</v>
      </c>
      <c r="AB26" s="27">
        <v>5.93</v>
      </c>
      <c r="AC26" s="27">
        <v>117.09</v>
      </c>
      <c r="AD26" s="27">
        <v>61.33</v>
      </c>
      <c r="AE26" s="27">
        <v>31.47</v>
      </c>
      <c r="AF26" s="27">
        <v>37.92</v>
      </c>
      <c r="AG26" s="27">
        <v>52.36</v>
      </c>
      <c r="AH26" s="27">
        <v>56.28</v>
      </c>
      <c r="AI26" s="27">
        <v>34.47</v>
      </c>
      <c r="AJ26" s="27">
        <v>59.61</v>
      </c>
      <c r="AK26" s="27">
        <v>106.67</v>
      </c>
      <c r="AL26" s="27">
        <v>139.31</v>
      </c>
      <c r="AM26" s="27">
        <v>260.79000000000002</v>
      </c>
      <c r="AN26" s="27">
        <v>281.55</v>
      </c>
      <c r="AO26" s="27">
        <v>84.242097999999999</v>
      </c>
      <c r="AP26" s="27">
        <v>381.612098</v>
      </c>
      <c r="AQ26" s="27">
        <v>230.54309799999999</v>
      </c>
      <c r="AR26" s="27">
        <v>102.41</v>
      </c>
      <c r="AS26" s="27">
        <v>234.91499999999999</v>
      </c>
      <c r="AT26" s="27">
        <v>279.91699999999997</v>
      </c>
      <c r="AU26" s="27">
        <v>209.38200000000001</v>
      </c>
      <c r="AV26" s="27">
        <v>207.22200000000001</v>
      </c>
    </row>
    <row r="27" spans="1:48" s="23" customFormat="1" ht="15" x14ac:dyDescent="0.25">
      <c r="A27" s="26"/>
      <c r="B27" s="26" t="s">
        <v>54</v>
      </c>
      <c r="C27" s="27">
        <v>138.09</v>
      </c>
      <c r="D27" s="27">
        <v>297.01</v>
      </c>
      <c r="E27" s="27">
        <v>566.74</v>
      </c>
      <c r="F27" s="27">
        <v>324.7</v>
      </c>
      <c r="G27" s="27">
        <v>407.17</v>
      </c>
      <c r="H27" s="27">
        <v>304.97000000000003</v>
      </c>
      <c r="I27" s="27">
        <v>145.29999999999998</v>
      </c>
      <c r="J27" s="27">
        <v>154.1</v>
      </c>
      <c r="K27" s="27">
        <v>121.55000000000001</v>
      </c>
      <c r="L27" s="27">
        <v>283.19</v>
      </c>
      <c r="M27" s="27">
        <v>230.84</v>
      </c>
      <c r="N27" s="27">
        <v>207.26</v>
      </c>
      <c r="O27" s="27">
        <v>256.15999999999997</v>
      </c>
      <c r="P27" s="27">
        <v>298.52999999999997</v>
      </c>
      <c r="Q27" s="27">
        <v>215.79999999999995</v>
      </c>
      <c r="R27" s="27">
        <v>198.54999999999998</v>
      </c>
      <c r="S27" s="27">
        <v>125.94999999999999</v>
      </c>
      <c r="T27" s="27">
        <v>371.06</v>
      </c>
      <c r="U27" s="27">
        <v>525.02</v>
      </c>
      <c r="V27" s="27">
        <v>473.78000000000003</v>
      </c>
      <c r="W27" s="27">
        <v>127.89999999999999</v>
      </c>
      <c r="X27" s="27">
        <v>442.63</v>
      </c>
      <c r="Y27" s="27">
        <v>210.07</v>
      </c>
      <c r="Z27" s="27">
        <v>262.14</v>
      </c>
      <c r="AA27" s="27">
        <v>238.28</v>
      </c>
      <c r="AB27" s="27">
        <v>395.46999999999997</v>
      </c>
      <c r="AC27" s="27">
        <v>172.17</v>
      </c>
      <c r="AD27" s="27">
        <v>229.06</v>
      </c>
      <c r="AE27" s="27">
        <v>153.30000000000001</v>
      </c>
      <c r="AF27" s="27">
        <v>354.12000000000006</v>
      </c>
      <c r="AG27" s="27">
        <v>182.35000000000002</v>
      </c>
      <c r="AH27" s="27">
        <v>229.89000000000001</v>
      </c>
      <c r="AI27" s="27">
        <v>227.35</v>
      </c>
      <c r="AJ27" s="27">
        <v>268.87</v>
      </c>
      <c r="AK27" s="27">
        <v>88.63</v>
      </c>
      <c r="AL27" s="27">
        <v>236.405</v>
      </c>
      <c r="AM27" s="27">
        <v>40.225000000000001</v>
      </c>
      <c r="AN27" s="27">
        <v>185.44</v>
      </c>
      <c r="AO27" s="27">
        <v>131.255</v>
      </c>
      <c r="AP27" s="27">
        <v>288.69499999999999</v>
      </c>
      <c r="AQ27" s="27">
        <v>133.74</v>
      </c>
      <c r="AR27" s="27">
        <v>237.03</v>
      </c>
      <c r="AS27" s="27">
        <v>426.52</v>
      </c>
      <c r="AT27" s="27">
        <v>219.51</v>
      </c>
      <c r="AU27" s="27">
        <v>40.274999999999999</v>
      </c>
      <c r="AV27" s="27">
        <v>145.66999999999999</v>
      </c>
    </row>
    <row r="28" spans="1:48" s="23" customFormat="1" ht="15" x14ac:dyDescent="0.25">
      <c r="A28" s="26"/>
      <c r="B28" s="26" t="s">
        <v>55</v>
      </c>
      <c r="C28" s="27">
        <v>1011.9300000000001</v>
      </c>
      <c r="D28" s="27">
        <v>23.12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/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</row>
    <row r="29" spans="1:48" s="23" customFormat="1" ht="15" x14ac:dyDescent="0.25">
      <c r="A29" s="26"/>
      <c r="B29" s="26" t="s">
        <v>56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>
        <v>0</v>
      </c>
      <c r="AE29" s="27">
        <v>0</v>
      </c>
      <c r="AF29" s="27">
        <v>273.19</v>
      </c>
      <c r="AG29" s="27">
        <v>277.16000000000003</v>
      </c>
      <c r="AH29" s="27">
        <v>112.05</v>
      </c>
      <c r="AI29" s="27">
        <v>73.489999999999995</v>
      </c>
      <c r="AJ29" s="27">
        <v>52.35</v>
      </c>
      <c r="AK29" s="27">
        <v>57.5</v>
      </c>
      <c r="AL29" s="27">
        <v>27.35</v>
      </c>
      <c r="AM29" s="27">
        <v>19.690000000000001</v>
      </c>
      <c r="AN29" s="27">
        <v>39.43</v>
      </c>
      <c r="AO29" s="27">
        <v>6.3150000000000004</v>
      </c>
      <c r="AP29" s="27">
        <v>12.09</v>
      </c>
      <c r="AQ29" s="27">
        <v>68.515000000000001</v>
      </c>
      <c r="AR29" s="27">
        <v>89.14</v>
      </c>
      <c r="AS29" s="27">
        <v>10.24</v>
      </c>
      <c r="AT29" s="27">
        <v>10.24</v>
      </c>
      <c r="AU29" s="27">
        <v>196.215</v>
      </c>
      <c r="AV29" s="27">
        <v>102.75</v>
      </c>
    </row>
    <row r="30" spans="1:48" s="23" customFormat="1" ht="15" x14ac:dyDescent="0.25">
      <c r="A30" s="26"/>
      <c r="B30" s="26" t="s">
        <v>57</v>
      </c>
      <c r="C30" s="27">
        <v>386.66</v>
      </c>
      <c r="D30" s="27">
        <v>50.300000000000004</v>
      </c>
      <c r="E30" s="27">
        <v>119.42</v>
      </c>
      <c r="F30" s="27">
        <v>348.87</v>
      </c>
      <c r="G30" s="27">
        <v>345.3</v>
      </c>
      <c r="H30" s="27">
        <v>277.45999999999998</v>
      </c>
      <c r="I30" s="27">
        <v>214.63000000000002</v>
      </c>
      <c r="J30" s="27">
        <v>194.01</v>
      </c>
      <c r="K30" s="27">
        <v>207.81</v>
      </c>
      <c r="L30" s="27">
        <v>211.58</v>
      </c>
      <c r="M30" s="27">
        <v>218.76</v>
      </c>
      <c r="N30" s="27">
        <v>113.13999999999999</v>
      </c>
      <c r="O30" s="27">
        <v>131.85</v>
      </c>
      <c r="P30" s="27">
        <v>249.45000000000002</v>
      </c>
      <c r="Q30" s="27">
        <v>181.52</v>
      </c>
      <c r="R30" s="27">
        <v>374.98</v>
      </c>
      <c r="S30" s="27">
        <v>557.29</v>
      </c>
      <c r="T30" s="27">
        <v>413.78</v>
      </c>
      <c r="U30" s="27">
        <v>413.41999999999996</v>
      </c>
      <c r="V30" s="27">
        <v>214.57999999999998</v>
      </c>
      <c r="W30" s="27">
        <v>85.22999999999999</v>
      </c>
      <c r="X30" s="27">
        <v>15.03</v>
      </c>
      <c r="Y30" s="27">
        <v>364.27</v>
      </c>
      <c r="Z30" s="27">
        <v>369.91</v>
      </c>
      <c r="AA30" s="27">
        <v>625.22</v>
      </c>
      <c r="AB30" s="27">
        <v>556.46</v>
      </c>
      <c r="AC30" s="27">
        <v>224.17999999999998</v>
      </c>
      <c r="AD30" s="27">
        <v>508.69</v>
      </c>
      <c r="AE30" s="27">
        <v>308.22000000000003</v>
      </c>
      <c r="AF30" s="27">
        <v>286.40000000000003</v>
      </c>
      <c r="AG30" s="27">
        <v>8.65</v>
      </c>
      <c r="AH30" s="27">
        <v>198.62000000000003</v>
      </c>
      <c r="AI30" s="27">
        <v>252.29000000000002</v>
      </c>
      <c r="AJ30" s="27">
        <v>320.07</v>
      </c>
      <c r="AK30" s="27">
        <v>314.93</v>
      </c>
      <c r="AL30" s="27">
        <v>266.07299999999998</v>
      </c>
      <c r="AM30" s="27">
        <v>165.83600000000001</v>
      </c>
      <c r="AN30" s="27">
        <v>165.65600000000001</v>
      </c>
      <c r="AO30" s="27">
        <v>140.196</v>
      </c>
      <c r="AP30" s="27">
        <v>133.114</v>
      </c>
      <c r="AQ30" s="27">
        <v>30.27</v>
      </c>
      <c r="AR30" s="27">
        <v>207.34100000000001</v>
      </c>
      <c r="AS30" s="27">
        <v>275.79399999999998</v>
      </c>
      <c r="AT30" s="27">
        <v>22.495000000000001</v>
      </c>
      <c r="AU30" s="27">
        <v>224.773</v>
      </c>
      <c r="AV30" s="27">
        <v>52.502000000000002</v>
      </c>
    </row>
    <row r="31" spans="1:48" s="23" customFormat="1" ht="15" x14ac:dyDescent="0.25">
      <c r="A31" s="26"/>
      <c r="B31" s="26" t="s">
        <v>58</v>
      </c>
      <c r="C31" s="27">
        <v>303.03000000000003</v>
      </c>
      <c r="D31" s="27">
        <v>317.53000000000003</v>
      </c>
      <c r="E31" s="27">
        <v>239.08</v>
      </c>
      <c r="F31" s="27">
        <v>138.06999999999996</v>
      </c>
      <c r="G31" s="27">
        <v>168.76</v>
      </c>
      <c r="H31" s="27">
        <v>2.17</v>
      </c>
      <c r="I31" s="27">
        <v>341.45</v>
      </c>
      <c r="J31" s="27">
        <v>53.51</v>
      </c>
      <c r="K31" s="27">
        <v>138.74</v>
      </c>
      <c r="L31" s="27">
        <v>395.48000000000008</v>
      </c>
      <c r="M31" s="27">
        <v>329.29</v>
      </c>
      <c r="N31" s="27">
        <v>511.59</v>
      </c>
      <c r="O31" s="27">
        <v>371.69000000000005</v>
      </c>
      <c r="P31" s="27">
        <v>10.119999999999999</v>
      </c>
      <c r="Q31" s="27">
        <v>91.92</v>
      </c>
      <c r="R31" s="27">
        <v>206.88000000000002</v>
      </c>
      <c r="S31" s="27">
        <v>249.98</v>
      </c>
      <c r="T31" s="27">
        <v>61.859999999999992</v>
      </c>
      <c r="U31" s="27">
        <v>193.83000000000004</v>
      </c>
      <c r="V31" s="27">
        <v>61.719999999999992</v>
      </c>
      <c r="W31" s="27">
        <v>10.98</v>
      </c>
      <c r="X31" s="27">
        <v>101.83000000000001</v>
      </c>
      <c r="Y31" s="27">
        <v>484.06000000000006</v>
      </c>
      <c r="Z31" s="27">
        <v>274.10000000000002</v>
      </c>
      <c r="AA31" s="27">
        <v>509.95000000000005</v>
      </c>
      <c r="AB31" s="27">
        <v>269.22000000000003</v>
      </c>
      <c r="AC31" s="27">
        <v>61.6</v>
      </c>
      <c r="AD31" s="27">
        <v>106.57</v>
      </c>
      <c r="AE31" s="27">
        <v>152.52000000000001</v>
      </c>
      <c r="AF31" s="27">
        <v>86.06</v>
      </c>
      <c r="AG31" s="27">
        <v>267.46999999999997</v>
      </c>
      <c r="AH31" s="27">
        <v>38.719999999999992</v>
      </c>
      <c r="AI31" s="27">
        <v>7.54</v>
      </c>
      <c r="AJ31" s="27">
        <v>0</v>
      </c>
      <c r="AK31" s="27">
        <v>29.67</v>
      </c>
      <c r="AL31" s="27">
        <v>211.98500000000001</v>
      </c>
      <c r="AM31" s="27">
        <v>273.99700000000001</v>
      </c>
      <c r="AN31" s="27">
        <v>18.713000000000001</v>
      </c>
      <c r="AO31" s="27">
        <v>37.26</v>
      </c>
      <c r="AP31" s="27">
        <v>104.8</v>
      </c>
      <c r="AQ31" s="27">
        <v>30.22</v>
      </c>
      <c r="AR31" s="27">
        <v>293.529</v>
      </c>
      <c r="AS31" s="27">
        <v>251.57599999999999</v>
      </c>
      <c r="AT31" s="27">
        <v>443.88900000000001</v>
      </c>
      <c r="AU31" s="27">
        <v>20.34</v>
      </c>
      <c r="AV31" s="27">
        <v>18.72</v>
      </c>
    </row>
    <row r="32" spans="1:48" s="23" customFormat="1" ht="15" x14ac:dyDescent="0.25">
      <c r="A32" s="26"/>
      <c r="B32" s="26" t="s">
        <v>59</v>
      </c>
      <c r="C32" s="27">
        <v>324.84000000000003</v>
      </c>
      <c r="D32" s="27">
        <v>126.22</v>
      </c>
      <c r="E32" s="27">
        <v>256.62</v>
      </c>
      <c r="F32" s="27">
        <v>260.36</v>
      </c>
      <c r="G32" s="27">
        <v>283.33</v>
      </c>
      <c r="H32" s="27">
        <v>730.39</v>
      </c>
      <c r="I32" s="27">
        <v>406.22999999999996</v>
      </c>
      <c r="J32" s="27">
        <v>668.27</v>
      </c>
      <c r="K32" s="27">
        <v>267.02</v>
      </c>
      <c r="L32" s="27">
        <v>690.9</v>
      </c>
      <c r="M32" s="27">
        <v>231.43</v>
      </c>
      <c r="N32" s="27">
        <v>296.39999999999998</v>
      </c>
      <c r="O32" s="27">
        <v>482.90000000000003</v>
      </c>
      <c r="P32" s="27">
        <v>279.85000000000002</v>
      </c>
      <c r="Q32" s="27">
        <v>326.98</v>
      </c>
      <c r="R32" s="27">
        <v>452.77000000000004</v>
      </c>
      <c r="S32" s="27">
        <v>317.08999999999997</v>
      </c>
      <c r="T32" s="27">
        <v>511.53999999999996</v>
      </c>
      <c r="U32" s="27">
        <v>515.34</v>
      </c>
      <c r="V32" s="27">
        <v>309.78000000000003</v>
      </c>
      <c r="W32" s="27">
        <v>560.35</v>
      </c>
      <c r="X32" s="27">
        <v>10.930000000000001</v>
      </c>
      <c r="Y32" s="27">
        <v>228.20000000000002</v>
      </c>
      <c r="Z32" s="27">
        <v>345.52000000000004</v>
      </c>
      <c r="AA32" s="27">
        <v>673.91</v>
      </c>
      <c r="AB32" s="27">
        <v>363.78</v>
      </c>
      <c r="AC32" s="27">
        <v>418.60000000000008</v>
      </c>
      <c r="AD32" s="27">
        <v>170.23</v>
      </c>
      <c r="AE32" s="27">
        <v>248.44</v>
      </c>
      <c r="AF32" s="27">
        <v>113.85</v>
      </c>
      <c r="AG32" s="27">
        <v>61.3</v>
      </c>
      <c r="AH32" s="27">
        <v>171.9</v>
      </c>
      <c r="AI32" s="27">
        <v>83.44</v>
      </c>
      <c r="AJ32" s="27">
        <v>40.81</v>
      </c>
      <c r="AK32" s="27">
        <v>23.73</v>
      </c>
      <c r="AL32" s="27">
        <v>36.15</v>
      </c>
      <c r="AM32" s="27">
        <v>131.55000000000001</v>
      </c>
      <c r="AN32" s="27">
        <v>91.174999999999997</v>
      </c>
      <c r="AO32" s="27">
        <v>59.575000000000003</v>
      </c>
      <c r="AP32" s="27">
        <v>23.324999999999999</v>
      </c>
      <c r="AQ32" s="27">
        <v>157.67500000000001</v>
      </c>
      <c r="AR32" s="27">
        <v>141.875</v>
      </c>
      <c r="AS32" s="27">
        <v>175.85</v>
      </c>
      <c r="AT32" s="27">
        <v>186.6</v>
      </c>
      <c r="AU32" s="27">
        <v>39.625</v>
      </c>
      <c r="AV32" s="27">
        <v>91.784999999999997</v>
      </c>
    </row>
    <row r="33" spans="1:49" s="23" customFormat="1" ht="15" x14ac:dyDescent="0.25">
      <c r="A33" s="26"/>
      <c r="B33" s="26" t="s">
        <v>60</v>
      </c>
      <c r="C33" s="27">
        <v>1366.49</v>
      </c>
      <c r="D33" s="27">
        <v>1219.77</v>
      </c>
      <c r="E33" s="27">
        <v>866.17</v>
      </c>
      <c r="F33" s="27">
        <v>586.70000000000005</v>
      </c>
      <c r="G33" s="27">
        <v>382.06</v>
      </c>
      <c r="H33" s="27">
        <v>236.13000000000002</v>
      </c>
      <c r="I33" s="27">
        <v>573.89</v>
      </c>
      <c r="J33" s="27">
        <v>815.87999999999988</v>
      </c>
      <c r="K33" s="27">
        <v>938.75</v>
      </c>
      <c r="L33" s="27">
        <v>320.7</v>
      </c>
      <c r="M33" s="27">
        <v>387.03</v>
      </c>
      <c r="N33" s="27">
        <v>467.38</v>
      </c>
      <c r="O33" s="27">
        <v>854.65</v>
      </c>
      <c r="P33" s="27">
        <v>788.34</v>
      </c>
      <c r="Q33" s="27">
        <v>344.98</v>
      </c>
      <c r="R33" s="27">
        <v>153.82999999999996</v>
      </c>
      <c r="S33" s="27">
        <v>68.89</v>
      </c>
      <c r="T33" s="27">
        <v>35.53</v>
      </c>
      <c r="U33" s="27">
        <v>34.36</v>
      </c>
      <c r="V33" s="27">
        <v>79.299999999999983</v>
      </c>
      <c r="W33" s="27">
        <v>349.77000000000004</v>
      </c>
      <c r="X33" s="27">
        <v>254.07999999999998</v>
      </c>
      <c r="Y33" s="27">
        <v>543.78</v>
      </c>
      <c r="Z33" s="27">
        <v>993.49000000000012</v>
      </c>
      <c r="AA33" s="27">
        <v>968.99</v>
      </c>
      <c r="AB33" s="27">
        <v>141.84</v>
      </c>
      <c r="AC33" s="27">
        <v>258.37</v>
      </c>
      <c r="AD33" s="27">
        <v>407.98</v>
      </c>
      <c r="AE33" s="27">
        <v>494.81</v>
      </c>
      <c r="AF33" s="27">
        <v>190.53</v>
      </c>
      <c r="AG33" s="27">
        <v>7.8199999999999994</v>
      </c>
      <c r="AH33" s="27">
        <v>230.09</v>
      </c>
      <c r="AI33" s="27">
        <v>234.26999999999998</v>
      </c>
      <c r="AJ33" s="27">
        <v>720.2</v>
      </c>
      <c r="AK33" s="27">
        <v>1380.25</v>
      </c>
      <c r="AL33" s="27">
        <v>1269.117</v>
      </c>
      <c r="AM33" s="27">
        <v>1394.962</v>
      </c>
      <c r="AN33" s="27">
        <v>1573.329</v>
      </c>
      <c r="AO33" s="27">
        <v>1684.9490000000001</v>
      </c>
      <c r="AP33" s="27">
        <v>727.84299999999996</v>
      </c>
      <c r="AQ33" s="27">
        <v>306.44299999999998</v>
      </c>
      <c r="AR33" s="27">
        <v>79.942999999999998</v>
      </c>
      <c r="AS33" s="27">
        <v>23.7</v>
      </c>
      <c r="AT33" s="27">
        <v>148.67400000000001</v>
      </c>
      <c r="AU33" s="27">
        <v>430.49</v>
      </c>
      <c r="AV33" s="27">
        <v>808.86900000000003</v>
      </c>
    </row>
    <row r="34" spans="1:49" s="23" customFormat="1" ht="15" x14ac:dyDescent="0.25">
      <c r="A34" s="26"/>
      <c r="B34" s="26" t="s">
        <v>61</v>
      </c>
      <c r="C34" s="27">
        <v>285.38</v>
      </c>
      <c r="D34" s="27">
        <v>545.15</v>
      </c>
      <c r="E34" s="27">
        <v>299.55</v>
      </c>
      <c r="F34" s="27">
        <v>131.35</v>
      </c>
      <c r="G34" s="27">
        <v>0</v>
      </c>
      <c r="H34" s="27">
        <v>0</v>
      </c>
      <c r="I34" s="27">
        <v>28.1</v>
      </c>
      <c r="J34" s="27">
        <v>274.21999999999997</v>
      </c>
      <c r="K34" s="27">
        <v>180.38</v>
      </c>
      <c r="L34" s="27">
        <v>545.06999999999994</v>
      </c>
      <c r="M34" s="27">
        <v>402.34</v>
      </c>
      <c r="N34" s="27">
        <v>360.27</v>
      </c>
      <c r="O34" s="27">
        <v>5.82</v>
      </c>
      <c r="P34" s="27">
        <v>67.099999999999994</v>
      </c>
      <c r="Q34" s="27">
        <v>113.58</v>
      </c>
      <c r="R34" s="27">
        <v>0.01</v>
      </c>
      <c r="S34" s="27">
        <v>0.01</v>
      </c>
      <c r="T34" s="27">
        <v>56.34</v>
      </c>
      <c r="U34" s="27">
        <v>84.240000000000009</v>
      </c>
      <c r="V34" s="27">
        <v>0</v>
      </c>
      <c r="W34" s="27">
        <v>0</v>
      </c>
      <c r="X34" s="27">
        <v>59.57</v>
      </c>
      <c r="Y34" s="27">
        <v>231.74</v>
      </c>
      <c r="Z34" s="27">
        <v>368.03</v>
      </c>
      <c r="AA34" s="27">
        <v>338.69</v>
      </c>
      <c r="AB34" s="27">
        <v>236.74</v>
      </c>
      <c r="AC34" s="27">
        <v>74.069999999999993</v>
      </c>
      <c r="AD34" s="27">
        <v>52.07</v>
      </c>
      <c r="AE34" s="27">
        <v>273.14999999999998</v>
      </c>
      <c r="AF34" s="27">
        <v>38.65</v>
      </c>
      <c r="AG34" s="27">
        <v>5.58</v>
      </c>
      <c r="AH34" s="27">
        <v>1.26</v>
      </c>
      <c r="AI34" s="27">
        <v>1.26</v>
      </c>
      <c r="AJ34" s="27">
        <v>1.26</v>
      </c>
      <c r="AK34" s="27">
        <v>367.79</v>
      </c>
      <c r="AL34" s="27">
        <v>346.54599999999999</v>
      </c>
      <c r="AM34" s="27">
        <v>345.64600000000002</v>
      </c>
      <c r="AN34" s="27">
        <v>534.20000000000005</v>
      </c>
      <c r="AO34" s="27">
        <v>363.63</v>
      </c>
      <c r="AP34" s="27">
        <v>475.137</v>
      </c>
      <c r="AQ34" s="27">
        <v>335.637</v>
      </c>
      <c r="AR34" s="27">
        <v>250.477</v>
      </c>
      <c r="AS34" s="27">
        <v>284.64800000000002</v>
      </c>
      <c r="AT34" s="27">
        <v>3.21</v>
      </c>
      <c r="AU34" s="27">
        <v>2.13</v>
      </c>
      <c r="AV34" s="27"/>
    </row>
    <row r="35" spans="1:49" s="23" customFormat="1" ht="15" x14ac:dyDescent="0.25">
      <c r="A35" s="26"/>
      <c r="B35" s="26" t="s">
        <v>62</v>
      </c>
      <c r="C35" s="27">
        <v>0</v>
      </c>
      <c r="D35" s="27">
        <v>0</v>
      </c>
      <c r="E35" s="27">
        <v>0</v>
      </c>
      <c r="F35" s="27">
        <v>35.17</v>
      </c>
      <c r="G35" s="27">
        <v>0</v>
      </c>
      <c r="H35" s="27">
        <v>4.9400000000000004</v>
      </c>
      <c r="I35" s="27">
        <v>4.9400000000000004</v>
      </c>
      <c r="J35" s="27">
        <v>7.86</v>
      </c>
      <c r="K35" s="27">
        <v>51.85</v>
      </c>
      <c r="L35" s="27">
        <v>11.5</v>
      </c>
      <c r="M35" s="27">
        <v>0.86</v>
      </c>
      <c r="N35" s="27">
        <v>61.05</v>
      </c>
      <c r="O35" s="27">
        <v>40.58</v>
      </c>
      <c r="P35" s="27">
        <v>40.58</v>
      </c>
      <c r="Q35" s="27">
        <v>19.600000000000001</v>
      </c>
      <c r="R35" s="27">
        <v>24.38</v>
      </c>
      <c r="S35" s="27">
        <v>104.34</v>
      </c>
      <c r="T35" s="27">
        <v>26.56</v>
      </c>
      <c r="U35" s="27">
        <v>130.22999999999999</v>
      </c>
      <c r="V35" s="27">
        <v>66.78</v>
      </c>
      <c r="W35" s="27">
        <v>5.59</v>
      </c>
      <c r="X35" s="27">
        <v>3.48</v>
      </c>
      <c r="Y35" s="27">
        <v>42.01</v>
      </c>
      <c r="Z35" s="27">
        <v>70.849999999999994</v>
      </c>
      <c r="AA35" s="27">
        <v>96.2</v>
      </c>
      <c r="AB35" s="27">
        <v>151.57</v>
      </c>
      <c r="AC35" s="27">
        <v>111.76</v>
      </c>
      <c r="AD35" s="27">
        <v>91.58</v>
      </c>
      <c r="AE35" s="27">
        <v>121.69</v>
      </c>
      <c r="AF35" s="27">
        <v>52.6</v>
      </c>
      <c r="AG35" s="27">
        <v>59.81</v>
      </c>
      <c r="AH35" s="27">
        <v>47.64</v>
      </c>
      <c r="AI35" s="27">
        <v>35.96</v>
      </c>
      <c r="AJ35" s="27">
        <v>0</v>
      </c>
      <c r="AK35" s="27">
        <v>121.86</v>
      </c>
      <c r="AL35" s="27">
        <v>265.96100000000001</v>
      </c>
      <c r="AM35" s="27">
        <v>6.26</v>
      </c>
      <c r="AN35" s="27">
        <v>387.54300000000001</v>
      </c>
      <c r="AO35" s="27">
        <v>13.233000000000001</v>
      </c>
      <c r="AP35" s="27">
        <v>9.4120000000000008</v>
      </c>
      <c r="AQ35" s="27">
        <v>17.303000000000001</v>
      </c>
      <c r="AR35" s="27">
        <v>28.965</v>
      </c>
      <c r="AS35" s="27">
        <v>18.175000000000001</v>
      </c>
      <c r="AT35" s="27">
        <v>42.746000000000002</v>
      </c>
      <c r="AU35" s="27">
        <v>119.476</v>
      </c>
      <c r="AV35" s="27">
        <v>114.77</v>
      </c>
    </row>
    <row r="36" spans="1:49" s="23" customFormat="1" ht="15" x14ac:dyDescent="0.25">
      <c r="A36" s="26"/>
      <c r="B36" s="26" t="s">
        <v>63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>
        <v>196.69</v>
      </c>
      <c r="AF36" s="27">
        <v>547.54</v>
      </c>
      <c r="AG36" s="27">
        <v>285.58</v>
      </c>
      <c r="AH36" s="27">
        <v>89.56</v>
      </c>
      <c r="AI36" s="27">
        <v>274.42</v>
      </c>
      <c r="AJ36" s="27">
        <v>12.45</v>
      </c>
      <c r="AK36" s="27">
        <v>109.36</v>
      </c>
      <c r="AL36" s="27">
        <v>174.64599999999999</v>
      </c>
      <c r="AM36" s="27">
        <v>344.10500000000002</v>
      </c>
      <c r="AN36" s="27">
        <v>451.78399999999999</v>
      </c>
      <c r="AO36" s="27">
        <v>258.79300000000001</v>
      </c>
      <c r="AP36" s="27">
        <v>89.927999999999997</v>
      </c>
      <c r="AQ36" s="27">
        <v>27.178000000000001</v>
      </c>
      <c r="AR36" s="27">
        <v>186.28200000000001</v>
      </c>
      <c r="AS36" s="27">
        <v>124.56100000000001</v>
      </c>
      <c r="AT36" s="27">
        <v>392.029</v>
      </c>
      <c r="AU36" s="27">
        <v>56.033999999999999</v>
      </c>
      <c r="AV36" s="27">
        <v>232.93700000000001</v>
      </c>
    </row>
    <row r="37" spans="1:49" s="23" customFormat="1" ht="15" x14ac:dyDescent="0.25">
      <c r="A37" s="26"/>
      <c r="B37" s="26" t="s">
        <v>64</v>
      </c>
      <c r="C37" s="27">
        <v>729.57999999999993</v>
      </c>
      <c r="D37" s="27">
        <v>871.43</v>
      </c>
      <c r="E37" s="27">
        <v>1305.4000000000003</v>
      </c>
      <c r="F37" s="27">
        <v>1914.5499999999997</v>
      </c>
      <c r="G37" s="27">
        <v>1501.22</v>
      </c>
      <c r="H37" s="27">
        <v>1348.32</v>
      </c>
      <c r="I37" s="27">
        <v>930.55000000000007</v>
      </c>
      <c r="J37" s="27">
        <v>537.99</v>
      </c>
      <c r="K37" s="27">
        <v>618.90000000000009</v>
      </c>
      <c r="L37" s="27">
        <v>405.65</v>
      </c>
      <c r="M37" s="27">
        <v>596.48</v>
      </c>
      <c r="N37" s="27">
        <v>536.44000000000005</v>
      </c>
      <c r="O37" s="27">
        <v>459.11</v>
      </c>
      <c r="P37" s="27">
        <v>208.36999999999998</v>
      </c>
      <c r="Q37" s="27">
        <v>1523.3600000000001</v>
      </c>
      <c r="R37" s="27">
        <v>1197.7799999999997</v>
      </c>
      <c r="S37" s="27">
        <v>817.70000000000016</v>
      </c>
      <c r="T37" s="27">
        <v>1183.68</v>
      </c>
      <c r="U37" s="27">
        <v>906.15</v>
      </c>
      <c r="V37" s="27">
        <v>997.85</v>
      </c>
      <c r="W37" s="27">
        <v>643.43000000000006</v>
      </c>
      <c r="X37" s="27">
        <v>959.17</v>
      </c>
      <c r="Y37" s="27">
        <v>804.87999999999988</v>
      </c>
      <c r="Z37" s="27">
        <v>1279.5599999999997</v>
      </c>
      <c r="AA37" s="27">
        <v>1086.4000000000001</v>
      </c>
      <c r="AB37" s="27">
        <v>1246.24</v>
      </c>
      <c r="AC37" s="27">
        <v>794.18999999999971</v>
      </c>
      <c r="AD37" s="27">
        <v>769.07</v>
      </c>
      <c r="AE37" s="27">
        <v>1060.94</v>
      </c>
      <c r="AF37" s="27">
        <v>248.64000000000001</v>
      </c>
      <c r="AG37" s="27">
        <v>605.77</v>
      </c>
      <c r="AH37" s="27">
        <v>549.62</v>
      </c>
      <c r="AI37" s="27">
        <v>86.03</v>
      </c>
      <c r="AJ37" s="27">
        <v>51.68</v>
      </c>
      <c r="AK37" s="27">
        <v>669.46</v>
      </c>
      <c r="AL37" s="27">
        <v>119.52500000000001</v>
      </c>
      <c r="AM37" s="27">
        <v>12.72</v>
      </c>
      <c r="AN37" s="27">
        <v>128.721</v>
      </c>
      <c r="AO37" s="27">
        <f>167.53</f>
        <v>167.53</v>
      </c>
      <c r="AP37" s="27">
        <v>278.57100000000003</v>
      </c>
      <c r="AQ37" s="27">
        <v>410.63</v>
      </c>
      <c r="AR37" s="27">
        <v>319.13099999999997</v>
      </c>
      <c r="AS37" s="27">
        <v>276.35599999999999</v>
      </c>
      <c r="AT37" s="27">
        <v>27.294999999999998</v>
      </c>
      <c r="AU37" s="27">
        <v>318.11199999999997</v>
      </c>
      <c r="AV37" s="27">
        <v>329.57499999999999</v>
      </c>
    </row>
    <row r="38" spans="1:49" s="23" customFormat="1" ht="15.75" x14ac:dyDescent="0.25">
      <c r="A38" s="26"/>
      <c r="B38" s="28" t="s">
        <v>47</v>
      </c>
      <c r="C38" s="29">
        <v>5675.9100000000008</v>
      </c>
      <c r="D38" s="29">
        <v>4027.52</v>
      </c>
      <c r="E38" s="29">
        <v>4111.6200000000008</v>
      </c>
      <c r="F38" s="29">
        <v>4712.4799999999996</v>
      </c>
      <c r="G38" s="29">
        <v>3688.3199999999997</v>
      </c>
      <c r="H38" s="29">
        <v>3514.6400000000003</v>
      </c>
      <c r="I38" s="29">
        <v>3383.59</v>
      </c>
      <c r="J38" s="29">
        <v>3411.83</v>
      </c>
      <c r="K38" s="29">
        <v>2977.84</v>
      </c>
      <c r="L38" s="29">
        <v>3527.23</v>
      </c>
      <c r="M38" s="29">
        <v>3097.15</v>
      </c>
      <c r="N38" s="29">
        <v>3149.13</v>
      </c>
      <c r="O38" s="29">
        <v>3174.8100000000004</v>
      </c>
      <c r="P38" s="29">
        <v>2339.27</v>
      </c>
      <c r="Q38" s="29">
        <v>3611.06</v>
      </c>
      <c r="R38" s="29">
        <v>3122.22</v>
      </c>
      <c r="S38" s="29">
        <v>3014.3100000000004</v>
      </c>
      <c r="T38" s="29">
        <v>3219.7999999999997</v>
      </c>
      <c r="U38" s="29">
        <v>3255.4300000000003</v>
      </c>
      <c r="V38" s="29">
        <v>2949.0099999999998</v>
      </c>
      <c r="W38" s="29">
        <v>2515.1999999999998</v>
      </c>
      <c r="X38" s="29">
        <v>2172.08</v>
      </c>
      <c r="Y38" s="29">
        <v>3299.2300000000005</v>
      </c>
      <c r="Z38" s="29">
        <v>4208.34</v>
      </c>
      <c r="AA38" s="29">
        <v>4791.1099999999997</v>
      </c>
      <c r="AB38" s="29">
        <v>3682.3100000000004</v>
      </c>
      <c r="AC38" s="29">
        <v>2562.6199999999994</v>
      </c>
      <c r="AD38" s="29">
        <f>SUM(AD21:AD37)</f>
        <v>2759.0099999999998</v>
      </c>
      <c r="AE38" s="29">
        <f>SUM(AE21:AE37)</f>
        <v>3254.3</v>
      </c>
      <c r="AF38" s="29">
        <f>SUM(AF21:AF37)</f>
        <v>2585.35</v>
      </c>
      <c r="AG38" s="29">
        <f>SUM(AG21:AG37)</f>
        <v>2202.6899999999996</v>
      </c>
      <c r="AH38" s="29">
        <f>SUM(AH21:AH37)</f>
        <v>1954.3200000000002</v>
      </c>
      <c r="AI38" s="29">
        <v>1421.41</v>
      </c>
      <c r="AJ38" s="29">
        <v>1936.8400000000001</v>
      </c>
      <c r="AK38" s="29">
        <v>3538.05</v>
      </c>
      <c r="AL38" s="29">
        <v>3225.585</v>
      </c>
      <c r="AM38" s="29">
        <v>3323.5090000000005</v>
      </c>
      <c r="AN38" s="29">
        <f t="shared" ref="AN38:AV38" si="0">SUM(AN21:AN37)</f>
        <v>4106.2450000000008</v>
      </c>
      <c r="AO38" s="29">
        <f t="shared" si="0"/>
        <v>3985.0390980000006</v>
      </c>
      <c r="AP38" s="29">
        <f t="shared" si="0"/>
        <v>3192.1570979999997</v>
      </c>
      <c r="AQ38" s="29">
        <f t="shared" si="0"/>
        <v>2158.9480980000003</v>
      </c>
      <c r="AR38" s="29">
        <f t="shared" si="0"/>
        <v>2486.3669999999997</v>
      </c>
      <c r="AS38" s="29">
        <f t="shared" si="0"/>
        <v>2757.723</v>
      </c>
      <c r="AT38" s="29">
        <f t="shared" si="0"/>
        <v>2070.2489999999998</v>
      </c>
      <c r="AU38" s="29">
        <f t="shared" si="0"/>
        <v>1968.8080000000004</v>
      </c>
      <c r="AV38" s="29">
        <f t="shared" si="0"/>
        <v>2499.8759999999997</v>
      </c>
    </row>
    <row r="39" spans="1:49" s="23" customFormat="1" ht="15" x14ac:dyDescent="0.25">
      <c r="A39" s="24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</row>
    <row r="40" spans="1:49" s="23" customFormat="1" ht="15" x14ac:dyDescent="0.25">
      <c r="A40" s="26"/>
      <c r="B40" s="24" t="s">
        <v>11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49" s="23" customFormat="1" ht="15" x14ac:dyDescent="0.25">
      <c r="A41" s="26"/>
      <c r="B41" s="26" t="s">
        <v>65</v>
      </c>
      <c r="C41" s="27">
        <v>0.5</v>
      </c>
      <c r="D41" s="27">
        <v>0.5</v>
      </c>
      <c r="E41" s="27">
        <v>0.5</v>
      </c>
      <c r="F41" s="27">
        <v>7.75</v>
      </c>
      <c r="G41" s="27">
        <v>7.75</v>
      </c>
      <c r="H41" s="27">
        <v>7.75</v>
      </c>
      <c r="I41" s="27">
        <v>7.75</v>
      </c>
      <c r="J41" s="27">
        <v>2.25</v>
      </c>
      <c r="K41" s="27">
        <v>2.25</v>
      </c>
      <c r="L41" s="27">
        <v>2.25</v>
      </c>
      <c r="M41" s="27">
        <v>5</v>
      </c>
      <c r="N41" s="27">
        <v>5</v>
      </c>
      <c r="O41" s="27">
        <v>0.5</v>
      </c>
      <c r="P41" s="27">
        <v>3</v>
      </c>
      <c r="Q41" s="27">
        <v>16</v>
      </c>
      <c r="R41" s="27">
        <v>9.75</v>
      </c>
      <c r="S41" s="27">
        <v>3.75</v>
      </c>
      <c r="T41" s="27">
        <v>11.25</v>
      </c>
      <c r="U41" s="27">
        <v>11</v>
      </c>
      <c r="V41" s="27">
        <v>2.25</v>
      </c>
      <c r="W41" s="27">
        <v>2.25</v>
      </c>
      <c r="X41" s="27">
        <v>0</v>
      </c>
      <c r="Y41" s="27">
        <v>5.5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2</v>
      </c>
      <c r="AG41" s="27">
        <v>0</v>
      </c>
      <c r="AH41" s="27">
        <v>2.25</v>
      </c>
      <c r="AI41" s="27">
        <v>3</v>
      </c>
      <c r="AJ41" s="27">
        <v>6.5</v>
      </c>
      <c r="AK41" s="27">
        <v>3.75</v>
      </c>
      <c r="AL41" s="27">
        <v>7</v>
      </c>
      <c r="AM41" s="27">
        <v>6.25</v>
      </c>
      <c r="AN41" s="27">
        <v>11.25</v>
      </c>
      <c r="AO41" s="27">
        <v>6.25</v>
      </c>
      <c r="AP41" s="27">
        <v>9</v>
      </c>
      <c r="AQ41" s="27">
        <v>8</v>
      </c>
      <c r="AR41" s="27">
        <v>5.5</v>
      </c>
      <c r="AS41" s="27">
        <v>6.25</v>
      </c>
      <c r="AT41" s="27">
        <v>7.5</v>
      </c>
      <c r="AU41" s="27">
        <v>9.5</v>
      </c>
      <c r="AV41" s="27">
        <v>1.25</v>
      </c>
    </row>
    <row r="42" spans="1:49" s="23" customFormat="1" ht="15" x14ac:dyDescent="0.25">
      <c r="A42" s="26"/>
      <c r="B42" s="26" t="s">
        <v>66</v>
      </c>
      <c r="C42" s="27">
        <v>142.26</v>
      </c>
      <c r="D42" s="27">
        <v>132.1</v>
      </c>
      <c r="E42" s="27">
        <v>113.11</v>
      </c>
      <c r="F42" s="27">
        <v>168.73</v>
      </c>
      <c r="G42" s="27">
        <v>147.61000000000001</v>
      </c>
      <c r="H42" s="27">
        <v>159.69</v>
      </c>
      <c r="I42" s="27">
        <v>53.739999999999995</v>
      </c>
      <c r="J42" s="27">
        <v>68.429999999999993</v>
      </c>
      <c r="K42" s="27">
        <v>83.57</v>
      </c>
      <c r="L42" s="27">
        <v>33.28</v>
      </c>
      <c r="M42" s="27">
        <v>42.07</v>
      </c>
      <c r="N42" s="27">
        <v>100.88</v>
      </c>
      <c r="O42" s="27">
        <v>67.09</v>
      </c>
      <c r="P42" s="27">
        <v>99.78</v>
      </c>
      <c r="Q42" s="27">
        <v>104.68</v>
      </c>
      <c r="R42" s="27">
        <v>100.18</v>
      </c>
      <c r="S42" s="27">
        <v>242.02</v>
      </c>
      <c r="T42" s="27">
        <v>100.03</v>
      </c>
      <c r="U42" s="27">
        <v>100.52</v>
      </c>
      <c r="V42" s="27">
        <v>52.36</v>
      </c>
      <c r="W42" s="27">
        <v>10.19</v>
      </c>
      <c r="X42" s="27">
        <v>17.55</v>
      </c>
      <c r="Y42" s="27">
        <v>74.009999999999991</v>
      </c>
      <c r="Z42" s="27">
        <v>37.35</v>
      </c>
      <c r="AA42" s="27">
        <v>43.43</v>
      </c>
      <c r="AB42" s="27">
        <v>27.040000000000003</v>
      </c>
      <c r="AC42" s="27">
        <v>6.36</v>
      </c>
      <c r="AD42" s="27">
        <v>71.81</v>
      </c>
      <c r="AE42" s="27">
        <v>45.92</v>
      </c>
      <c r="AF42" s="27">
        <v>62.62</v>
      </c>
      <c r="AG42" s="27">
        <v>31.71</v>
      </c>
      <c r="AH42" s="27">
        <v>19.43</v>
      </c>
      <c r="AI42" s="27">
        <v>18.96</v>
      </c>
      <c r="AJ42" s="27">
        <v>8.82</v>
      </c>
      <c r="AK42" s="27">
        <v>22.39</v>
      </c>
      <c r="AL42" s="27">
        <v>224.82599999999999</v>
      </c>
      <c r="AM42" s="27">
        <v>191.48099999999999</v>
      </c>
      <c r="AN42" s="27">
        <v>384.91199999999998</v>
      </c>
      <c r="AO42" s="27">
        <v>215.04079999999999</v>
      </c>
      <c r="AP42" s="27">
        <v>256.26779999999997</v>
      </c>
      <c r="AQ42" s="27">
        <v>114.5968</v>
      </c>
      <c r="AR42" s="27">
        <v>11.416</v>
      </c>
      <c r="AS42" s="27">
        <v>431.82400000000001</v>
      </c>
      <c r="AT42" s="27">
        <v>302.13400000000001</v>
      </c>
      <c r="AU42" s="27">
        <v>89.406000000000006</v>
      </c>
      <c r="AV42" s="27">
        <v>148.35900000000001</v>
      </c>
    </row>
    <row r="43" spans="1:49" s="23" customFormat="1" ht="15" x14ac:dyDescent="0.25">
      <c r="A43" s="26"/>
      <c r="B43" s="26" t="s">
        <v>67</v>
      </c>
      <c r="C43" s="27">
        <v>46.75</v>
      </c>
      <c r="D43" s="27">
        <v>4.25</v>
      </c>
      <c r="E43" s="27">
        <v>19</v>
      </c>
      <c r="F43" s="27">
        <v>61.5</v>
      </c>
      <c r="G43" s="27">
        <v>47.5</v>
      </c>
      <c r="H43" s="27">
        <v>59.75</v>
      </c>
      <c r="I43" s="27">
        <v>12</v>
      </c>
      <c r="J43" s="27">
        <v>35.5</v>
      </c>
      <c r="K43" s="27">
        <v>0</v>
      </c>
      <c r="L43" s="27">
        <v>25.25</v>
      </c>
      <c r="M43" s="27">
        <v>23.75</v>
      </c>
      <c r="N43" s="27">
        <v>53</v>
      </c>
      <c r="O43" s="27">
        <v>64.75</v>
      </c>
      <c r="P43" s="27">
        <v>19</v>
      </c>
      <c r="Q43" s="27">
        <v>19.25</v>
      </c>
      <c r="R43" s="27">
        <v>33</v>
      </c>
      <c r="S43" s="27">
        <v>45.75</v>
      </c>
      <c r="T43" s="27">
        <v>24</v>
      </c>
      <c r="U43" s="27">
        <v>49.25</v>
      </c>
      <c r="V43" s="27">
        <v>21.5</v>
      </c>
      <c r="W43" s="27">
        <v>0.25</v>
      </c>
      <c r="X43" s="27">
        <v>25</v>
      </c>
      <c r="Y43" s="27">
        <v>7</v>
      </c>
      <c r="Z43" s="27">
        <v>10</v>
      </c>
      <c r="AA43" s="27">
        <v>9.5</v>
      </c>
      <c r="AB43" s="27">
        <v>43.5</v>
      </c>
      <c r="AC43" s="27">
        <v>0</v>
      </c>
      <c r="AD43" s="27">
        <v>39</v>
      </c>
      <c r="AE43" s="27">
        <v>30</v>
      </c>
      <c r="AF43" s="27">
        <v>34</v>
      </c>
      <c r="AG43" s="27">
        <v>0.5</v>
      </c>
      <c r="AH43" s="27">
        <v>8.25</v>
      </c>
      <c r="AI43" s="27">
        <v>3</v>
      </c>
      <c r="AJ43" s="27">
        <v>20</v>
      </c>
      <c r="AK43" s="27">
        <v>28.75</v>
      </c>
      <c r="AL43" s="27">
        <v>39</v>
      </c>
      <c r="AM43" s="27">
        <v>6.5</v>
      </c>
      <c r="AN43" s="27">
        <v>19.5</v>
      </c>
      <c r="AO43" s="27">
        <v>2.5</v>
      </c>
      <c r="AP43" s="27">
        <v>26.25</v>
      </c>
      <c r="AQ43" s="27">
        <v>4</v>
      </c>
      <c r="AR43" s="27">
        <v>7</v>
      </c>
      <c r="AS43" s="27">
        <v>27.25</v>
      </c>
      <c r="AT43" s="27">
        <v>19</v>
      </c>
      <c r="AU43" s="27">
        <v>0.25</v>
      </c>
      <c r="AV43" s="27">
        <v>11.25</v>
      </c>
    </row>
    <row r="44" spans="1:49" s="23" customFormat="1" ht="15" x14ac:dyDescent="0.25">
      <c r="A44" s="26"/>
      <c r="B44" s="26" t="s">
        <v>68</v>
      </c>
      <c r="C44" s="27">
        <v>20</v>
      </c>
      <c r="D44" s="27">
        <v>1.64</v>
      </c>
      <c r="E44" s="27">
        <v>21.64</v>
      </c>
      <c r="F44" s="27">
        <v>21.64</v>
      </c>
      <c r="G44" s="27">
        <v>41.64</v>
      </c>
      <c r="H44" s="27">
        <v>0</v>
      </c>
      <c r="I44" s="27">
        <v>33.46</v>
      </c>
      <c r="J44" s="27">
        <v>33.46</v>
      </c>
      <c r="K44" s="27">
        <v>53.46</v>
      </c>
      <c r="L44" s="27">
        <v>53.46</v>
      </c>
      <c r="M44" s="27">
        <v>33.46</v>
      </c>
      <c r="N44" s="27">
        <v>13.46</v>
      </c>
      <c r="O44" s="27">
        <v>13.46</v>
      </c>
      <c r="P44" s="27">
        <v>13.46</v>
      </c>
      <c r="Q44" s="27">
        <v>13.46</v>
      </c>
      <c r="R44" s="27">
        <v>0</v>
      </c>
      <c r="S44" s="27">
        <v>0</v>
      </c>
      <c r="T44" s="27">
        <v>0</v>
      </c>
      <c r="U44" s="27">
        <v>1.5</v>
      </c>
      <c r="V44" s="27">
        <v>1.25</v>
      </c>
      <c r="W44" s="27">
        <v>1.25</v>
      </c>
      <c r="X44" s="27">
        <v>1.25</v>
      </c>
      <c r="Y44" s="27">
        <v>1.25</v>
      </c>
      <c r="Z44" s="27">
        <v>1.25</v>
      </c>
      <c r="AA44" s="27">
        <v>1.25</v>
      </c>
      <c r="AB44" s="27">
        <v>3</v>
      </c>
      <c r="AC44" s="27">
        <v>2</v>
      </c>
      <c r="AD44" s="27">
        <v>2</v>
      </c>
      <c r="AE44" s="27">
        <v>2</v>
      </c>
      <c r="AF44" s="27">
        <v>2</v>
      </c>
      <c r="AG44" s="27">
        <v>2</v>
      </c>
      <c r="AH44" s="27">
        <v>1.75</v>
      </c>
      <c r="AI44" s="27">
        <v>1.75</v>
      </c>
      <c r="AJ44" s="27">
        <v>0.75</v>
      </c>
      <c r="AK44" s="27">
        <v>0.25</v>
      </c>
      <c r="AL44" s="27">
        <v>1.25</v>
      </c>
      <c r="AM44" s="27">
        <v>1.55</v>
      </c>
      <c r="AN44" s="27">
        <v>4.55</v>
      </c>
      <c r="AO44" s="27">
        <v>1.55</v>
      </c>
      <c r="AP44" s="27">
        <v>0.55000000000000004</v>
      </c>
      <c r="AQ44" s="27">
        <v>18.55</v>
      </c>
      <c r="AR44" s="27">
        <v>0.55000000000000004</v>
      </c>
      <c r="AS44" s="27">
        <v>0.43</v>
      </c>
      <c r="AT44" s="27">
        <v>0.46</v>
      </c>
      <c r="AU44" s="27">
        <v>0.46</v>
      </c>
      <c r="AV44" s="27">
        <v>0</v>
      </c>
    </row>
    <row r="45" spans="1:49" s="23" customFormat="1" ht="15" x14ac:dyDescent="0.25">
      <c r="A45" s="26"/>
      <c r="B45" s="26" t="s">
        <v>69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>
        <v>75.641999999999996</v>
      </c>
      <c r="Y45" s="27">
        <v>59.761000000000003</v>
      </c>
      <c r="Z45" s="27">
        <v>114.919</v>
      </c>
      <c r="AA45" s="27">
        <v>111.35899999999999</v>
      </c>
      <c r="AB45" s="27">
        <v>128.48400000000001</v>
      </c>
      <c r="AC45" s="27">
        <v>148.476</v>
      </c>
      <c r="AD45" s="27">
        <v>185.29400000000001</v>
      </c>
      <c r="AE45" s="27">
        <v>223.29</v>
      </c>
      <c r="AF45" s="27">
        <v>276.45999999999998</v>
      </c>
      <c r="AG45" s="27">
        <v>321.05</v>
      </c>
      <c r="AH45" s="27">
        <v>390.68</v>
      </c>
      <c r="AI45" s="27">
        <v>434.86</v>
      </c>
      <c r="AJ45" s="27">
        <v>470.96</v>
      </c>
      <c r="AK45" s="27">
        <v>508.65</v>
      </c>
      <c r="AL45" s="27">
        <v>537.51935000000003</v>
      </c>
      <c r="AM45" s="27">
        <v>561.61934999999994</v>
      </c>
      <c r="AN45" s="27">
        <v>623.49234999999999</v>
      </c>
      <c r="AO45" s="27">
        <v>698.10235</v>
      </c>
      <c r="AP45" s="27">
        <v>783.65834999999993</v>
      </c>
      <c r="AQ45" s="27">
        <v>813.09834999999998</v>
      </c>
      <c r="AR45" s="27">
        <v>847.75</v>
      </c>
      <c r="AS45" s="27">
        <v>918.52499999999998</v>
      </c>
      <c r="AT45" s="27">
        <v>951.82299999999998</v>
      </c>
      <c r="AU45" s="27">
        <v>1001.71</v>
      </c>
      <c r="AV45" s="27">
        <v>1061.0029999999999</v>
      </c>
      <c r="AW45" s="375"/>
    </row>
    <row r="46" spans="1:49" s="23" customFormat="1" ht="15.75" x14ac:dyDescent="0.25">
      <c r="A46" s="28"/>
      <c r="B46" s="26" t="s">
        <v>70</v>
      </c>
      <c r="C46" s="27">
        <v>227.32</v>
      </c>
      <c r="D46" s="27">
        <v>292.07</v>
      </c>
      <c r="E46" s="27">
        <v>493.94000000000005</v>
      </c>
      <c r="F46" s="27">
        <v>584.88</v>
      </c>
      <c r="G46" s="27">
        <v>554.16999999999996</v>
      </c>
      <c r="H46" s="27">
        <v>588.23</v>
      </c>
      <c r="I46" s="27">
        <v>170.85000000000002</v>
      </c>
      <c r="J46" s="27">
        <v>98.75</v>
      </c>
      <c r="K46" s="27">
        <v>92.4</v>
      </c>
      <c r="L46" s="27">
        <v>194.60999999999999</v>
      </c>
      <c r="M46" s="27">
        <v>476.68</v>
      </c>
      <c r="N46" s="27">
        <v>767.02</v>
      </c>
      <c r="O46" s="27">
        <v>529.6400000000001</v>
      </c>
      <c r="P46" s="27">
        <v>500.56</v>
      </c>
      <c r="Q46" s="27">
        <v>446.64000000000004</v>
      </c>
      <c r="R46" s="27">
        <v>169.56</v>
      </c>
      <c r="S46" s="27">
        <v>236.01999999999998</v>
      </c>
      <c r="T46" s="27">
        <v>200.75</v>
      </c>
      <c r="U46" s="27">
        <v>276.40000000000003</v>
      </c>
      <c r="V46" s="27">
        <v>208.13</v>
      </c>
      <c r="W46" s="27">
        <v>303.33</v>
      </c>
      <c r="X46" s="27">
        <f>377.57-X45</f>
        <v>301.928</v>
      </c>
      <c r="Y46" s="27">
        <f>171.25-Y45</f>
        <v>111.489</v>
      </c>
      <c r="Z46" s="27">
        <f>368.83-Z45</f>
        <v>253.911</v>
      </c>
      <c r="AA46" s="27">
        <f>228.22-AA45</f>
        <v>116.861</v>
      </c>
      <c r="AB46" s="27">
        <f>239.37-AB45</f>
        <v>110.886</v>
      </c>
      <c r="AC46" s="27">
        <f>308.82-AC45</f>
        <v>160.34399999999999</v>
      </c>
      <c r="AD46" s="27">
        <f>586.71-AD45</f>
        <v>401.41600000000005</v>
      </c>
      <c r="AE46" s="27">
        <v>218.83</v>
      </c>
      <c r="AF46" s="27">
        <v>111.6</v>
      </c>
      <c r="AG46" s="27">
        <v>185.36</v>
      </c>
      <c r="AH46" s="27">
        <v>218.92</v>
      </c>
      <c r="AI46" s="27">
        <v>135.46</v>
      </c>
      <c r="AJ46" s="27">
        <v>87.06</v>
      </c>
      <c r="AK46" s="27">
        <v>201.22</v>
      </c>
      <c r="AL46" s="27">
        <v>0</v>
      </c>
      <c r="AM46" s="27">
        <v>74.709999999999994</v>
      </c>
      <c r="AN46" s="27"/>
      <c r="AO46" s="27">
        <v>0</v>
      </c>
      <c r="AP46" s="27">
        <v>0</v>
      </c>
      <c r="AQ46" s="27"/>
      <c r="AR46" s="27"/>
      <c r="AS46" s="27"/>
      <c r="AT46" s="27"/>
      <c r="AU46" s="27"/>
      <c r="AV46" s="27"/>
    </row>
    <row r="47" spans="1:49" s="23" customFormat="1" ht="15.75" x14ac:dyDescent="0.25">
      <c r="A47" s="26"/>
      <c r="B47" s="28" t="s">
        <v>47</v>
      </c>
      <c r="C47" s="29">
        <v>436.83</v>
      </c>
      <c r="D47" s="29">
        <v>430.55999999999995</v>
      </c>
      <c r="E47" s="29">
        <v>648.19000000000005</v>
      </c>
      <c r="F47" s="29">
        <v>844.5</v>
      </c>
      <c r="G47" s="29">
        <v>798.67</v>
      </c>
      <c r="H47" s="29">
        <v>815.42000000000007</v>
      </c>
      <c r="I47" s="29">
        <v>277.8</v>
      </c>
      <c r="J47" s="29">
        <v>238.39</v>
      </c>
      <c r="K47" s="29">
        <v>231.68</v>
      </c>
      <c r="L47" s="29">
        <v>308.85000000000002</v>
      </c>
      <c r="M47" s="29">
        <v>580.96</v>
      </c>
      <c r="N47" s="29">
        <v>939.36</v>
      </c>
      <c r="O47" s="29">
        <v>675.44</v>
      </c>
      <c r="P47" s="29">
        <v>635.79999999999995</v>
      </c>
      <c r="Q47" s="29">
        <v>600.03000000000009</v>
      </c>
      <c r="R47" s="29">
        <v>312.49</v>
      </c>
      <c r="S47" s="29">
        <v>527.54</v>
      </c>
      <c r="T47" s="29">
        <v>336.03</v>
      </c>
      <c r="U47" s="29">
        <v>438.67</v>
      </c>
      <c r="V47" s="29">
        <v>285.49</v>
      </c>
      <c r="W47" s="29">
        <v>317.27</v>
      </c>
      <c r="X47" s="29">
        <v>421.37</v>
      </c>
      <c r="Y47" s="29">
        <v>259.01</v>
      </c>
      <c r="Z47" s="29">
        <v>417.43</v>
      </c>
      <c r="AA47" s="29">
        <v>282.39999999999998</v>
      </c>
      <c r="AB47" s="29">
        <v>312.91000000000003</v>
      </c>
      <c r="AC47" s="29">
        <v>317.18</v>
      </c>
      <c r="AD47" s="29">
        <f>SUM(AD41:AD46)</f>
        <v>699.5200000000001</v>
      </c>
      <c r="AE47" s="29">
        <f>SUM(AE41:AE46)</f>
        <v>520.04</v>
      </c>
      <c r="AF47" s="29">
        <f>SUM(AF41:AF46)</f>
        <v>488.67999999999995</v>
      </c>
      <c r="AG47" s="29">
        <f>SUM(AG41:AG46)</f>
        <v>540.62</v>
      </c>
      <c r="AH47" s="29">
        <f>SUM(AH41:AH46)</f>
        <v>641.28</v>
      </c>
      <c r="AI47" s="29">
        <v>597.03</v>
      </c>
      <c r="AJ47" s="29">
        <v>594.08999999999992</v>
      </c>
      <c r="AK47" s="29">
        <v>765.01</v>
      </c>
      <c r="AL47" s="29">
        <v>809.59535000000005</v>
      </c>
      <c r="AM47" s="29">
        <f>SUM(AM41:AM46)</f>
        <v>842.11034999999993</v>
      </c>
      <c r="AN47" s="29">
        <f>SUM(AN41:AN46)</f>
        <v>1043.70435</v>
      </c>
      <c r="AO47" s="29">
        <f t="shared" ref="AO47:AR47" si="1">SUM(AO41:AO46)</f>
        <v>923.44315000000006</v>
      </c>
      <c r="AP47" s="29">
        <f t="shared" si="1"/>
        <v>1075.72615</v>
      </c>
      <c r="AQ47" s="29">
        <f t="shared" si="1"/>
        <v>958.24514999999997</v>
      </c>
      <c r="AR47" s="29">
        <f t="shared" si="1"/>
        <v>872.21600000000001</v>
      </c>
      <c r="AS47" s="29">
        <v>1384.279</v>
      </c>
      <c r="AT47" s="354">
        <f t="shared" ref="AT47:AV47" si="2">SUM(AT41:AT46)</f>
        <v>1280.9169999999999</v>
      </c>
      <c r="AU47" s="354">
        <f t="shared" si="2"/>
        <v>1101.326</v>
      </c>
      <c r="AV47" s="354">
        <f t="shared" si="2"/>
        <v>1221.8619999999999</v>
      </c>
    </row>
    <row r="48" spans="1:49" s="23" customFormat="1" ht="15" x14ac:dyDescent="0.25">
      <c r="A48" s="24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</row>
    <row r="49" spans="1:48" s="23" customFormat="1" ht="15" x14ac:dyDescent="0.25">
      <c r="A49" s="26"/>
      <c r="B49" s="24" t="s">
        <v>71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</row>
    <row r="50" spans="1:48" s="23" customFormat="1" ht="15" x14ac:dyDescent="0.25">
      <c r="A50" s="26" t="s">
        <v>72</v>
      </c>
      <c r="B50" s="26" t="s">
        <v>73</v>
      </c>
      <c r="C50" s="27">
        <v>1649.74</v>
      </c>
      <c r="D50" s="27">
        <v>1448.55</v>
      </c>
      <c r="E50" s="27">
        <v>1499.73</v>
      </c>
      <c r="F50" s="27">
        <v>1748.57</v>
      </c>
      <c r="G50" s="27">
        <v>1904.7</v>
      </c>
      <c r="H50" s="27">
        <v>1137.1599999999999</v>
      </c>
      <c r="I50" s="27">
        <v>1396.06</v>
      </c>
      <c r="J50" s="27">
        <v>1374.5999999999997</v>
      </c>
      <c r="K50" s="27">
        <v>1163.3799999999999</v>
      </c>
      <c r="L50" s="27">
        <v>1407.56</v>
      </c>
      <c r="M50" s="27">
        <v>1090.94</v>
      </c>
      <c r="N50" s="27">
        <v>978.33999999999992</v>
      </c>
      <c r="O50" s="27">
        <v>922.64999999999986</v>
      </c>
      <c r="P50" s="27">
        <v>992.18000000000006</v>
      </c>
      <c r="Q50" s="27">
        <v>1129.8400000000001</v>
      </c>
      <c r="R50" s="27">
        <v>1057.68</v>
      </c>
      <c r="S50" s="27">
        <v>1412.47</v>
      </c>
      <c r="T50" s="27">
        <v>1875.78</v>
      </c>
      <c r="U50" s="27">
        <v>1966.89</v>
      </c>
      <c r="V50" s="27">
        <v>2186.04</v>
      </c>
      <c r="W50" s="27">
        <v>2342.2000000000003</v>
      </c>
      <c r="X50" s="27">
        <v>2191.39</v>
      </c>
      <c r="Y50" s="27">
        <v>1945.8</v>
      </c>
      <c r="Z50" s="27">
        <v>2089</v>
      </c>
      <c r="AA50" s="27">
        <v>2660.61</v>
      </c>
      <c r="AB50" s="27">
        <v>2448.4699999999998</v>
      </c>
      <c r="AC50" s="27">
        <v>944.34</v>
      </c>
      <c r="AD50" s="27">
        <v>1178.5999999999999</v>
      </c>
      <c r="AE50" s="27">
        <v>904.5</v>
      </c>
      <c r="AF50" s="27">
        <v>941.73</v>
      </c>
      <c r="AG50" s="27">
        <v>1553.52</v>
      </c>
      <c r="AH50" s="27">
        <v>2151.52</v>
      </c>
      <c r="AI50" s="27">
        <v>1810.9899999999998</v>
      </c>
      <c r="AJ50" s="27">
        <v>1932.85</v>
      </c>
      <c r="AK50" s="27">
        <v>1892.35</v>
      </c>
      <c r="AL50" s="27">
        <v>2086</v>
      </c>
      <c r="AM50" s="27">
        <v>1915.95</v>
      </c>
      <c r="AN50" s="27">
        <v>1592.065615</v>
      </c>
      <c r="AO50" s="27">
        <v>1731.3396149999999</v>
      </c>
      <c r="AP50" s="27">
        <v>1533.0246149999998</v>
      </c>
      <c r="AQ50" s="27">
        <v>1784.4146149999999</v>
      </c>
      <c r="AR50" s="27">
        <v>1368.690615</v>
      </c>
      <c r="AS50" s="27">
        <v>1384.9346149999999</v>
      </c>
      <c r="AT50" s="27">
        <v>1321.912615</v>
      </c>
      <c r="AU50" s="27">
        <v>1366.1936149999999</v>
      </c>
      <c r="AV50" s="27">
        <v>1284.3676150000001</v>
      </c>
    </row>
    <row r="51" spans="1:48" s="23" customFormat="1" ht="15" x14ac:dyDescent="0.25">
      <c r="A51" s="30" t="s">
        <v>72</v>
      </c>
      <c r="B51" s="26" t="s">
        <v>74</v>
      </c>
      <c r="C51" s="27">
        <v>617.52</v>
      </c>
      <c r="D51" s="27">
        <v>676.47</v>
      </c>
      <c r="E51" s="27">
        <v>939.55</v>
      </c>
      <c r="F51" s="27">
        <v>937.79</v>
      </c>
      <c r="G51" s="27">
        <v>937.79</v>
      </c>
      <c r="H51" s="27">
        <v>937.79</v>
      </c>
      <c r="I51" s="27">
        <v>981.79</v>
      </c>
      <c r="J51" s="27">
        <v>1481.03</v>
      </c>
      <c r="K51" s="27">
        <v>1481.03</v>
      </c>
      <c r="L51" s="27">
        <v>1150.6399999999999</v>
      </c>
      <c r="M51" s="27">
        <v>1225.3600000000001</v>
      </c>
      <c r="N51" s="27">
        <v>1095.7199999999998</v>
      </c>
      <c r="O51" s="27">
        <v>1095.7199999999998</v>
      </c>
      <c r="P51" s="27">
        <v>844.08999999999992</v>
      </c>
      <c r="Q51" s="27">
        <v>1049.4299999999998</v>
      </c>
      <c r="R51" s="27">
        <v>839.89999999999986</v>
      </c>
      <c r="S51" s="27">
        <v>634.69000000000005</v>
      </c>
      <c r="T51" s="27">
        <v>634.69000000000005</v>
      </c>
      <c r="U51" s="27">
        <v>821.68999999999994</v>
      </c>
      <c r="V51" s="27">
        <v>759.70999999999992</v>
      </c>
      <c r="W51" s="27">
        <v>918.42000000000007</v>
      </c>
      <c r="X51" s="27">
        <v>918.42000000000007</v>
      </c>
      <c r="Y51" s="27">
        <v>918.42000000000007</v>
      </c>
      <c r="Z51" s="27">
        <v>1053.6099999999999</v>
      </c>
      <c r="AA51" s="27">
        <v>625.64</v>
      </c>
      <c r="AB51" s="27">
        <v>788.38</v>
      </c>
      <c r="AC51" s="27">
        <v>948.72</v>
      </c>
      <c r="AD51" s="27">
        <v>935.42</v>
      </c>
      <c r="AE51" s="27">
        <v>971.22</v>
      </c>
      <c r="AF51" s="27">
        <v>1038.4000000000001</v>
      </c>
      <c r="AG51" s="27">
        <v>817.49</v>
      </c>
      <c r="AH51" s="27">
        <v>817.49</v>
      </c>
      <c r="AI51" s="27">
        <v>817.49</v>
      </c>
      <c r="AJ51" s="27">
        <v>637.6</v>
      </c>
      <c r="AK51" s="27">
        <v>904.47</v>
      </c>
      <c r="AL51" s="27">
        <v>762.654</v>
      </c>
      <c r="AM51" s="27">
        <v>762.654</v>
      </c>
      <c r="AN51" s="27">
        <v>762.654</v>
      </c>
      <c r="AO51" s="27">
        <v>586.20100000000002</v>
      </c>
      <c r="AP51" s="27">
        <v>695.51</v>
      </c>
      <c r="AQ51" s="27">
        <v>695.51</v>
      </c>
      <c r="AR51" s="27">
        <v>1114.52342</v>
      </c>
      <c r="AS51" s="27">
        <v>1135.91542</v>
      </c>
      <c r="AT51" s="27">
        <v>1056.14642</v>
      </c>
      <c r="AU51" s="27">
        <v>965.0954200000001</v>
      </c>
      <c r="AV51" s="27">
        <v>391.74142000000006</v>
      </c>
    </row>
    <row r="52" spans="1:48" s="23" customFormat="1" ht="15" x14ac:dyDescent="0.25">
      <c r="A52" s="26"/>
      <c r="B52" s="31" t="s">
        <v>75</v>
      </c>
      <c r="C52" s="32">
        <v>2267.2600000000002</v>
      </c>
      <c r="D52" s="32">
        <v>2125.02</v>
      </c>
      <c r="E52" s="32">
        <v>2439.2799999999997</v>
      </c>
      <c r="F52" s="32">
        <v>2686.3599999999997</v>
      </c>
      <c r="G52" s="32">
        <v>2842.49</v>
      </c>
      <c r="H52" s="32">
        <v>2074.9499999999998</v>
      </c>
      <c r="I52" s="32">
        <v>2377.85</v>
      </c>
      <c r="J52" s="32">
        <v>2855.6299999999997</v>
      </c>
      <c r="K52" s="32">
        <v>2644.41</v>
      </c>
      <c r="L52" s="32">
        <v>2558.1999999999998</v>
      </c>
      <c r="M52" s="32">
        <v>2316.3000000000002</v>
      </c>
      <c r="N52" s="32">
        <v>2074.0599999999995</v>
      </c>
      <c r="O52" s="32">
        <v>2018.3699999999997</v>
      </c>
      <c r="P52" s="32">
        <v>1836.27</v>
      </c>
      <c r="Q52" s="32">
        <v>2179.27</v>
      </c>
      <c r="R52" s="32">
        <v>1897.58</v>
      </c>
      <c r="S52" s="32">
        <v>2047.16</v>
      </c>
      <c r="T52" s="32">
        <v>2510.4700000000003</v>
      </c>
      <c r="U52" s="32">
        <v>2788.58</v>
      </c>
      <c r="V52" s="32">
        <v>2945.75</v>
      </c>
      <c r="W52" s="32">
        <v>3260.6200000000003</v>
      </c>
      <c r="X52" s="32">
        <v>3109.81</v>
      </c>
      <c r="Y52" s="32">
        <v>2864.2200000000003</v>
      </c>
      <c r="Z52" s="32">
        <v>3142.6099999999997</v>
      </c>
      <c r="AA52" s="32">
        <v>3286.25</v>
      </c>
      <c r="AB52" s="32">
        <v>3236.85</v>
      </c>
      <c r="AC52" s="32">
        <v>1893.06</v>
      </c>
      <c r="AD52" s="32">
        <f>SUM(AD50:AD51)</f>
        <v>2114.02</v>
      </c>
      <c r="AE52" s="32">
        <f>SUM(AE50:AE51)</f>
        <v>1875.72</v>
      </c>
      <c r="AF52" s="32">
        <f>SUM(AF50:AF51)</f>
        <v>1980.13</v>
      </c>
      <c r="AG52" s="32">
        <f>SUM(AG50:AG51)</f>
        <v>2371.0100000000002</v>
      </c>
      <c r="AH52" s="32">
        <f>SUM(AH50:AH51)</f>
        <v>2969.01</v>
      </c>
      <c r="AI52" s="32">
        <v>2628.4799999999996</v>
      </c>
      <c r="AJ52" s="32">
        <v>2570.4499999999998</v>
      </c>
      <c r="AK52" s="32">
        <v>2796.8199999999997</v>
      </c>
      <c r="AL52" s="32">
        <v>2848.3626149999996</v>
      </c>
      <c r="AM52" s="32">
        <f>SUM(AM50:AM51)</f>
        <v>2678.6040000000003</v>
      </c>
      <c r="AN52" s="32">
        <v>2354.719615</v>
      </c>
      <c r="AO52" s="32">
        <f>AO50+AO51</f>
        <v>2317.5406149999999</v>
      </c>
      <c r="AP52" s="32">
        <f>AP50+AP51</f>
        <v>2228.5346149999996</v>
      </c>
      <c r="AQ52" s="32">
        <f>AQ50+AQ51</f>
        <v>2479.9246149999999</v>
      </c>
      <c r="AR52" s="32">
        <f>AR50+AR51</f>
        <v>2483.214035</v>
      </c>
      <c r="AS52" s="32">
        <v>2520.8500349999999</v>
      </c>
      <c r="AT52" s="32">
        <f>SUM(AT50:AT51)</f>
        <v>2378.0590350000002</v>
      </c>
      <c r="AU52" s="32">
        <f>SUM(AU50:AU51)</f>
        <v>2331.2890349999998</v>
      </c>
      <c r="AV52" s="32">
        <f>SUM(AV50:AV51)</f>
        <v>1676.1090350000002</v>
      </c>
    </row>
    <row r="53" spans="1:48" s="23" customFormat="1" ht="15" x14ac:dyDescent="0.25">
      <c r="A53" s="26"/>
      <c r="B53" s="26" t="s">
        <v>76</v>
      </c>
      <c r="C53" s="27">
        <v>0</v>
      </c>
      <c r="D53" s="27">
        <v>0</v>
      </c>
      <c r="E53" s="27">
        <v>399.14</v>
      </c>
      <c r="F53" s="27">
        <v>399.14</v>
      </c>
      <c r="G53" s="27">
        <v>1089.83</v>
      </c>
      <c r="H53" s="27">
        <v>0</v>
      </c>
      <c r="I53" s="27">
        <v>277.55</v>
      </c>
      <c r="J53" s="27">
        <v>357.55</v>
      </c>
      <c r="K53" s="27">
        <v>1.1200000000000001</v>
      </c>
      <c r="L53" s="27">
        <v>118.57</v>
      </c>
      <c r="M53" s="27">
        <v>1281.68</v>
      </c>
      <c r="N53" s="27">
        <v>60</v>
      </c>
      <c r="O53" s="27">
        <v>301.80999999999995</v>
      </c>
      <c r="P53" s="27">
        <v>594.91</v>
      </c>
      <c r="Q53" s="27">
        <v>901.06000000000006</v>
      </c>
      <c r="R53" s="27">
        <v>1265.93</v>
      </c>
      <c r="S53" s="27">
        <v>934.41</v>
      </c>
      <c r="T53" s="27">
        <v>1586.9299999999998</v>
      </c>
      <c r="U53" s="27">
        <v>1296.28</v>
      </c>
      <c r="V53" s="27">
        <v>1388.85</v>
      </c>
      <c r="W53" s="27">
        <v>1352.3300000000002</v>
      </c>
      <c r="X53" s="27">
        <v>1457.33</v>
      </c>
      <c r="Y53" s="27">
        <v>1055.8600000000001</v>
      </c>
      <c r="Z53" s="27">
        <v>1024.48</v>
      </c>
      <c r="AA53" s="27">
        <v>2487.38</v>
      </c>
      <c r="AB53" s="27">
        <v>1943.6200000000001</v>
      </c>
      <c r="AC53" s="27">
        <v>1208.1000000000001</v>
      </c>
      <c r="AD53" s="27">
        <v>1575.55</v>
      </c>
      <c r="AE53" s="27">
        <v>2263.83</v>
      </c>
      <c r="AF53" s="27">
        <v>2871.86</v>
      </c>
      <c r="AG53" s="27">
        <v>1748.44</v>
      </c>
      <c r="AH53" s="27">
        <v>1730.94</v>
      </c>
      <c r="AI53" s="27">
        <v>1148.6300000000001</v>
      </c>
      <c r="AJ53" s="27">
        <v>498.25</v>
      </c>
      <c r="AK53" s="27">
        <v>874.48</v>
      </c>
      <c r="AL53" s="27">
        <v>1022.614</v>
      </c>
      <c r="AM53" s="27">
        <v>136.27699999999999</v>
      </c>
      <c r="AN53" s="27">
        <v>11.823</v>
      </c>
      <c r="AO53" s="27">
        <v>293.78199999999998</v>
      </c>
      <c r="AP53" s="27">
        <v>83.82</v>
      </c>
      <c r="AQ53" s="27">
        <v>0</v>
      </c>
      <c r="AR53" s="27">
        <v>190.99100000000001</v>
      </c>
      <c r="AS53" s="27">
        <v>19.734999999999999</v>
      </c>
      <c r="AT53" s="27">
        <v>239.773</v>
      </c>
      <c r="AU53" s="27">
        <v>174.286</v>
      </c>
      <c r="AV53" s="27">
        <v>764.89700000000005</v>
      </c>
    </row>
    <row r="54" spans="1:48" s="23" customFormat="1" ht="15" x14ac:dyDescent="0.25">
      <c r="A54" s="26"/>
      <c r="B54" s="26" t="s">
        <v>77</v>
      </c>
      <c r="C54" s="27">
        <v>0.1</v>
      </c>
      <c r="D54" s="27">
        <v>0.1</v>
      </c>
      <c r="E54" s="27">
        <v>94.09</v>
      </c>
      <c r="F54" s="27">
        <v>143.91999999999999</v>
      </c>
      <c r="G54" s="27">
        <v>1180.6300000000001</v>
      </c>
      <c r="H54" s="27">
        <v>1538.9</v>
      </c>
      <c r="I54" s="27">
        <v>591.06000000000006</v>
      </c>
      <c r="J54" s="27">
        <v>2513.75</v>
      </c>
      <c r="K54" s="27">
        <v>597.88</v>
      </c>
      <c r="L54" s="27">
        <v>2164.8599999999997</v>
      </c>
      <c r="M54" s="27">
        <v>2591.91</v>
      </c>
      <c r="N54" s="27">
        <v>1891.8999999999999</v>
      </c>
      <c r="O54" s="27">
        <v>1190.04</v>
      </c>
      <c r="P54" s="27">
        <v>1514.88</v>
      </c>
      <c r="Q54" s="27">
        <v>498.42</v>
      </c>
      <c r="R54" s="27">
        <v>55.81</v>
      </c>
      <c r="S54" s="27">
        <v>302.92</v>
      </c>
      <c r="T54" s="27">
        <v>599.87</v>
      </c>
      <c r="U54" s="27">
        <v>1002.5699999999999</v>
      </c>
      <c r="V54" s="27">
        <v>862.81999999999994</v>
      </c>
      <c r="W54" s="27">
        <v>672.06999999999994</v>
      </c>
      <c r="X54" s="27">
        <v>1429.74</v>
      </c>
      <c r="Y54" s="27">
        <v>667.4</v>
      </c>
      <c r="Z54" s="27">
        <v>895.98</v>
      </c>
      <c r="AA54" s="27">
        <v>754.82999999999993</v>
      </c>
      <c r="AB54" s="27">
        <v>522.32000000000005</v>
      </c>
      <c r="AC54" s="27">
        <v>986.19</v>
      </c>
      <c r="AD54" s="27">
        <v>1750.16</v>
      </c>
      <c r="AE54" s="27">
        <v>1098.1300000000001</v>
      </c>
      <c r="AF54" s="27">
        <v>922.51</v>
      </c>
      <c r="AG54" s="27">
        <v>1038.08</v>
      </c>
      <c r="AH54" s="27">
        <v>311.07</v>
      </c>
      <c r="AI54" s="27">
        <v>1295.5</v>
      </c>
      <c r="AJ54" s="27">
        <v>417.38</v>
      </c>
      <c r="AK54" s="27">
        <v>386.11</v>
      </c>
      <c r="AL54" s="27">
        <v>80.106999999999999</v>
      </c>
      <c r="AM54" s="27">
        <v>214.55099999999999</v>
      </c>
      <c r="AN54" s="27">
        <v>42.603999999999999</v>
      </c>
      <c r="AO54" s="27">
        <v>66.655000000000001</v>
      </c>
      <c r="AP54" s="27">
        <v>710.26</v>
      </c>
      <c r="AQ54" s="27">
        <v>216.84</v>
      </c>
      <c r="AR54" s="27">
        <v>405.49599999999998</v>
      </c>
      <c r="AS54" s="27">
        <v>369.959</v>
      </c>
      <c r="AT54" s="27">
        <v>453.11200000000002</v>
      </c>
      <c r="AU54" s="27">
        <v>570.99300000000005</v>
      </c>
      <c r="AV54" s="27">
        <v>286.63799999999998</v>
      </c>
    </row>
    <row r="55" spans="1:48" s="23" customFormat="1" ht="15" x14ac:dyDescent="0.25">
      <c r="A55" s="26"/>
      <c r="B55" s="26" t="s">
        <v>78</v>
      </c>
      <c r="C55" s="27">
        <v>236.7</v>
      </c>
      <c r="D55" s="27">
        <v>0</v>
      </c>
      <c r="E55" s="27">
        <v>138.63</v>
      </c>
      <c r="F55" s="27">
        <v>242.52</v>
      </c>
      <c r="G55" s="27">
        <v>357.69</v>
      </c>
      <c r="H55" s="27">
        <v>587.92999999999995</v>
      </c>
      <c r="I55" s="27">
        <v>1259.07</v>
      </c>
      <c r="J55" s="27">
        <v>2021.58</v>
      </c>
      <c r="K55" s="27">
        <v>1733.45</v>
      </c>
      <c r="L55" s="27">
        <v>3346.11</v>
      </c>
      <c r="M55" s="27">
        <v>3243.34</v>
      </c>
      <c r="N55" s="27">
        <v>2644.32</v>
      </c>
      <c r="O55" s="27">
        <v>2222.16</v>
      </c>
      <c r="P55" s="27">
        <v>2781.38</v>
      </c>
      <c r="Q55" s="27">
        <v>3577.38</v>
      </c>
      <c r="R55" s="27">
        <v>4112.29</v>
      </c>
      <c r="S55" s="27">
        <v>3495.85</v>
      </c>
      <c r="T55" s="27">
        <v>3107.11</v>
      </c>
      <c r="U55" s="27">
        <v>1873.42</v>
      </c>
      <c r="V55" s="27">
        <v>1029.79</v>
      </c>
      <c r="W55" s="27">
        <v>1473.04</v>
      </c>
      <c r="X55" s="27">
        <v>966.76</v>
      </c>
      <c r="Y55" s="27">
        <v>1295.19</v>
      </c>
      <c r="Z55" s="27">
        <v>1463.72</v>
      </c>
      <c r="AA55" s="27">
        <v>955.26</v>
      </c>
      <c r="AB55" s="27">
        <v>1681.79</v>
      </c>
      <c r="AC55" s="27">
        <v>2039.26</v>
      </c>
      <c r="AD55" s="27">
        <v>2424.02</v>
      </c>
      <c r="AE55" s="27">
        <v>2262.73</v>
      </c>
      <c r="AF55" s="27">
        <v>1373.26</v>
      </c>
      <c r="AG55" s="27">
        <v>816.28000000000009</v>
      </c>
      <c r="AH55" s="27">
        <v>1151.1699999999998</v>
      </c>
      <c r="AI55" s="27">
        <v>347.86</v>
      </c>
      <c r="AJ55" s="27">
        <v>947.63</v>
      </c>
      <c r="AK55" s="27">
        <v>618.12</v>
      </c>
      <c r="AL55" s="27">
        <v>637.47299999999996</v>
      </c>
      <c r="AM55" s="27">
        <v>138.18899999999999</v>
      </c>
      <c r="AN55" s="27">
        <v>690.83100000000002</v>
      </c>
      <c r="AO55" s="27">
        <v>1153.693</v>
      </c>
      <c r="AP55" s="27">
        <v>514.27200000000005</v>
      </c>
      <c r="AQ55" s="27">
        <v>191.203</v>
      </c>
      <c r="AR55" s="27">
        <v>291.11399999999998</v>
      </c>
      <c r="AS55" s="27">
        <v>480.87599999999998</v>
      </c>
      <c r="AT55" s="27">
        <v>924.11699999999996</v>
      </c>
      <c r="AU55" s="27">
        <v>760.18899999999996</v>
      </c>
      <c r="AV55" s="27">
        <v>760.23800000000006</v>
      </c>
    </row>
    <row r="56" spans="1:48" s="23" customFormat="1" ht="15" x14ac:dyDescent="0.25">
      <c r="A56" s="26"/>
      <c r="B56" s="26" t="s">
        <v>79</v>
      </c>
      <c r="C56" s="27">
        <v>380.64</v>
      </c>
      <c r="D56" s="27">
        <v>380.64</v>
      </c>
      <c r="E56" s="27">
        <v>2.0799999999999996</v>
      </c>
      <c r="F56" s="27">
        <v>2.0799999999999996</v>
      </c>
      <c r="G56" s="27">
        <v>2.0799999999999996</v>
      </c>
      <c r="H56" s="27">
        <v>2.0799999999999996</v>
      </c>
      <c r="I56" s="27">
        <v>2.0799999999999996</v>
      </c>
      <c r="J56" s="27">
        <v>2.0799999999999996</v>
      </c>
      <c r="K56" s="27">
        <v>2.0799999999999996</v>
      </c>
      <c r="L56" s="27">
        <v>0</v>
      </c>
      <c r="M56" s="27">
        <v>377.12</v>
      </c>
      <c r="N56" s="27">
        <v>10.43</v>
      </c>
      <c r="O56" s="27">
        <v>10.43</v>
      </c>
      <c r="P56" s="27">
        <v>0</v>
      </c>
      <c r="Q56" s="27">
        <v>234.46</v>
      </c>
      <c r="R56" s="27">
        <v>879.57</v>
      </c>
      <c r="S56" s="27">
        <v>0</v>
      </c>
      <c r="T56" s="27">
        <v>0</v>
      </c>
      <c r="U56" s="27">
        <v>1144.3499999999999</v>
      </c>
      <c r="V56" s="27">
        <v>0</v>
      </c>
      <c r="W56" s="27">
        <v>278.77</v>
      </c>
      <c r="X56" s="27">
        <v>441.8</v>
      </c>
      <c r="Y56" s="27">
        <v>936.81</v>
      </c>
      <c r="Z56" s="27">
        <v>641.88</v>
      </c>
      <c r="AA56" s="27">
        <v>328.57</v>
      </c>
      <c r="AB56" s="27">
        <v>1055.28</v>
      </c>
      <c r="AC56" s="27">
        <v>1698.9500000000003</v>
      </c>
      <c r="AD56" s="27">
        <v>787.36</v>
      </c>
      <c r="AE56" s="27">
        <v>36.409999999999997</v>
      </c>
      <c r="AF56" s="27">
        <v>706.19</v>
      </c>
      <c r="AG56" s="27">
        <v>319.95</v>
      </c>
      <c r="AH56" s="27">
        <v>264.78999999999996</v>
      </c>
      <c r="AI56" s="27">
        <v>27.97</v>
      </c>
      <c r="AJ56" s="27">
        <v>27.97</v>
      </c>
      <c r="AK56" s="27">
        <v>27.97</v>
      </c>
      <c r="AL56" s="27">
        <v>27.971</v>
      </c>
      <c r="AM56" s="27">
        <v>206.041</v>
      </c>
      <c r="AN56" s="27">
        <v>0</v>
      </c>
      <c r="AO56" s="27">
        <v>200.018</v>
      </c>
      <c r="AP56" s="27">
        <v>0</v>
      </c>
      <c r="AQ56" s="27">
        <v>0</v>
      </c>
      <c r="AR56" s="27">
        <v>0</v>
      </c>
      <c r="AS56" s="27">
        <v>344.572</v>
      </c>
      <c r="AT56" s="27">
        <v>324.92</v>
      </c>
      <c r="AU56" s="27">
        <v>25.135000000000002</v>
      </c>
      <c r="AV56" s="27">
        <v>876.42899999999997</v>
      </c>
    </row>
    <row r="57" spans="1:48" s="23" customFormat="1" ht="15" x14ac:dyDescent="0.25">
      <c r="A57" s="33"/>
      <c r="B57" s="26" t="s">
        <v>80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0.01</v>
      </c>
      <c r="AL57" s="27">
        <v>0</v>
      </c>
      <c r="AM57" s="27">
        <v>0.1</v>
      </c>
      <c r="AN57" s="27">
        <v>0.1</v>
      </c>
      <c r="AO57" s="27"/>
      <c r="AP57" s="27">
        <v>0.1</v>
      </c>
      <c r="AQ57" s="27">
        <v>0.1</v>
      </c>
      <c r="AR57" s="27">
        <v>0.1</v>
      </c>
      <c r="AS57" s="27">
        <v>0.1</v>
      </c>
      <c r="AT57" s="27">
        <v>0</v>
      </c>
      <c r="AU57" s="27"/>
      <c r="AV57" s="27">
        <v>0</v>
      </c>
    </row>
    <row r="58" spans="1:48" s="23" customFormat="1" ht="15" x14ac:dyDescent="0.25">
      <c r="A58" s="26"/>
      <c r="B58" s="33" t="s">
        <v>81</v>
      </c>
      <c r="C58" s="32">
        <v>617.43999999999994</v>
      </c>
      <c r="D58" s="32">
        <v>380.74</v>
      </c>
      <c r="E58" s="32">
        <v>633.94000000000005</v>
      </c>
      <c r="F58" s="32">
        <v>787.66</v>
      </c>
      <c r="G58" s="32">
        <v>2630.23</v>
      </c>
      <c r="H58" s="32">
        <v>2128.91</v>
      </c>
      <c r="I58" s="32">
        <v>2129.7600000000002</v>
      </c>
      <c r="J58" s="32">
        <v>4894.96</v>
      </c>
      <c r="K58" s="32">
        <v>2334.5299999999997</v>
      </c>
      <c r="L58" s="32">
        <v>5629.54</v>
      </c>
      <c r="M58" s="32">
        <v>7494.05</v>
      </c>
      <c r="N58" s="32">
        <v>4606.6500000000005</v>
      </c>
      <c r="O58" s="32">
        <v>3724.4399999999996</v>
      </c>
      <c r="P58" s="32">
        <v>4891.17</v>
      </c>
      <c r="Q58" s="32">
        <v>5211.3200000000006</v>
      </c>
      <c r="R58" s="32">
        <v>6313.5999999999995</v>
      </c>
      <c r="S58" s="32">
        <v>4733.18</v>
      </c>
      <c r="T58" s="32">
        <v>5293.91</v>
      </c>
      <c r="U58" s="32">
        <v>5316.6200000000008</v>
      </c>
      <c r="V58" s="32">
        <v>3281.46</v>
      </c>
      <c r="W58" s="32">
        <v>3776.21</v>
      </c>
      <c r="X58" s="32">
        <v>4295.63</v>
      </c>
      <c r="Y58" s="32">
        <v>3955.26</v>
      </c>
      <c r="Z58" s="32">
        <v>4026.0600000000004</v>
      </c>
      <c r="AA58" s="32">
        <v>4526.04</v>
      </c>
      <c r="AB58" s="32">
        <v>5203.0099999999993</v>
      </c>
      <c r="AC58" s="32">
        <v>5932.5</v>
      </c>
      <c r="AD58" s="32">
        <f>SUM(AD53:AD57)</f>
        <v>6537.0899999999992</v>
      </c>
      <c r="AE58" s="32">
        <f>SUM(AE53:AE57)</f>
        <v>5661.1</v>
      </c>
      <c r="AF58" s="32">
        <f>SUM(AF53:AF57)</f>
        <v>5873.82</v>
      </c>
      <c r="AG58" s="32">
        <f>SUM(AG53:AG57)</f>
        <v>3922.75</v>
      </c>
      <c r="AH58" s="32">
        <f>SUM(AH53:AH57)</f>
        <v>3457.97</v>
      </c>
      <c r="AI58" s="32">
        <v>2819.96</v>
      </c>
      <c r="AJ58" s="32">
        <v>1891.23</v>
      </c>
      <c r="AK58" s="32">
        <v>1906.69</v>
      </c>
      <c r="AL58" s="32">
        <v>1768.165</v>
      </c>
      <c r="AM58" s="32">
        <v>695.15800000000002</v>
      </c>
      <c r="AN58" s="32">
        <v>745.35800000000006</v>
      </c>
      <c r="AO58" s="32">
        <f>SUM(AO53:AO57)</f>
        <v>1714.1480000000001</v>
      </c>
      <c r="AP58" s="32">
        <v>1308.4519999999998</v>
      </c>
      <c r="AQ58" s="32">
        <v>408.14300000000003</v>
      </c>
      <c r="AR58" s="32">
        <v>887.70099999999991</v>
      </c>
      <c r="AS58" s="32">
        <v>1215.2419999999997</v>
      </c>
      <c r="AT58" s="32">
        <f>SUM(AT53:AT57)</f>
        <v>1941.922</v>
      </c>
      <c r="AU58" s="32">
        <f t="shared" ref="AU58" si="3">SUM(AU53:AU57)</f>
        <v>1530.6029999999998</v>
      </c>
      <c r="AV58" s="32">
        <v>2688.2020000000002</v>
      </c>
    </row>
    <row r="59" spans="1:48" s="23" customFormat="1" ht="15" x14ac:dyDescent="0.25">
      <c r="A59" s="26"/>
      <c r="B59" s="26" t="s">
        <v>82</v>
      </c>
      <c r="C59" s="27">
        <v>0</v>
      </c>
      <c r="D59" s="27">
        <v>0</v>
      </c>
      <c r="E59" s="27">
        <v>0</v>
      </c>
      <c r="F59" s="27">
        <v>17.98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/>
      <c r="AP59" s="27"/>
      <c r="AQ59" s="27">
        <v>0</v>
      </c>
      <c r="AR59" s="27">
        <v>0</v>
      </c>
      <c r="AS59" s="27">
        <v>0</v>
      </c>
      <c r="AT59" s="27"/>
      <c r="AU59" s="27">
        <v>0</v>
      </c>
      <c r="AV59" s="27">
        <v>0</v>
      </c>
    </row>
    <row r="60" spans="1:48" s="23" customFormat="1" ht="15" x14ac:dyDescent="0.25">
      <c r="A60" s="26" t="s">
        <v>72</v>
      </c>
      <c r="B60" s="26" t="s">
        <v>83</v>
      </c>
      <c r="C60" s="27">
        <v>5108.28</v>
      </c>
      <c r="D60" s="27">
        <v>4513.93</v>
      </c>
      <c r="E60" s="27">
        <v>3997.2999999999997</v>
      </c>
      <c r="F60" s="27">
        <v>3239.27</v>
      </c>
      <c r="G60" s="27">
        <v>2996.77</v>
      </c>
      <c r="H60" s="27">
        <v>2583</v>
      </c>
      <c r="I60" s="27">
        <v>1892.8700000000001</v>
      </c>
      <c r="J60" s="27">
        <v>1483.7900000000002</v>
      </c>
      <c r="K60" s="27">
        <v>991.46</v>
      </c>
      <c r="L60" s="27">
        <v>1315.6000000000001</v>
      </c>
      <c r="M60" s="27">
        <v>1326.0900000000001</v>
      </c>
      <c r="N60" s="27">
        <v>1204.78</v>
      </c>
      <c r="O60" s="27">
        <v>1673.63</v>
      </c>
      <c r="P60" s="27">
        <v>2129.36</v>
      </c>
      <c r="Q60" s="27">
        <v>1374.1599999999999</v>
      </c>
      <c r="R60" s="27">
        <v>1712.06</v>
      </c>
      <c r="S60" s="27">
        <v>2151.64</v>
      </c>
      <c r="T60" s="27">
        <v>2236.06</v>
      </c>
      <c r="U60" s="27">
        <v>1481.7</v>
      </c>
      <c r="V60" s="27">
        <v>1582.9099999999999</v>
      </c>
      <c r="W60" s="27">
        <v>1848.44</v>
      </c>
      <c r="X60" s="27">
        <v>1947.89</v>
      </c>
      <c r="Y60" s="27">
        <v>2211.16</v>
      </c>
      <c r="Z60" s="27">
        <v>1791.23</v>
      </c>
      <c r="AA60" s="27">
        <v>2092.36</v>
      </c>
      <c r="AB60" s="27">
        <v>2145.64</v>
      </c>
      <c r="AC60" s="27">
        <v>2279.2400000000002</v>
      </c>
      <c r="AD60" s="27">
        <v>1949.08</v>
      </c>
      <c r="AE60" s="27">
        <v>1962.65</v>
      </c>
      <c r="AF60" s="27">
        <v>942.19</v>
      </c>
      <c r="AG60" s="27">
        <v>564.03</v>
      </c>
      <c r="AH60" s="27">
        <v>643.18000000000006</v>
      </c>
      <c r="AI60" s="27">
        <v>535.55999999999995</v>
      </c>
      <c r="AJ60" s="27">
        <v>960.82</v>
      </c>
      <c r="AK60" s="27">
        <v>1312.93</v>
      </c>
      <c r="AL60" s="27">
        <v>1387.3430000000001</v>
      </c>
      <c r="AM60" s="27">
        <v>1402.519</v>
      </c>
      <c r="AN60" s="27">
        <v>1667.8630000000001</v>
      </c>
      <c r="AO60" s="27">
        <v>1858.5540000000001</v>
      </c>
      <c r="AP60" s="27">
        <v>1631.125</v>
      </c>
      <c r="AQ60" s="27">
        <v>1844.067</v>
      </c>
      <c r="AR60" s="27">
        <v>1126.48</v>
      </c>
      <c r="AS60" s="27">
        <v>1204.569</v>
      </c>
      <c r="AT60" s="27">
        <v>1124.921</v>
      </c>
      <c r="AU60" s="27">
        <v>1327.8489999999999</v>
      </c>
      <c r="AV60" s="27">
        <v>1670.19</v>
      </c>
    </row>
    <row r="61" spans="1:48" s="23" customFormat="1" ht="15" x14ac:dyDescent="0.25">
      <c r="A61" s="26"/>
      <c r="B61" s="26" t="s">
        <v>84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>
        <v>284.67</v>
      </c>
      <c r="AG61" s="27">
        <v>542.36</v>
      </c>
      <c r="AH61" s="27">
        <v>167.71</v>
      </c>
      <c r="AI61" s="27">
        <v>1154.3399999999999</v>
      </c>
      <c r="AJ61" s="27">
        <v>328.89</v>
      </c>
      <c r="AK61" s="27">
        <v>200.24</v>
      </c>
      <c r="AL61" s="27">
        <v>1105.5930000000001</v>
      </c>
      <c r="AM61" s="27">
        <v>754.39599999999996</v>
      </c>
      <c r="AN61" s="27">
        <v>60.975000000000001</v>
      </c>
      <c r="AO61" s="27">
        <v>434.791</v>
      </c>
      <c r="AP61" s="27">
        <v>496.87</v>
      </c>
      <c r="AQ61" s="27">
        <v>586.43799999999999</v>
      </c>
      <c r="AR61" s="27">
        <v>0</v>
      </c>
      <c r="AS61" s="27">
        <v>68.569999999999993</v>
      </c>
      <c r="AT61" s="27">
        <v>546.75699999999995</v>
      </c>
      <c r="AU61" s="27">
        <v>711.32</v>
      </c>
      <c r="AV61" s="27">
        <v>421.17</v>
      </c>
    </row>
    <row r="62" spans="1:48" s="23" customFormat="1" ht="15" x14ac:dyDescent="0.25">
      <c r="A62" s="33"/>
      <c r="B62" s="26" t="s">
        <v>85</v>
      </c>
      <c r="C62" s="27">
        <v>1415.0000000000002</v>
      </c>
      <c r="D62" s="27">
        <v>1735.1100000000004</v>
      </c>
      <c r="E62" s="27">
        <v>1665.4000000000003</v>
      </c>
      <c r="F62" s="27">
        <v>1360.45</v>
      </c>
      <c r="G62" s="27">
        <v>1322.4800000000002</v>
      </c>
      <c r="H62" s="27">
        <v>735.08</v>
      </c>
      <c r="I62" s="27">
        <v>1306.3300000000002</v>
      </c>
      <c r="J62" s="27">
        <v>674.37</v>
      </c>
      <c r="K62" s="27">
        <v>907.5</v>
      </c>
      <c r="L62" s="27">
        <v>1788.8400000000001</v>
      </c>
      <c r="M62" s="27">
        <v>1275.6400000000001</v>
      </c>
      <c r="N62" s="27">
        <v>1274.26</v>
      </c>
      <c r="O62" s="27">
        <v>1482.5300000000002</v>
      </c>
      <c r="P62" s="27">
        <v>2302.12</v>
      </c>
      <c r="Q62" s="27">
        <v>1477.21</v>
      </c>
      <c r="R62" s="27">
        <v>1351.58</v>
      </c>
      <c r="S62" s="27">
        <v>968.56000000000006</v>
      </c>
      <c r="T62" s="27">
        <v>1295.1099999999999</v>
      </c>
      <c r="U62" s="27">
        <v>387.23</v>
      </c>
      <c r="V62" s="27">
        <v>388.39</v>
      </c>
      <c r="W62" s="27">
        <v>259.60000000000002</v>
      </c>
      <c r="X62" s="27">
        <v>1436.91</v>
      </c>
      <c r="Y62" s="27">
        <v>1070.8399999999999</v>
      </c>
      <c r="Z62" s="27">
        <v>158.38</v>
      </c>
      <c r="AA62" s="27">
        <v>267.31</v>
      </c>
      <c r="AB62" s="27">
        <v>1002.4300000000001</v>
      </c>
      <c r="AC62" s="27">
        <v>544.22</v>
      </c>
      <c r="AD62" s="27">
        <v>288.49</v>
      </c>
      <c r="AE62" s="27">
        <v>266.08999999999997</v>
      </c>
      <c r="AF62" s="27">
        <v>26.98</v>
      </c>
      <c r="AG62" s="27">
        <v>141.62</v>
      </c>
      <c r="AH62" s="27">
        <v>150.52000000000001</v>
      </c>
      <c r="AI62" s="27">
        <v>137.66</v>
      </c>
      <c r="AJ62" s="27">
        <v>718.32</v>
      </c>
      <c r="AK62" s="27">
        <v>705.59</v>
      </c>
      <c r="AL62" s="27">
        <v>130.69399999999999</v>
      </c>
      <c r="AM62" s="27">
        <v>952.43200000000002</v>
      </c>
      <c r="AN62" s="27">
        <v>504.07600000000002</v>
      </c>
      <c r="AO62" s="27">
        <v>116.226</v>
      </c>
      <c r="AP62" s="27">
        <v>432.642</v>
      </c>
      <c r="AQ62" s="27">
        <v>298.52199999999999</v>
      </c>
      <c r="AR62" s="360">
        <v>193.52199999999999</v>
      </c>
      <c r="AS62" s="360">
        <v>1071.6189999999999</v>
      </c>
      <c r="AT62" s="360">
        <v>163.964</v>
      </c>
      <c r="AU62" s="27">
        <v>257.62200000000001</v>
      </c>
      <c r="AV62" s="27">
        <v>1284.72</v>
      </c>
    </row>
    <row r="63" spans="1:48" s="23" customFormat="1" ht="15" x14ac:dyDescent="0.25">
      <c r="A63" s="26"/>
      <c r="B63" s="33" t="s">
        <v>86</v>
      </c>
      <c r="C63" s="32">
        <v>6523.28</v>
      </c>
      <c r="D63" s="32">
        <v>6249.0400000000009</v>
      </c>
      <c r="E63" s="32">
        <v>5662.7</v>
      </c>
      <c r="F63" s="32">
        <v>4617.7</v>
      </c>
      <c r="G63" s="32">
        <v>4319.25</v>
      </c>
      <c r="H63" s="32">
        <v>3318.08</v>
      </c>
      <c r="I63" s="32">
        <v>3199.2000000000003</v>
      </c>
      <c r="J63" s="32">
        <v>2158.1600000000003</v>
      </c>
      <c r="K63" s="32">
        <v>1898.96</v>
      </c>
      <c r="L63" s="32">
        <v>3104.4400000000005</v>
      </c>
      <c r="M63" s="32">
        <v>2601.7300000000005</v>
      </c>
      <c r="N63" s="32">
        <v>2479.04</v>
      </c>
      <c r="O63" s="32">
        <v>3156.1600000000003</v>
      </c>
      <c r="P63" s="32">
        <v>4431.4799999999996</v>
      </c>
      <c r="Q63" s="32">
        <v>2851.37</v>
      </c>
      <c r="R63" s="32">
        <v>3063.64</v>
      </c>
      <c r="S63" s="32">
        <v>3120.2</v>
      </c>
      <c r="T63" s="32">
        <v>3531.17</v>
      </c>
      <c r="U63" s="32">
        <v>1868.93</v>
      </c>
      <c r="V63" s="32">
        <v>1971.2999999999997</v>
      </c>
      <c r="W63" s="32">
        <v>2108.04</v>
      </c>
      <c r="X63" s="32">
        <v>3384.8</v>
      </c>
      <c r="Y63" s="32">
        <v>3282</v>
      </c>
      <c r="Z63" s="32">
        <v>1949.6100000000001</v>
      </c>
      <c r="AA63" s="32">
        <v>2359.67</v>
      </c>
      <c r="AB63" s="32">
        <v>3148.0699999999997</v>
      </c>
      <c r="AC63" s="32">
        <v>2823.46</v>
      </c>
      <c r="AD63" s="32">
        <f>SUM(AD59:AD62)</f>
        <v>2237.5699999999997</v>
      </c>
      <c r="AE63" s="32">
        <f>SUM(AE59:AE62)</f>
        <v>2228.7400000000002</v>
      </c>
      <c r="AF63" s="32">
        <f>SUM(AF59:AF62)</f>
        <v>1253.8400000000001</v>
      </c>
      <c r="AG63" s="32">
        <f>SUM(AG59:AG62)</f>
        <v>1248.0099999999998</v>
      </c>
      <c r="AH63" s="32">
        <f>SUM(AH59:AH62)</f>
        <v>961.41000000000008</v>
      </c>
      <c r="AI63" s="32">
        <v>1827.56</v>
      </c>
      <c r="AJ63" s="32">
        <v>2008.0300000000002</v>
      </c>
      <c r="AK63" s="32">
        <v>2218.7600000000002</v>
      </c>
      <c r="AL63" s="32">
        <v>2623.63</v>
      </c>
      <c r="AM63" s="32">
        <v>3109.3469999999998</v>
      </c>
      <c r="AN63" s="29">
        <v>2232.9139999999998</v>
      </c>
      <c r="AO63" s="29">
        <f>AO61+AO60+AO62</f>
        <v>2409.5710000000004</v>
      </c>
      <c r="AP63" s="32">
        <f>SUM(AP60:AP62)</f>
        <v>2560.6369999999997</v>
      </c>
      <c r="AQ63" s="32">
        <v>2729.027</v>
      </c>
      <c r="AR63" s="32">
        <v>1320.002</v>
      </c>
      <c r="AS63" s="32">
        <v>2344.7579999999998</v>
      </c>
      <c r="AT63" s="32">
        <f>SUM(AT60:AT62)</f>
        <v>1835.6419999999998</v>
      </c>
      <c r="AU63" s="32">
        <f>SUM(AU60:AU62)</f>
        <v>2296.7909999999997</v>
      </c>
      <c r="AV63" s="32">
        <f>SUM(AV60:AV62)</f>
        <v>3376.08</v>
      </c>
    </row>
    <row r="64" spans="1:48" s="23" customFormat="1" ht="15" x14ac:dyDescent="0.25">
      <c r="A64" s="26"/>
      <c r="B64" s="26" t="s">
        <v>87</v>
      </c>
      <c r="C64" s="27">
        <v>3636.24</v>
      </c>
      <c r="D64" s="27">
        <v>2583.5100000000002</v>
      </c>
      <c r="E64" s="27">
        <v>800.21</v>
      </c>
      <c r="F64" s="27">
        <v>235.43</v>
      </c>
      <c r="G64" s="27">
        <v>596.79</v>
      </c>
      <c r="H64" s="27">
        <v>880.65000000000009</v>
      </c>
      <c r="I64" s="27">
        <v>1181.9000000000001</v>
      </c>
      <c r="J64" s="27">
        <v>995.65000000000009</v>
      </c>
      <c r="K64" s="27">
        <v>1499.6599999999999</v>
      </c>
      <c r="L64" s="27">
        <v>1168.73</v>
      </c>
      <c r="M64" s="27">
        <v>857.58</v>
      </c>
      <c r="N64" s="27">
        <v>1256.1600000000001</v>
      </c>
      <c r="O64" s="27">
        <v>1578.3400000000001</v>
      </c>
      <c r="P64" s="27">
        <v>1404.3</v>
      </c>
      <c r="Q64" s="27">
        <v>0</v>
      </c>
      <c r="R64" s="27">
        <v>1150.19</v>
      </c>
      <c r="S64" s="27">
        <v>1340.6999999999998</v>
      </c>
      <c r="T64" s="27">
        <v>1219.6599999999999</v>
      </c>
      <c r="U64" s="27">
        <v>1709.03</v>
      </c>
      <c r="V64" s="27">
        <v>1417.3899999999999</v>
      </c>
      <c r="W64" s="27">
        <v>641.06000000000006</v>
      </c>
      <c r="X64" s="27">
        <v>463.22</v>
      </c>
      <c r="Y64" s="27">
        <v>789.7</v>
      </c>
      <c r="Z64" s="27">
        <v>688.06999999999994</v>
      </c>
      <c r="AA64" s="27">
        <v>1366.5399999999997</v>
      </c>
      <c r="AB64" s="27">
        <v>1363.73</v>
      </c>
      <c r="AC64" s="27">
        <v>22.55</v>
      </c>
      <c r="AD64" s="27">
        <v>351.35</v>
      </c>
      <c r="AE64" s="27">
        <v>392.85</v>
      </c>
      <c r="AF64" s="27">
        <v>936.2299999999999</v>
      </c>
      <c r="AG64" s="27">
        <v>1419.17</v>
      </c>
      <c r="AH64" s="27">
        <v>994.35000000000014</v>
      </c>
      <c r="AI64" s="27">
        <v>923.95999999999992</v>
      </c>
      <c r="AJ64" s="27">
        <v>476.25</v>
      </c>
      <c r="AK64" s="27">
        <v>403.65</v>
      </c>
      <c r="AL64" s="27">
        <v>219.9</v>
      </c>
      <c r="AM64" s="27">
        <v>0</v>
      </c>
      <c r="AN64" s="27">
        <v>1550.8035809999999</v>
      </c>
      <c r="AO64" s="27">
        <v>939.875</v>
      </c>
      <c r="AP64" s="27">
        <v>594.971</v>
      </c>
      <c r="AQ64" s="27">
        <v>722.76599999999996</v>
      </c>
      <c r="AR64" s="27">
        <v>800.90300000000002</v>
      </c>
      <c r="AS64" s="27">
        <v>603.79200000000003</v>
      </c>
      <c r="AT64" s="27">
        <v>416.54399999999998</v>
      </c>
      <c r="AU64" s="27">
        <v>370.12599999999998</v>
      </c>
      <c r="AV64" s="27">
        <v>125.42</v>
      </c>
    </row>
    <row r="65" spans="1:48" s="23" customFormat="1" ht="15" x14ac:dyDescent="0.25">
      <c r="A65" s="26"/>
      <c r="B65" s="26" t="s">
        <v>88</v>
      </c>
      <c r="C65" s="27">
        <v>720.62999999999988</v>
      </c>
      <c r="D65" s="27">
        <v>1357.72</v>
      </c>
      <c r="E65" s="27">
        <v>773.41</v>
      </c>
      <c r="F65" s="27">
        <v>815.74999999999989</v>
      </c>
      <c r="G65" s="27">
        <v>1095.04</v>
      </c>
      <c r="H65" s="27">
        <v>968.69</v>
      </c>
      <c r="I65" s="27">
        <v>1012.41</v>
      </c>
      <c r="J65" s="27">
        <v>1227.58</v>
      </c>
      <c r="K65" s="27">
        <v>1359.45</v>
      </c>
      <c r="L65" s="27">
        <v>1088.5</v>
      </c>
      <c r="M65" s="27">
        <v>956.67</v>
      </c>
      <c r="N65" s="27">
        <v>976.36</v>
      </c>
      <c r="O65" s="27">
        <v>1029.6100000000001</v>
      </c>
      <c r="P65" s="27">
        <v>457.71000000000004</v>
      </c>
      <c r="Q65" s="27">
        <v>612.79</v>
      </c>
      <c r="R65" s="27">
        <v>856.94</v>
      </c>
      <c r="S65" s="27">
        <v>1109.44</v>
      </c>
      <c r="T65" s="27">
        <v>928.56</v>
      </c>
      <c r="U65" s="27">
        <v>1874.8100000000002</v>
      </c>
      <c r="V65" s="27">
        <v>1104.9499999999998</v>
      </c>
      <c r="W65" s="27">
        <v>288.15999999999997</v>
      </c>
      <c r="X65" s="27">
        <v>1070.9100000000001</v>
      </c>
      <c r="Y65" s="27">
        <v>740.36</v>
      </c>
      <c r="Z65" s="27">
        <v>950.1099999999999</v>
      </c>
      <c r="AA65" s="27">
        <v>1065.8200000000002</v>
      </c>
      <c r="AB65" s="27">
        <v>695.16</v>
      </c>
      <c r="AC65" s="27">
        <v>175.57999999999998</v>
      </c>
      <c r="AD65" s="27">
        <v>461.18</v>
      </c>
      <c r="AE65" s="27">
        <v>747.93</v>
      </c>
      <c r="AF65" s="27">
        <v>618.72</v>
      </c>
      <c r="AG65" s="27">
        <v>963.76</v>
      </c>
      <c r="AH65" s="27">
        <v>566.74</v>
      </c>
      <c r="AI65" s="27">
        <v>703.45</v>
      </c>
      <c r="AJ65" s="27">
        <v>398.84</v>
      </c>
      <c r="AK65" s="27">
        <v>462.02</v>
      </c>
      <c r="AL65" s="27">
        <v>796.92200000000003</v>
      </c>
      <c r="AM65" s="27">
        <v>497.85199999999998</v>
      </c>
      <c r="AN65" s="27">
        <v>1278.3858390000003</v>
      </c>
      <c r="AO65" s="27">
        <v>688.54499999999996</v>
      </c>
      <c r="AP65" s="27">
        <v>414.55</v>
      </c>
      <c r="AQ65" s="27">
        <v>916.03</v>
      </c>
      <c r="AR65" s="27">
        <v>900.73099999999999</v>
      </c>
      <c r="AS65" s="27">
        <v>586.16099999999994</v>
      </c>
      <c r="AT65" s="27">
        <v>539.28700000000003</v>
      </c>
      <c r="AU65" s="27">
        <v>536.13800000000003</v>
      </c>
      <c r="AV65" s="27">
        <v>408.07</v>
      </c>
    </row>
    <row r="66" spans="1:48" s="23" customFormat="1" ht="15" x14ac:dyDescent="0.25">
      <c r="A66" s="26"/>
      <c r="B66" s="26" t="s">
        <v>89</v>
      </c>
      <c r="C66" s="27">
        <v>3474.4500000000003</v>
      </c>
      <c r="D66" s="27">
        <v>2492.37</v>
      </c>
      <c r="E66" s="27">
        <v>7264.31</v>
      </c>
      <c r="F66" s="27">
        <v>11027.200000000003</v>
      </c>
      <c r="G66" s="27">
        <v>9120.6700000000019</v>
      </c>
      <c r="H66" s="27">
        <v>7317.9900000000007</v>
      </c>
      <c r="I66" s="27">
        <v>4165.96</v>
      </c>
      <c r="J66" s="27">
        <v>5545.17</v>
      </c>
      <c r="K66" s="27">
        <v>4887.0099999999993</v>
      </c>
      <c r="L66" s="27">
        <v>1542.0900000000001</v>
      </c>
      <c r="M66" s="27">
        <v>3478.8999999999996</v>
      </c>
      <c r="N66" s="27">
        <v>4187.29</v>
      </c>
      <c r="O66" s="27">
        <v>4920.1899999999996</v>
      </c>
      <c r="P66" s="27">
        <v>9460.42</v>
      </c>
      <c r="Q66" s="27">
        <v>8967.2099999999991</v>
      </c>
      <c r="R66" s="27">
        <v>4063.4200000000005</v>
      </c>
      <c r="S66" s="27">
        <v>3378.0299999999997</v>
      </c>
      <c r="T66" s="27">
        <v>3407.95</v>
      </c>
      <c r="U66" s="27">
        <v>1854.53</v>
      </c>
      <c r="V66" s="27">
        <v>2166.5200000000004</v>
      </c>
      <c r="W66" s="27">
        <v>769.36</v>
      </c>
      <c r="X66" s="27">
        <v>1492.91</v>
      </c>
      <c r="Y66" s="27">
        <v>3120.26</v>
      </c>
      <c r="Z66" s="27">
        <v>541.30999999999995</v>
      </c>
      <c r="AA66" s="27">
        <v>1669.58</v>
      </c>
      <c r="AB66" s="27">
        <v>3025.5699999999997</v>
      </c>
      <c r="AC66" s="27">
        <v>2450.23</v>
      </c>
      <c r="AD66" s="27">
        <v>2160.29</v>
      </c>
      <c r="AE66" s="27">
        <v>2500.5700000000002</v>
      </c>
      <c r="AF66" s="27">
        <v>2268.96</v>
      </c>
      <c r="AG66" s="27">
        <v>4469.21</v>
      </c>
      <c r="AH66" s="27">
        <v>2096.46</v>
      </c>
      <c r="AI66" s="27">
        <v>2111.9699999999998</v>
      </c>
      <c r="AJ66" s="27">
        <v>1079.52</v>
      </c>
      <c r="AK66" s="27">
        <v>1447.4</v>
      </c>
      <c r="AL66" s="27">
        <v>2808.8580000000002</v>
      </c>
      <c r="AM66" s="27">
        <v>3214.9609999999998</v>
      </c>
      <c r="AN66" s="27">
        <v>3516.7915810000004</v>
      </c>
      <c r="AO66" s="27">
        <v>3151.2289999999998</v>
      </c>
      <c r="AP66" s="27">
        <v>2925.13951</v>
      </c>
      <c r="AQ66" s="27">
        <v>1006.991</v>
      </c>
      <c r="AR66" s="27">
        <v>1502.6369999999999</v>
      </c>
      <c r="AS66" s="27">
        <v>2349.0639999999999</v>
      </c>
      <c r="AT66" s="27">
        <v>2813.4929999999999</v>
      </c>
      <c r="AU66" s="27">
        <v>2658.9250000000002</v>
      </c>
      <c r="AV66" s="27">
        <v>1083.3800000000001</v>
      </c>
    </row>
    <row r="67" spans="1:48" s="23" customFormat="1" ht="15" x14ac:dyDescent="0.25">
      <c r="A67" s="26"/>
      <c r="B67" s="26" t="s">
        <v>90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>
        <v>459.63</v>
      </c>
      <c r="AF67" s="27">
        <v>704.06000000000006</v>
      </c>
      <c r="AG67" s="27">
        <v>774.68</v>
      </c>
      <c r="AH67" s="27">
        <v>972.44</v>
      </c>
      <c r="AI67" s="27">
        <v>803.73000000000013</v>
      </c>
      <c r="AJ67" s="27">
        <v>346.73</v>
      </c>
      <c r="AK67" s="27">
        <v>529.44000000000005</v>
      </c>
      <c r="AL67" s="27">
        <v>632.61099999999999</v>
      </c>
      <c r="AM67" s="27">
        <v>480.37099999999998</v>
      </c>
      <c r="AN67" s="27">
        <v>560.54200000000003</v>
      </c>
      <c r="AO67" s="27">
        <v>415.23899999999998</v>
      </c>
      <c r="AP67" s="27">
        <v>744.0598</v>
      </c>
      <c r="AQ67" s="27">
        <v>924.673</v>
      </c>
      <c r="AR67" s="27">
        <v>975.88599999999997</v>
      </c>
      <c r="AS67" s="27">
        <v>841.18600000000004</v>
      </c>
      <c r="AT67" s="27">
        <v>1200.6079999999999</v>
      </c>
      <c r="AU67" s="27">
        <v>1211.93</v>
      </c>
      <c r="AV67" s="27">
        <v>1043.8689999999999</v>
      </c>
    </row>
    <row r="68" spans="1:48" s="23" customFormat="1" ht="15" x14ac:dyDescent="0.25">
      <c r="A68" s="26" t="s">
        <v>72</v>
      </c>
      <c r="B68" s="26" t="s">
        <v>91</v>
      </c>
      <c r="C68" s="27">
        <v>1495.88</v>
      </c>
      <c r="D68" s="27">
        <v>2124.33</v>
      </c>
      <c r="E68" s="27">
        <v>1441.81</v>
      </c>
      <c r="F68" s="27">
        <v>1080.0299999999997</v>
      </c>
      <c r="G68" s="27">
        <v>1333.56</v>
      </c>
      <c r="H68" s="27">
        <v>1015.38</v>
      </c>
      <c r="I68" s="27">
        <v>1590.6</v>
      </c>
      <c r="J68" s="27">
        <v>1288.48</v>
      </c>
      <c r="K68" s="27">
        <v>1619.01</v>
      </c>
      <c r="L68" s="27">
        <v>920.67000000000007</v>
      </c>
      <c r="M68" s="27">
        <v>516.42999999999995</v>
      </c>
      <c r="N68" s="27">
        <v>1341.9499999999998</v>
      </c>
      <c r="O68" s="27">
        <v>905.07</v>
      </c>
      <c r="P68" s="27">
        <v>1375.59</v>
      </c>
      <c r="Q68" s="27">
        <v>1833.4</v>
      </c>
      <c r="R68" s="27">
        <v>869.40999999999985</v>
      </c>
      <c r="S68" s="27">
        <v>1306.54</v>
      </c>
      <c r="T68" s="27">
        <v>1192.6200000000001</v>
      </c>
      <c r="U68" s="27">
        <v>2156.4</v>
      </c>
      <c r="V68" s="27">
        <v>2637.1199999999994</v>
      </c>
      <c r="W68" s="27">
        <v>2019.88</v>
      </c>
      <c r="X68" s="27">
        <v>2701.9999999999995</v>
      </c>
      <c r="Y68" s="27">
        <v>1551.5300000000002</v>
      </c>
      <c r="Z68" s="27">
        <v>1549.07</v>
      </c>
      <c r="AA68" s="27">
        <v>845.71</v>
      </c>
      <c r="AB68" s="27">
        <v>796.68000000000006</v>
      </c>
      <c r="AC68" s="27">
        <v>567.55999999999995</v>
      </c>
      <c r="AD68" s="27">
        <v>1147.46</v>
      </c>
      <c r="AE68" s="27">
        <v>424.7</v>
      </c>
      <c r="AF68" s="27">
        <v>315.33</v>
      </c>
      <c r="AG68" s="27">
        <v>298.57</v>
      </c>
      <c r="AH68" s="27">
        <v>78</v>
      </c>
      <c r="AI68" s="27">
        <v>197.78</v>
      </c>
      <c r="AJ68" s="27">
        <v>446.06</v>
      </c>
      <c r="AK68" s="27">
        <v>52.9</v>
      </c>
      <c r="AL68" s="27">
        <v>117.779</v>
      </c>
      <c r="AM68" s="27">
        <v>0</v>
      </c>
      <c r="AN68" s="27">
        <v>20.167000000000002</v>
      </c>
      <c r="AO68" s="27">
        <v>122.34699999999999</v>
      </c>
      <c r="AP68" s="27">
        <v>333.85300000000001</v>
      </c>
      <c r="AQ68" s="27">
        <v>390.64100000000002</v>
      </c>
      <c r="AR68" s="27">
        <v>286.14600000000002</v>
      </c>
      <c r="AS68" s="27">
        <v>403.66800000000001</v>
      </c>
      <c r="AT68" s="27">
        <v>184.56200000000001</v>
      </c>
      <c r="AU68" s="27">
        <v>253.10599999999999</v>
      </c>
      <c r="AV68" s="27">
        <v>276.49</v>
      </c>
    </row>
    <row r="69" spans="1:48" s="23" customFormat="1" ht="15" x14ac:dyDescent="0.25">
      <c r="A69" s="26"/>
      <c r="B69" s="33" t="s">
        <v>92</v>
      </c>
      <c r="C69" s="32">
        <v>9327.2000000000007</v>
      </c>
      <c r="D69" s="32">
        <v>8557.93</v>
      </c>
      <c r="E69" s="32">
        <v>10279.74</v>
      </c>
      <c r="F69" s="32">
        <v>13158.410000000003</v>
      </c>
      <c r="G69" s="32">
        <v>12146.060000000001</v>
      </c>
      <c r="H69" s="32">
        <v>10182.710000000001</v>
      </c>
      <c r="I69" s="32">
        <v>7950.8700000000008</v>
      </c>
      <c r="J69" s="32">
        <v>9056.8799999999992</v>
      </c>
      <c r="K69" s="32">
        <v>9365.1299999999992</v>
      </c>
      <c r="L69" s="32">
        <v>4719.99</v>
      </c>
      <c r="M69" s="32">
        <v>5809.58</v>
      </c>
      <c r="N69" s="32">
        <v>7761.7599999999993</v>
      </c>
      <c r="O69" s="32">
        <v>8433.2099999999991</v>
      </c>
      <c r="P69" s="32">
        <v>12698.02</v>
      </c>
      <c r="Q69" s="32">
        <v>11413.4</v>
      </c>
      <c r="R69" s="32">
        <v>6939.9600000000009</v>
      </c>
      <c r="S69" s="32">
        <v>7134.71</v>
      </c>
      <c r="T69" s="32">
        <v>6748.79</v>
      </c>
      <c r="U69" s="32">
        <v>7594.77</v>
      </c>
      <c r="V69" s="32">
        <v>7325.98</v>
      </c>
      <c r="W69" s="32">
        <v>3718.46</v>
      </c>
      <c r="X69" s="32">
        <v>5729.0399999999991</v>
      </c>
      <c r="Y69" s="32">
        <v>6201.85</v>
      </c>
      <c r="Z69" s="32">
        <v>3728.5599999999995</v>
      </c>
      <c r="AA69" s="32">
        <v>4947.6499999999996</v>
      </c>
      <c r="AB69" s="32">
        <v>5881.1399999999994</v>
      </c>
      <c r="AC69" s="32">
        <v>3215.92</v>
      </c>
      <c r="AD69" s="32">
        <f>SUM(AD64:AD68)</f>
        <v>4120.28</v>
      </c>
      <c r="AE69" s="32">
        <f>SUM(AE64:AE68)</f>
        <v>4525.68</v>
      </c>
      <c r="AF69" s="32">
        <f>SUM(AF64:AF68)</f>
        <v>4843.3</v>
      </c>
      <c r="AG69" s="32">
        <f>SUM(AG64:AG68)</f>
        <v>7925.39</v>
      </c>
      <c r="AH69" s="32">
        <f>SUM(AH64:AH68)</f>
        <v>4707.99</v>
      </c>
      <c r="AI69" s="32">
        <v>4740.8899999999994</v>
      </c>
      <c r="AJ69" s="32">
        <v>2747.4</v>
      </c>
      <c r="AK69" s="32">
        <v>2895.4100000000003</v>
      </c>
      <c r="AL69" s="32">
        <v>4576.07</v>
      </c>
      <c r="AM69" s="32">
        <v>4193.1839999999993</v>
      </c>
      <c r="AN69" s="32">
        <v>6926.6900010000008</v>
      </c>
      <c r="AO69" s="32">
        <v>5317.2349999999988</v>
      </c>
      <c r="AP69" s="32">
        <f t="shared" ref="AP69" si="4">SUM(AP64:AP68)</f>
        <v>5012.5733099999998</v>
      </c>
      <c r="AQ69" s="32">
        <v>3961.1010000000001</v>
      </c>
      <c r="AR69" s="32">
        <v>4466.302999999999</v>
      </c>
      <c r="AS69" s="32">
        <v>4783.8709999999992</v>
      </c>
      <c r="AT69" s="32">
        <f t="shared" ref="AT69:AU69" si="5">SUM(AT64:AT68)</f>
        <v>5154.4939999999997</v>
      </c>
      <c r="AU69" s="32">
        <f t="shared" si="5"/>
        <v>5030.2250000000004</v>
      </c>
      <c r="AV69" s="32">
        <v>2937.2290000000003</v>
      </c>
    </row>
    <row r="70" spans="1:48" s="23" customFormat="1" ht="15" x14ac:dyDescent="0.25">
      <c r="A70" s="26"/>
      <c r="B70" s="26" t="s">
        <v>93</v>
      </c>
      <c r="C70" s="27">
        <v>1543.39</v>
      </c>
      <c r="D70" s="27">
        <v>1565.13</v>
      </c>
      <c r="E70" s="27">
        <v>1081.44</v>
      </c>
      <c r="F70" s="27">
        <v>1204.42</v>
      </c>
      <c r="G70" s="27">
        <v>855.81000000000006</v>
      </c>
      <c r="H70" s="27">
        <v>444.20000000000005</v>
      </c>
      <c r="I70" s="27">
        <v>773.43</v>
      </c>
      <c r="J70" s="27">
        <v>501.01</v>
      </c>
      <c r="K70" s="27">
        <v>568.41000000000008</v>
      </c>
      <c r="L70" s="27">
        <v>118.49000000000001</v>
      </c>
      <c r="M70" s="27">
        <v>266.11</v>
      </c>
      <c r="N70" s="27">
        <v>609.59</v>
      </c>
      <c r="O70" s="27">
        <v>539.88</v>
      </c>
      <c r="P70" s="27">
        <v>883.87</v>
      </c>
      <c r="Q70" s="27">
        <v>525.16999999999996</v>
      </c>
      <c r="R70" s="27">
        <v>466.08</v>
      </c>
      <c r="S70" s="27">
        <v>301.57</v>
      </c>
      <c r="T70" s="27">
        <v>705.3</v>
      </c>
      <c r="U70" s="27">
        <v>439.24</v>
      </c>
      <c r="V70" s="27">
        <v>425.82000000000005</v>
      </c>
      <c r="W70" s="27">
        <v>226.3</v>
      </c>
      <c r="X70" s="27">
        <v>449.96</v>
      </c>
      <c r="Y70" s="27">
        <v>373.81</v>
      </c>
      <c r="Z70" s="27">
        <v>44.69</v>
      </c>
      <c r="AA70" s="27">
        <v>402.44</v>
      </c>
      <c r="AB70" s="27">
        <v>206.83</v>
      </c>
      <c r="AC70" s="27">
        <v>522.9</v>
      </c>
      <c r="AD70" s="27">
        <v>712.26</v>
      </c>
      <c r="AE70" s="27">
        <v>888.45</v>
      </c>
      <c r="AF70" s="27">
        <v>561.97</v>
      </c>
      <c r="AG70" s="27">
        <v>280.55</v>
      </c>
      <c r="AH70" s="27">
        <v>438.91999999999996</v>
      </c>
      <c r="AI70" s="27">
        <v>219.75</v>
      </c>
      <c r="AJ70" s="27">
        <v>491.35</v>
      </c>
      <c r="AK70" s="27">
        <v>435.26</v>
      </c>
      <c r="AL70" s="27">
        <v>561.48400000000004</v>
      </c>
      <c r="AM70" s="27">
        <v>741.89499999999998</v>
      </c>
      <c r="AN70" s="27">
        <v>1243.4280000000001</v>
      </c>
      <c r="AO70" s="27">
        <v>891.97699999999998</v>
      </c>
      <c r="AP70" s="27">
        <v>237.929</v>
      </c>
      <c r="AQ70" s="27">
        <v>292.89</v>
      </c>
      <c r="AR70" s="27">
        <v>257.52300000000002</v>
      </c>
      <c r="AS70" s="27">
        <v>141.07499999999999</v>
      </c>
      <c r="AT70" s="27">
        <v>367.24799999999999</v>
      </c>
      <c r="AU70" s="27">
        <v>339.11</v>
      </c>
      <c r="AV70" s="27">
        <v>212.95400000000001</v>
      </c>
    </row>
    <row r="71" spans="1:48" s="23" customFormat="1" ht="15.75" x14ac:dyDescent="0.25">
      <c r="A71" s="28"/>
      <c r="B71" s="26" t="s">
        <v>94</v>
      </c>
      <c r="C71" s="27">
        <v>0.06</v>
      </c>
      <c r="D71" s="27">
        <v>0.06</v>
      </c>
      <c r="E71" s="27">
        <v>0.06</v>
      </c>
      <c r="F71" s="27">
        <v>0.06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4.8099999999999996</v>
      </c>
      <c r="AJ71" s="27">
        <v>4.8099999999999996</v>
      </c>
      <c r="AK71" s="27">
        <v>4.8099999999999996</v>
      </c>
      <c r="AL71" s="27">
        <v>4.8126049999999996</v>
      </c>
      <c r="AM71" s="27">
        <v>4.8126049999999996</v>
      </c>
      <c r="AN71" s="27">
        <v>4.8126049999999996</v>
      </c>
      <c r="AO71" s="27">
        <v>4.8126049999999996</v>
      </c>
      <c r="AP71" s="27">
        <v>4.8126049999999996</v>
      </c>
      <c r="AQ71" s="27">
        <v>4.8126049999999996</v>
      </c>
      <c r="AR71" s="27">
        <v>0</v>
      </c>
      <c r="AS71" s="27"/>
      <c r="AT71" s="27">
        <v>0</v>
      </c>
      <c r="AU71" s="27"/>
      <c r="AV71" s="27">
        <v>0</v>
      </c>
    </row>
    <row r="72" spans="1:48" s="23" customFormat="1" ht="15.75" x14ac:dyDescent="0.25">
      <c r="A72" s="28"/>
      <c r="B72" s="28" t="s">
        <v>47</v>
      </c>
      <c r="C72" s="29">
        <v>20278.63</v>
      </c>
      <c r="D72" s="29">
        <v>18877.920000000006</v>
      </c>
      <c r="E72" s="29">
        <v>20097.16</v>
      </c>
      <c r="F72" s="29">
        <v>22454.610000000004</v>
      </c>
      <c r="G72" s="29">
        <v>22793.84</v>
      </c>
      <c r="H72" s="29">
        <v>18148.850000000002</v>
      </c>
      <c r="I72" s="29">
        <v>16431.11</v>
      </c>
      <c r="J72" s="29">
        <v>19466.639999999996</v>
      </c>
      <c r="K72" s="29">
        <v>16811.439999999999</v>
      </c>
      <c r="L72" s="29">
        <v>16130.66</v>
      </c>
      <c r="M72" s="29">
        <v>18487.770000000004</v>
      </c>
      <c r="N72" s="29">
        <v>17531.099999999999</v>
      </c>
      <c r="O72" s="29">
        <v>17872.060000000001</v>
      </c>
      <c r="P72" s="29">
        <v>24740.81</v>
      </c>
      <c r="Q72" s="29">
        <v>22180.53</v>
      </c>
      <c r="R72" s="29">
        <v>18680.86</v>
      </c>
      <c r="S72" s="29">
        <v>17336.82</v>
      </c>
      <c r="T72" s="29">
        <v>18789.64</v>
      </c>
      <c r="U72" s="29">
        <v>18008.140000000003</v>
      </c>
      <c r="V72" s="29">
        <v>15950.31</v>
      </c>
      <c r="W72" s="29">
        <v>13089.629999999997</v>
      </c>
      <c r="X72" s="29">
        <v>16969.239999999998</v>
      </c>
      <c r="Y72" s="29">
        <v>16677.14</v>
      </c>
      <c r="Z72" s="29">
        <v>12891.53</v>
      </c>
      <c r="AA72" s="29">
        <v>15522.05</v>
      </c>
      <c r="AB72" s="29">
        <v>17675.900000000001</v>
      </c>
      <c r="AC72" s="29">
        <v>14387.84</v>
      </c>
      <c r="AD72" s="29">
        <f>+AD52+AD58+AD63+AD69+AD70+AD71</f>
        <v>15721.22</v>
      </c>
      <c r="AE72" s="29">
        <f>+AE52+AE58+AE63+AE69+AE70+AE71</f>
        <v>15179.690000000002</v>
      </c>
      <c r="AF72" s="29">
        <f>+AF52+AF58+AF63+AF69+AF70+AF71</f>
        <v>14513.06</v>
      </c>
      <c r="AG72" s="29">
        <f>+AG52+AG58+AG63+AG69+AG70+AG71</f>
        <v>15747.71</v>
      </c>
      <c r="AH72" s="29">
        <f>+AH52+AH58+AH63+AH69+AH70+AH71</f>
        <v>12535.3</v>
      </c>
      <c r="AI72" s="29">
        <v>12241.449999999999</v>
      </c>
      <c r="AJ72" s="29">
        <v>9713.27</v>
      </c>
      <c r="AK72" s="29">
        <v>10257.75</v>
      </c>
      <c r="AL72" s="29">
        <v>12382.524219999999</v>
      </c>
      <c r="AM72" s="29">
        <v>11422.999219999998</v>
      </c>
      <c r="AN72" s="29">
        <v>13507.922221000001</v>
      </c>
      <c r="AO72" s="29">
        <v>12655.384219999998</v>
      </c>
      <c r="AP72" s="29">
        <v>11352.938529999998</v>
      </c>
      <c r="AQ72" s="29">
        <v>9875.8982199999991</v>
      </c>
      <c r="AR72" s="29">
        <v>9414.7430349999977</v>
      </c>
      <c r="AS72" s="29">
        <v>11005.796034999999</v>
      </c>
      <c r="AT72" s="29">
        <f t="shared" ref="AT72:AU72" si="6">+AT51+AT57+AT63+AT69+AT70+AT71</f>
        <v>8413.5304199999991</v>
      </c>
      <c r="AU72" s="29">
        <f t="shared" si="6"/>
        <v>8631.2214200000017</v>
      </c>
      <c r="AV72" s="29">
        <v>10890.574035</v>
      </c>
    </row>
    <row r="73" spans="1:48" ht="15.75" x14ac:dyDescent="0.25">
      <c r="B73" s="28" t="s">
        <v>15</v>
      </c>
      <c r="C73" s="29">
        <v>31009.450000000004</v>
      </c>
      <c r="D73" s="29">
        <v>28449.320000000007</v>
      </c>
      <c r="E73" s="29">
        <v>28502.54</v>
      </c>
      <c r="F73" s="29">
        <v>32224.050000000003</v>
      </c>
      <c r="G73" s="29">
        <v>32958.589999999997</v>
      </c>
      <c r="H73" s="29">
        <v>28447.090000000004</v>
      </c>
      <c r="I73" s="29">
        <v>25693.360000000001</v>
      </c>
      <c r="J73" s="29">
        <v>27460.059999999998</v>
      </c>
      <c r="K73" s="29">
        <v>25192.76</v>
      </c>
      <c r="L73" s="29">
        <v>26367.300000000003</v>
      </c>
      <c r="M73" s="29">
        <v>29552.260000000006</v>
      </c>
      <c r="N73" s="29">
        <v>31521.59</v>
      </c>
      <c r="O73" s="29">
        <v>29064.79</v>
      </c>
      <c r="P73" s="29">
        <v>34952.04</v>
      </c>
      <c r="Q73" s="29">
        <v>31830.68</v>
      </c>
      <c r="R73" s="29">
        <v>28590.560000000001</v>
      </c>
      <c r="S73" s="29">
        <v>28001.38</v>
      </c>
      <c r="T73" s="29">
        <v>28707.230000000003</v>
      </c>
      <c r="U73" s="29">
        <v>26699.700000000004</v>
      </c>
      <c r="V73" s="29">
        <v>24733.879999999997</v>
      </c>
      <c r="W73" s="29">
        <v>19894.879999999997</v>
      </c>
      <c r="X73" s="29">
        <v>23782.239999999998</v>
      </c>
      <c r="Y73" s="29">
        <v>23829.86</v>
      </c>
      <c r="Z73" s="29">
        <v>22313.5</v>
      </c>
      <c r="AA73" s="29">
        <v>24566.839999999997</v>
      </c>
      <c r="AB73" s="29">
        <v>26366.53</v>
      </c>
      <c r="AC73" s="29">
        <v>23047.34</v>
      </c>
      <c r="AD73" s="29">
        <f>+AD18+AD38+AD47+AD72</f>
        <v>24518.27</v>
      </c>
      <c r="AE73" s="29">
        <f>+AE18+AE38+AE47+AE72</f>
        <v>22291.730000000003</v>
      </c>
      <c r="AF73" s="29">
        <f>+AF18+AF38+AF47+AF72</f>
        <v>21980.2</v>
      </c>
      <c r="AG73" s="29">
        <f>+AG18+AG38+AG47+AG72</f>
        <v>22705.21</v>
      </c>
      <c r="AH73" s="29">
        <f>+AH18+AH38+AH47+AH72</f>
        <v>19209.68</v>
      </c>
      <c r="AI73" s="29">
        <v>18544.46</v>
      </c>
      <c r="AJ73" s="29">
        <v>16419.800000000003</v>
      </c>
      <c r="AK73" s="29">
        <v>18628.28</v>
      </c>
      <c r="AL73" s="29">
        <v>19266.559569999998</v>
      </c>
      <c r="AM73" s="29">
        <v>19175.746569999999</v>
      </c>
      <c r="AN73" s="29">
        <v>23273.200571000001</v>
      </c>
      <c r="AO73" s="29">
        <v>21218.827057999995</v>
      </c>
      <c r="AP73" s="354">
        <v>19241.201517999998</v>
      </c>
      <c r="AQ73" s="354">
        <v>15799.295178</v>
      </c>
      <c r="AR73" s="354">
        <v>15193.850034999998</v>
      </c>
      <c r="AS73" s="354">
        <v>18280.453034999999</v>
      </c>
      <c r="AT73" s="354">
        <v>19623.057484999998</v>
      </c>
      <c r="AU73" s="354">
        <v>18761.869485000003</v>
      </c>
      <c r="AV73" s="354">
        <v>19109.558035000002</v>
      </c>
    </row>
    <row r="74" spans="1:48" x14ac:dyDescent="0.25">
      <c r="B74" s="34" t="s">
        <v>286</v>
      </c>
      <c r="AI74" s="34">
        <v>2150</v>
      </c>
    </row>
    <row r="75" spans="1:48" x14ac:dyDescent="0.25">
      <c r="B75" s="34" t="s">
        <v>287</v>
      </c>
      <c r="AE75" s="178">
        <f>321.53/0.88</f>
        <v>365.37499999999994</v>
      </c>
      <c r="AF75" s="178">
        <f>433.59/0.88</f>
        <v>492.71590909090907</v>
      </c>
      <c r="AG75" s="178">
        <f>626.38/0.88</f>
        <v>711.7954545454545</v>
      </c>
      <c r="AH75" s="178">
        <f>309.45/0.88</f>
        <v>351.64772727272725</v>
      </c>
      <c r="AI75" s="178">
        <f>432.69/0.88</f>
        <v>491.69318181818181</v>
      </c>
      <c r="AJ75" s="178"/>
      <c r="AK75" s="178"/>
      <c r="AL75" s="178"/>
      <c r="AM75" s="178"/>
      <c r="AN75" s="178"/>
      <c r="AO75" s="178"/>
      <c r="AP75" s="178"/>
      <c r="AQ75" s="178"/>
      <c r="AR75" s="178"/>
      <c r="AS75" s="178"/>
      <c r="AT75" s="178"/>
      <c r="AU75" s="178"/>
      <c r="AV75" s="178"/>
    </row>
    <row r="76" spans="1:48" x14ac:dyDescent="0.25">
      <c r="B76" s="34" t="s">
        <v>288</v>
      </c>
      <c r="AG76" s="178">
        <f>747.3/0.91/0.66</f>
        <v>1244.255744255744</v>
      </c>
      <c r="AH76" s="178">
        <f>978.65/0.91/0.66</f>
        <v>1629.4538794538794</v>
      </c>
      <c r="AI76" s="178">
        <f>1242.78/0.91/0.66</f>
        <v>2069.2307692307691</v>
      </c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</row>
    <row r="80" spans="1:48" s="23" customFormat="1" ht="15.75" x14ac:dyDescent="0.25">
      <c r="A80" s="28"/>
      <c r="B80" s="28" t="s">
        <v>72</v>
      </c>
      <c r="C80" s="29">
        <f t="shared" ref="C80:AC80" si="7">+SUMIF($A$5:$A$72,$B$80,C$5:C$72)</f>
        <v>8871.42</v>
      </c>
      <c r="D80" s="29">
        <f t="shared" si="7"/>
        <v>8763.2800000000007</v>
      </c>
      <c r="E80" s="29">
        <f t="shared" si="7"/>
        <v>7878.3899999999994</v>
      </c>
      <c r="F80" s="29">
        <f t="shared" si="7"/>
        <v>7005.6599999999989</v>
      </c>
      <c r="G80" s="29">
        <f t="shared" si="7"/>
        <v>7172.82</v>
      </c>
      <c r="H80" s="29">
        <f t="shared" si="7"/>
        <v>5673.33</v>
      </c>
      <c r="I80" s="29">
        <f t="shared" si="7"/>
        <v>5861.32</v>
      </c>
      <c r="J80" s="29">
        <f t="shared" si="7"/>
        <v>5627.9</v>
      </c>
      <c r="K80" s="29">
        <f t="shared" si="7"/>
        <v>5254.88</v>
      </c>
      <c r="L80" s="29">
        <f t="shared" si="7"/>
        <v>4794.47</v>
      </c>
      <c r="M80" s="29">
        <f t="shared" si="7"/>
        <v>4158.8200000000006</v>
      </c>
      <c r="N80" s="29">
        <f t="shared" si="7"/>
        <v>4620.7899999999991</v>
      </c>
      <c r="O80" s="29">
        <f t="shared" si="7"/>
        <v>4597.07</v>
      </c>
      <c r="P80" s="29">
        <f t="shared" si="7"/>
        <v>5341.22</v>
      </c>
      <c r="Q80" s="29">
        <f t="shared" si="7"/>
        <v>5386.83</v>
      </c>
      <c r="R80" s="29">
        <f t="shared" si="7"/>
        <v>4479.0499999999993</v>
      </c>
      <c r="S80" s="29">
        <f t="shared" si="7"/>
        <v>5505.34</v>
      </c>
      <c r="T80" s="29">
        <f t="shared" si="7"/>
        <v>5939.1500000000005</v>
      </c>
      <c r="U80" s="29">
        <f t="shared" si="7"/>
        <v>6426.68</v>
      </c>
      <c r="V80" s="29">
        <f t="shared" si="7"/>
        <v>7165.7799999999988</v>
      </c>
      <c r="W80" s="29">
        <f t="shared" si="7"/>
        <v>7128.9400000000005</v>
      </c>
      <c r="X80" s="29">
        <f t="shared" si="7"/>
        <v>7759.6999999999989</v>
      </c>
      <c r="Y80" s="29">
        <f t="shared" si="7"/>
        <v>6626.91</v>
      </c>
      <c r="Z80" s="29">
        <f t="shared" si="7"/>
        <v>6482.91</v>
      </c>
      <c r="AA80" s="29">
        <f t="shared" si="7"/>
        <v>6224.3200000000006</v>
      </c>
      <c r="AB80" s="29">
        <f t="shared" si="7"/>
        <v>6179.17</v>
      </c>
      <c r="AC80" s="29">
        <f t="shared" si="7"/>
        <v>4739.8600000000006</v>
      </c>
      <c r="AD80" s="29">
        <f>+SUMIF($A$5:$A$72,$B$80,AD$5:AD$72)</f>
        <v>5210.5599999999995</v>
      </c>
      <c r="AE80" s="29">
        <f t="shared" ref="AE80:AI80" si="8">+SUMIF($A$5:$A$72,$B$80,AE$5:AE$72)</f>
        <v>4263.07</v>
      </c>
      <c r="AF80" s="29">
        <f t="shared" si="8"/>
        <v>3237.65</v>
      </c>
      <c r="AG80" s="29">
        <f t="shared" si="8"/>
        <v>3233.61</v>
      </c>
      <c r="AH80" s="29">
        <f t="shared" si="8"/>
        <v>3690.1900000000005</v>
      </c>
      <c r="AI80" s="29">
        <f t="shared" si="8"/>
        <v>3361.8199999999997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2" sqref="F2"/>
    </sheetView>
  </sheetViews>
  <sheetFormatPr defaultRowHeight="15" x14ac:dyDescent="0.25"/>
  <sheetData>
    <row r="1" spans="1:14" x14ac:dyDescent="0.25">
      <c r="A1" s="10" t="s">
        <v>116</v>
      </c>
    </row>
    <row r="2" spans="1:14" x14ac:dyDescent="0.25">
      <c r="A2" t="s">
        <v>125</v>
      </c>
      <c r="C2" s="11">
        <v>42095</v>
      </c>
      <c r="D2" s="11">
        <v>42125</v>
      </c>
      <c r="E2" s="11">
        <v>42156</v>
      </c>
      <c r="F2" s="11">
        <v>42186</v>
      </c>
      <c r="G2" s="11">
        <v>42217</v>
      </c>
      <c r="H2" s="11">
        <v>42248</v>
      </c>
      <c r="I2" s="11">
        <v>42278</v>
      </c>
      <c r="J2" s="11">
        <v>42309</v>
      </c>
      <c r="K2" s="11">
        <v>42339</v>
      </c>
      <c r="L2" s="11">
        <v>42370</v>
      </c>
      <c r="M2" s="11">
        <v>42401</v>
      </c>
      <c r="N2" s="11">
        <v>42430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Sales Order Position</vt:lpstr>
      <vt:lpstr>SNOP vs Actual</vt:lpstr>
      <vt:lpstr>Inventory Sum</vt:lpstr>
      <vt:lpstr>Transit Losses</vt:lpstr>
      <vt:lpstr>Capacity Utilisation</vt:lpstr>
      <vt:lpstr>Detailed Capacity Utilisation</vt:lpstr>
      <vt:lpstr>Inventory Trend</vt:lpstr>
      <vt:lpstr>Dummerage &amp; Detention Chgs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Kasbekar</dc:creator>
  <cp:lastModifiedBy>Kiran  P</cp:lastModifiedBy>
  <cp:lastPrinted>2016-04-21T06:53:22Z</cp:lastPrinted>
  <dcterms:created xsi:type="dcterms:W3CDTF">2016-03-07T16:49:25Z</dcterms:created>
  <dcterms:modified xsi:type="dcterms:W3CDTF">2017-04-20T08:49:37Z</dcterms:modified>
</cp:coreProperties>
</file>